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codeName="ThisWorkbook" autoCompressPictures="0"/>
  <bookViews>
    <workbookView xWindow="0" yWindow="0" windowWidth="25600" windowHeight="1606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Y632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Q629" i="7"/>
  <c r="K625" i="7"/>
  <c r="K629" i="7"/>
  <c r="J625" i="7"/>
  <c r="J629" i="7"/>
  <c r="I625" i="7"/>
  <c r="I629" i="7"/>
  <c r="H625" i="7"/>
  <c r="H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G1" i="3"/>
  <c r="C89" i="7"/>
  <c r="C820" i="7"/>
  <c r="D89" i="7"/>
  <c r="D820" i="7"/>
  <c r="E89" i="7"/>
  <c r="E820" i="7"/>
  <c r="F89" i="7"/>
  <c r="F820" i="7"/>
  <c r="H70" i="7"/>
  <c r="H78" i="7"/>
  <c r="H86" i="7"/>
  <c r="H89" i="7"/>
  <c r="H820" i="7"/>
  <c r="I70" i="7"/>
  <c r="I78" i="7"/>
  <c r="I86" i="7"/>
  <c r="I89" i="7"/>
  <c r="I820" i="7"/>
  <c r="J70" i="7"/>
  <c r="J78" i="7"/>
  <c r="J86" i="7"/>
  <c r="J89" i="7"/>
  <c r="J820" i="7"/>
  <c r="K70" i="7"/>
  <c r="K78" i="7"/>
  <c r="K86" i="7"/>
  <c r="K89" i="7"/>
  <c r="K820" i="7"/>
  <c r="S820" i="7"/>
  <c r="T820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S821" i="7"/>
  <c r="T821" i="7"/>
  <c r="C116" i="7"/>
  <c r="C822" i="7"/>
  <c r="D116" i="7"/>
  <c r="D822" i="7"/>
  <c r="E116" i="7"/>
  <c r="E822" i="7"/>
  <c r="F116" i="7"/>
  <c r="F822" i="7"/>
  <c r="H97" i="7"/>
  <c r="H105" i="7"/>
  <c r="H113" i="7"/>
  <c r="H116" i="7"/>
  <c r="H822" i="7"/>
  <c r="I97" i="7"/>
  <c r="I105" i="7"/>
  <c r="I113" i="7"/>
  <c r="I116" i="7"/>
  <c r="I822" i="7"/>
  <c r="J97" i="7"/>
  <c r="J105" i="7"/>
  <c r="J113" i="7"/>
  <c r="J116" i="7"/>
  <c r="J822" i="7"/>
  <c r="K97" i="7"/>
  <c r="K105" i="7"/>
  <c r="K113" i="7"/>
  <c r="K116" i="7"/>
  <c r="K822" i="7"/>
  <c r="S822" i="7"/>
  <c r="T822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S823" i="7"/>
  <c r="T823" i="7"/>
  <c r="C144" i="7"/>
  <c r="C824" i="7"/>
  <c r="D144" i="7"/>
  <c r="D824" i="7"/>
  <c r="E144" i="7"/>
  <c r="E824" i="7"/>
  <c r="F144" i="7"/>
  <c r="F824" i="7"/>
  <c r="H124" i="7"/>
  <c r="H133" i="7"/>
  <c r="H141" i="7"/>
  <c r="H144" i="7"/>
  <c r="H824" i="7"/>
  <c r="I124" i="7"/>
  <c r="I133" i="7"/>
  <c r="I141" i="7"/>
  <c r="I144" i="7"/>
  <c r="I824" i="7"/>
  <c r="J124" i="7"/>
  <c r="J133" i="7"/>
  <c r="J141" i="7"/>
  <c r="J144" i="7"/>
  <c r="J824" i="7"/>
  <c r="K124" i="7"/>
  <c r="K133" i="7"/>
  <c r="K141" i="7"/>
  <c r="K144" i="7"/>
  <c r="K824" i="7"/>
  <c r="S824" i="7"/>
  <c r="T824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S825" i="7"/>
  <c r="T825" i="7"/>
  <c r="C172" i="7"/>
  <c r="C826" i="7"/>
  <c r="D172" i="7"/>
  <c r="D826" i="7"/>
  <c r="E172" i="7"/>
  <c r="E826" i="7"/>
  <c r="F172" i="7"/>
  <c r="F826" i="7"/>
  <c r="H152" i="7"/>
  <c r="H161" i="7"/>
  <c r="H169" i="7"/>
  <c r="H172" i="7"/>
  <c r="H826" i="7"/>
  <c r="I152" i="7"/>
  <c r="I161" i="7"/>
  <c r="I169" i="7"/>
  <c r="I172" i="7"/>
  <c r="I826" i="7"/>
  <c r="J152" i="7"/>
  <c r="J161" i="7"/>
  <c r="J169" i="7"/>
  <c r="J172" i="7"/>
  <c r="J826" i="7"/>
  <c r="K152" i="7"/>
  <c r="K161" i="7"/>
  <c r="K169" i="7"/>
  <c r="K172" i="7"/>
  <c r="K826" i="7"/>
  <c r="S826" i="7"/>
  <c r="T826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S827" i="7"/>
  <c r="T827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S828" i="7"/>
  <c r="T828" i="7"/>
  <c r="S829" i="7"/>
  <c r="T829" i="7"/>
  <c r="S830" i="7"/>
  <c r="T830" i="7"/>
  <c r="S831" i="7"/>
  <c r="T831" i="7"/>
  <c r="C237" i="7"/>
  <c r="C239" i="7"/>
  <c r="C243" i="7"/>
  <c r="C832" i="7"/>
  <c r="D237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S832" i="7"/>
  <c r="T832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S833" i="7"/>
  <c r="T833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S834" i="7"/>
  <c r="T834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S835" i="7"/>
  <c r="T835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S836" i="7"/>
  <c r="T836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S837" i="7"/>
  <c r="T837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S838" i="7"/>
  <c r="T838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S839" i="7"/>
  <c r="T839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S840" i="7"/>
  <c r="T840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T841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S842" i="7"/>
  <c r="T842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S843" i="7"/>
  <c r="T843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S844" i="7"/>
  <c r="T844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S845" i="7"/>
  <c r="T845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S846" i="7"/>
  <c r="T846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S847" i="7"/>
  <c r="T847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S848" i="7"/>
  <c r="T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T849" i="7"/>
  <c r="S850" i="7"/>
  <c r="T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S851" i="7"/>
  <c r="T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S852" i="7"/>
  <c r="T852" i="7"/>
  <c r="S853" i="7"/>
  <c r="T853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S854" i="7"/>
  <c r="T854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S855" i="7"/>
  <c r="T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T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T857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44" i="7"/>
  <c r="J1044" i="7"/>
  <c r="I1044" i="7"/>
  <c r="H1044" i="7"/>
  <c r="N243" i="7"/>
  <c r="N832" i="7"/>
  <c r="F1044" i="7"/>
  <c r="E1044" i="7"/>
  <c r="M243" i="7"/>
  <c r="M832" i="7"/>
  <c r="D1044" i="7"/>
  <c r="C1044" i="7"/>
  <c r="BW552" i="3"/>
  <c r="BX552" i="3"/>
  <c r="BV552" i="3"/>
  <c r="CQ17" i="2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BV287" i="3"/>
  <c r="C287" i="7"/>
  <c r="P1" i="7"/>
  <c r="C46" i="7"/>
  <c r="C286" i="7"/>
  <c r="BW287" i="3"/>
  <c r="D287" i="7"/>
  <c r="D46" i="7"/>
  <c r="D286" i="7"/>
  <c r="BX287" i="3"/>
  <c r="E287" i="7"/>
  <c r="E46" i="7"/>
  <c r="E286" i="7"/>
  <c r="BY287" i="3"/>
  <c r="F287" i="7"/>
  <c r="F46" i="7"/>
  <c r="F286" i="7"/>
  <c r="C288" i="7"/>
  <c r="D288" i="7"/>
  <c r="I46" i="7"/>
  <c r="E288" i="7"/>
  <c r="J46" i="7"/>
  <c r="F288" i="7"/>
  <c r="K46" i="7"/>
  <c r="C273" i="7"/>
  <c r="C272" i="7"/>
  <c r="C274" i="7"/>
  <c r="D273" i="7"/>
  <c r="D272" i="7"/>
  <c r="D274" i="7"/>
  <c r="E273" i="7"/>
  <c r="E272" i="7"/>
  <c r="E274" i="7"/>
  <c r="F273" i="7"/>
  <c r="F272" i="7"/>
  <c r="F274" i="7"/>
  <c r="C238" i="7"/>
  <c r="C242" i="7"/>
  <c r="D238" i="7"/>
  <c r="D242" i="7"/>
  <c r="D239" i="7"/>
  <c r="E238" i="7"/>
  <c r="E242" i="7"/>
  <c r="E237" i="7"/>
  <c r="E239" i="7"/>
  <c r="F238" i="7"/>
  <c r="F242" i="7"/>
  <c r="F237" i="7"/>
  <c r="F239" i="7"/>
  <c r="K1" i="7"/>
  <c r="BV181" i="3"/>
  <c r="C181" i="7"/>
  <c r="C182" i="7"/>
  <c r="C179" i="7"/>
  <c r="BW181" i="3"/>
  <c r="D181" i="7"/>
  <c r="D182" i="7"/>
  <c r="BW178" i="3"/>
  <c r="D178" i="7"/>
  <c r="D179" i="7"/>
  <c r="BX181" i="3"/>
  <c r="E181" i="7"/>
  <c r="E182" i="7"/>
  <c r="BX178" i="3"/>
  <c r="E178" i="7"/>
  <c r="E179" i="7"/>
  <c r="BY181" i="3"/>
  <c r="F181" i="7"/>
  <c r="F182" i="7"/>
  <c r="BY178" i="3"/>
  <c r="F178" i="7"/>
  <c r="F179" i="7"/>
  <c r="C151" i="7"/>
  <c r="C160" i="7"/>
  <c r="C167" i="7"/>
  <c r="D151" i="7"/>
  <c r="D160" i="7"/>
  <c r="D167" i="7"/>
  <c r="E151" i="7"/>
  <c r="E160" i="7"/>
  <c r="E167" i="7"/>
  <c r="F151" i="7"/>
  <c r="F160" i="7"/>
  <c r="F167" i="7"/>
  <c r="E123" i="7"/>
  <c r="E132" i="7"/>
  <c r="E139" i="7"/>
  <c r="F123" i="7"/>
  <c r="F132" i="7"/>
  <c r="F139" i="7"/>
  <c r="C95" i="7"/>
  <c r="C96" i="7"/>
  <c r="C104" i="7"/>
  <c r="C111" i="7"/>
  <c r="BW93" i="3"/>
  <c r="D93" i="7"/>
  <c r="D95" i="7"/>
  <c r="D96" i="7"/>
  <c r="D104" i="7"/>
  <c r="D111" i="7"/>
  <c r="BX93" i="3"/>
  <c r="E93" i="7"/>
  <c r="E95" i="7"/>
  <c r="E96" i="7"/>
  <c r="E104" i="7"/>
  <c r="E111" i="7"/>
  <c r="BY93" i="3"/>
  <c r="F93" i="7"/>
  <c r="F95" i="7"/>
  <c r="F96" i="7"/>
  <c r="F104" i="7"/>
  <c r="F111" i="7"/>
  <c r="C97" i="7"/>
  <c r="D97" i="7"/>
  <c r="E97" i="7"/>
  <c r="F97" i="7"/>
  <c r="C228" i="7"/>
  <c r="C230" i="7"/>
  <c r="C830" i="7"/>
  <c r="D228" i="7"/>
  <c r="D230" i="7"/>
  <c r="D830" i="7"/>
  <c r="E228" i="7"/>
  <c r="E230" i="7"/>
  <c r="E830" i="7"/>
  <c r="C664" i="7"/>
  <c r="C857" i="7"/>
  <c r="D664" i="7"/>
  <c r="D857" i="7"/>
  <c r="E664" i="7"/>
  <c r="E857" i="7"/>
  <c r="F664" i="7"/>
  <c r="F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BX547" i="3"/>
  <c r="E547" i="7"/>
  <c r="E548" i="7"/>
  <c r="E872" i="7"/>
  <c r="E552" i="7"/>
  <c r="BX553" i="3"/>
  <c r="E553" i="7"/>
  <c r="E554" i="7"/>
  <c r="E873" i="7"/>
  <c r="E558" i="7"/>
  <c r="BX559" i="3"/>
  <c r="E559" i="7"/>
  <c r="E560" i="7"/>
  <c r="E874" i="7"/>
  <c r="BX565" i="3"/>
  <c r="E565" i="7"/>
  <c r="E564" i="7"/>
  <c r="E566" i="7"/>
  <c r="E875" i="7"/>
  <c r="E572" i="7"/>
  <c r="E876" i="7"/>
  <c r="E575" i="7"/>
  <c r="E5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J640" i="7"/>
  <c r="O640" i="7"/>
  <c r="O887" i="7"/>
  <c r="I1065" i="7"/>
  <c r="H1066" i="7"/>
  <c r="J594" i="7"/>
  <c r="BW596" i="3"/>
  <c r="D596" i="7"/>
  <c r="J597" i="7"/>
  <c r="O597" i="7"/>
  <c r="O880" i="7"/>
  <c r="J613" i="7"/>
  <c r="BW614" i="3"/>
  <c r="D614" i="7"/>
  <c r="J615" i="7"/>
  <c r="O615" i="7"/>
  <c r="O883" i="7"/>
  <c r="BW626" i="3"/>
  <c r="D626" i="7"/>
  <c r="J627" i="7"/>
  <c r="O627" i="7"/>
  <c r="O885" i="7"/>
  <c r="I1066" i="7"/>
  <c r="H1067" i="7"/>
  <c r="J503" i="7"/>
  <c r="BW505" i="3"/>
  <c r="D505" i="7"/>
  <c r="J506" i="7"/>
  <c r="O506" i="7"/>
  <c r="O865" i="7"/>
  <c r="I510" i="7"/>
  <c r="J510" i="7"/>
  <c r="J509" i="7"/>
  <c r="BW511" i="3"/>
  <c r="D511" i="7"/>
  <c r="J512" i="7"/>
  <c r="O512" i="7"/>
  <c r="O866" i="7"/>
  <c r="I516" i="7"/>
  <c r="J516" i="7"/>
  <c r="J515" i="7"/>
  <c r="BW517" i="3"/>
  <c r="D517" i="7"/>
  <c r="J518" i="7"/>
  <c r="O518" i="7"/>
  <c r="O867" i="7"/>
  <c r="D522" i="7"/>
  <c r="I522" i="7"/>
  <c r="J522" i="7"/>
  <c r="J521" i="7"/>
  <c r="BW523" i="3"/>
  <c r="D523" i="7"/>
  <c r="J524" i="7"/>
  <c r="O524" i="7"/>
  <c r="O868" i="7"/>
  <c r="J528" i="7"/>
  <c r="BW529" i="3"/>
  <c r="D529" i="7"/>
  <c r="J530" i="7"/>
  <c r="O530" i="7"/>
  <c r="O869" i="7"/>
  <c r="J534" i="7"/>
  <c r="BW535" i="3"/>
  <c r="D535" i="7"/>
  <c r="J536" i="7"/>
  <c r="O536" i="7"/>
  <c r="O870" i="7"/>
  <c r="D540" i="7"/>
  <c r="I540" i="7"/>
  <c r="J540" i="7"/>
  <c r="J539" i="7"/>
  <c r="BW541" i="3"/>
  <c r="D541" i="7"/>
  <c r="J542" i="7"/>
  <c r="O542" i="7"/>
  <c r="O871" i="7"/>
  <c r="J546" i="7"/>
  <c r="BW547" i="3"/>
  <c r="D547" i="7"/>
  <c r="J548" i="7"/>
  <c r="O548" i="7"/>
  <c r="O872" i="7"/>
  <c r="J552" i="7"/>
  <c r="BW553" i="3"/>
  <c r="D553" i="7"/>
  <c r="J554" i="7"/>
  <c r="O554" i="7"/>
  <c r="O873" i="7"/>
  <c r="J558" i="7"/>
  <c r="BW559" i="3"/>
  <c r="D559" i="7"/>
  <c r="J560" i="7"/>
  <c r="O560" i="7"/>
  <c r="O874" i="7"/>
  <c r="J564" i="7"/>
  <c r="BW565" i="3"/>
  <c r="D565" i="7"/>
  <c r="J566" i="7"/>
  <c r="O566" i="7"/>
  <c r="O875" i="7"/>
  <c r="J570" i="7"/>
  <c r="BW571" i="3"/>
  <c r="D571" i="7"/>
  <c r="J572" i="7"/>
  <c r="O572" i="7"/>
  <c r="O876" i="7"/>
  <c r="C576" i="7"/>
  <c r="D576" i="7"/>
  <c r="I576" i="7"/>
  <c r="J576" i="7"/>
  <c r="J575" i="7"/>
  <c r="BW577" i="3"/>
  <c r="D577" i="7"/>
  <c r="J578" i="7"/>
  <c r="O578" i="7"/>
  <c r="O877" i="7"/>
  <c r="J581" i="7"/>
  <c r="BW583" i="3"/>
  <c r="D583" i="7"/>
  <c r="J584" i="7"/>
  <c r="O584" i="7"/>
  <c r="O878" i="7"/>
  <c r="J587" i="7"/>
  <c r="BW589" i="3"/>
  <c r="D589" i="7"/>
  <c r="J590" i="7"/>
  <c r="O590" i="7"/>
  <c r="O879" i="7"/>
  <c r="J601" i="7"/>
  <c r="BW602" i="3"/>
  <c r="D602" i="7"/>
  <c r="J603" i="7"/>
  <c r="O603" i="7"/>
  <c r="O881" i="7"/>
  <c r="J607" i="7"/>
  <c r="BW608" i="3"/>
  <c r="D608" i="7"/>
  <c r="J609" i="7"/>
  <c r="O609" i="7"/>
  <c r="O882" i="7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54" i="7"/>
  <c r="H54" i="7"/>
  <c r="H205" i="7"/>
  <c r="H207" i="7"/>
  <c r="H926" i="7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BV32" i="4"/>
  <c r="BV26" i="4"/>
  <c r="BV63" i="4"/>
  <c r="BV708" i="3"/>
  <c r="C708" i="7"/>
  <c r="H708" i="7"/>
  <c r="H965" i="7"/>
  <c r="BW26" i="4"/>
  <c r="BW32" i="4"/>
  <c r="BW56" i="4"/>
  <c r="BW63" i="4"/>
  <c r="BW708" i="3"/>
  <c r="D708" i="7"/>
  <c r="I708" i="7"/>
  <c r="I965" i="7"/>
  <c r="J708" i="7"/>
  <c r="J965" i="7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721" i="7"/>
  <c r="H721" i="7"/>
  <c r="C722" i="7"/>
  <c r="H722" i="7"/>
  <c r="C723" i="7"/>
  <c r="H723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E722" i="7"/>
  <c r="J722" i="7"/>
  <c r="E723" i="7"/>
  <c r="J723" i="7"/>
  <c r="J724" i="7"/>
  <c r="J969" i="7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H733" i="7"/>
  <c r="C736" i="7"/>
  <c r="H737" i="7"/>
  <c r="H970" i="7"/>
  <c r="D734" i="7"/>
  <c r="I734" i="7"/>
  <c r="D736" i="7"/>
  <c r="D735" i="7"/>
  <c r="I735" i="7"/>
  <c r="I733" i="7"/>
  <c r="I737" i="7"/>
  <c r="I970" i="7"/>
  <c r="E734" i="7"/>
  <c r="J734" i="7"/>
  <c r="E735" i="7"/>
  <c r="J735" i="7"/>
  <c r="E736" i="7"/>
  <c r="J733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BV203" i="4"/>
  <c r="BV210" i="4"/>
  <c r="BV755" i="3"/>
  <c r="C755" i="7"/>
  <c r="H755" i="7"/>
  <c r="H973" i="7"/>
  <c r="I755" i="7"/>
  <c r="I973" i="7"/>
  <c r="J755" i="7"/>
  <c r="J973" i="7"/>
  <c r="K755" i="7"/>
  <c r="K973" i="7"/>
  <c r="C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2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725" i="7"/>
  <c r="J725" i="7"/>
  <c r="E726" i="7"/>
  <c r="J726" i="7"/>
  <c r="J727" i="7"/>
  <c r="J983" i="7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O737" i="7"/>
  <c r="O970" i="7"/>
  <c r="I1075" i="7"/>
  <c r="A1076" i="7"/>
  <c r="H1076" i="7"/>
  <c r="O760" i="7"/>
  <c r="O975" i="7"/>
  <c r="O743" i="7"/>
  <c r="O977" i="7"/>
  <c r="O755" i="7"/>
  <c r="O973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C549" i="7"/>
  <c r="D549" i="7"/>
  <c r="E549" i="7"/>
  <c r="I549" i="7"/>
  <c r="J549" i="7"/>
  <c r="J550" i="7"/>
  <c r="E550" i="7"/>
  <c r="O550" i="7"/>
  <c r="J556" i="7"/>
  <c r="E555" i="7"/>
  <c r="E556" i="7"/>
  <c r="O556" i="7"/>
  <c r="C561" i="7"/>
  <c r="D561" i="7"/>
  <c r="I561" i="7"/>
  <c r="J561" i="7"/>
  <c r="J562" i="7"/>
  <c r="E561" i="7"/>
  <c r="E562" i="7"/>
  <c r="O562" i="7"/>
  <c r="J568" i="7"/>
  <c r="E567" i="7"/>
  <c r="E568" i="7"/>
  <c r="O568" i="7"/>
  <c r="I573" i="7"/>
  <c r="J573" i="7"/>
  <c r="J574" i="7"/>
  <c r="O574" i="7"/>
  <c r="C579" i="7"/>
  <c r="D579" i="7"/>
  <c r="I579" i="7"/>
  <c r="J579" i="7"/>
  <c r="J580" i="7"/>
  <c r="E579" i="7"/>
  <c r="E580" i="7"/>
  <c r="O580" i="7"/>
  <c r="I585" i="7"/>
  <c r="J585" i="7"/>
  <c r="J586" i="7"/>
  <c r="O586" i="7"/>
  <c r="I591" i="7"/>
  <c r="J591" i="7"/>
  <c r="J592" i="7"/>
  <c r="O592" i="7"/>
  <c r="I604" i="7"/>
  <c r="J604" i="7"/>
  <c r="J605" i="7"/>
  <c r="O605" i="7"/>
  <c r="I610" i="7"/>
  <c r="J610" i="7"/>
  <c r="J611" i="7"/>
  <c r="O611" i="7"/>
  <c r="I622" i="7"/>
  <c r="J622" i="7"/>
  <c r="J623" i="7"/>
  <c r="O623" i="7"/>
  <c r="J772" i="7"/>
  <c r="O772" i="7"/>
  <c r="J773" i="7"/>
  <c r="O773" i="7"/>
  <c r="O989" i="7"/>
  <c r="E989" i="7"/>
  <c r="H1031" i="7"/>
  <c r="Q772" i="7"/>
  <c r="Q773" i="7"/>
  <c r="Q774" i="7"/>
  <c r="J774" i="7"/>
  <c r="Q775" i="7"/>
  <c r="Q776" i="7"/>
  <c r="J775" i="7"/>
  <c r="J776" i="7"/>
  <c r="Q781" i="7"/>
  <c r="Q782" i="7"/>
  <c r="Q783" i="7"/>
  <c r="Q784" i="7"/>
  <c r="Q785" i="7"/>
  <c r="J779" i="7"/>
  <c r="J778" i="7"/>
  <c r="J781" i="7"/>
  <c r="J782" i="7"/>
  <c r="J783" i="7"/>
  <c r="J784" i="7"/>
  <c r="J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J788" i="7"/>
  <c r="J790" i="7"/>
  <c r="E791" i="7"/>
  <c r="J791" i="7"/>
  <c r="E792" i="7"/>
  <c r="J792" i="7"/>
  <c r="E793" i="7"/>
  <c r="J793" i="7"/>
  <c r="J794" i="7"/>
  <c r="E795" i="7"/>
  <c r="J795" i="7"/>
  <c r="J796" i="7"/>
  <c r="E797" i="7"/>
  <c r="J797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N755" i="7"/>
  <c r="N973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I791" i="7"/>
  <c r="I792" i="7"/>
  <c r="D793" i="7"/>
  <c r="I793" i="7"/>
  <c r="I794" i="7"/>
  <c r="D795" i="7"/>
  <c r="I795" i="7"/>
  <c r="I796" i="7"/>
  <c r="I797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I809" i="7"/>
  <c r="I810" i="7"/>
  <c r="E1032" i="7"/>
  <c r="I776" i="7"/>
  <c r="I783" i="7"/>
  <c r="I784" i="7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F772" i="7"/>
  <c r="P772" i="7"/>
  <c r="K773" i="7"/>
  <c r="F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K796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1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P737" i="7"/>
  <c r="P970" i="7"/>
  <c r="K1075" i="7"/>
  <c r="J1076" i="7"/>
  <c r="P760" i="7"/>
  <c r="P975" i="7"/>
  <c r="P743" i="7"/>
  <c r="P977" i="7"/>
  <c r="P755" i="7"/>
  <c r="P973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K776" i="7"/>
  <c r="F783" i="7"/>
  <c r="K783" i="7"/>
  <c r="F784" i="7"/>
  <c r="K784" i="7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BV547" i="3"/>
  <c r="C547" i="7"/>
  <c r="C548" i="7"/>
  <c r="C872" i="7"/>
  <c r="BV553" i="3"/>
  <c r="C553" i="7"/>
  <c r="C554" i="7"/>
  <c r="C873" i="7"/>
  <c r="C558" i="7"/>
  <c r="BV559" i="3"/>
  <c r="C559" i="7"/>
  <c r="C560" i="7"/>
  <c r="C874" i="7"/>
  <c r="BV565" i="3"/>
  <c r="C565" i="7"/>
  <c r="C566" i="7"/>
  <c r="C875" i="7"/>
  <c r="C572" i="7"/>
  <c r="C876" i="7"/>
  <c r="C575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M737" i="7"/>
  <c r="M970" i="7"/>
  <c r="D1075" i="7"/>
  <c r="M760" i="7"/>
  <c r="M975" i="7"/>
  <c r="M743" i="7"/>
  <c r="M977" i="7"/>
  <c r="M755" i="7"/>
  <c r="M973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H791" i="7"/>
  <c r="H792" i="7"/>
  <c r="C793" i="7"/>
  <c r="H793" i="7"/>
  <c r="H794" i="7"/>
  <c r="C795" i="7"/>
  <c r="H795" i="7"/>
  <c r="H796" i="7"/>
  <c r="H797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H776" i="7"/>
  <c r="H783" i="7"/>
  <c r="H784" i="7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I616" i="7"/>
  <c r="I567" i="7"/>
  <c r="I555" i="7"/>
  <c r="I531" i="7"/>
  <c r="I501" i="7"/>
  <c r="I492" i="7"/>
  <c r="I483" i="7"/>
  <c r="F805" i="7"/>
  <c r="P805" i="7"/>
  <c r="P809" i="7"/>
  <c r="F810" i="7"/>
  <c r="P810" i="7"/>
  <c r="P999" i="7"/>
  <c r="P41" i="7"/>
  <c r="E805" i="7"/>
  <c r="O805" i="7"/>
  <c r="O809" i="7"/>
  <c r="E810" i="7"/>
  <c r="O810" i="7"/>
  <c r="O999" i="7"/>
  <c r="O41" i="7"/>
  <c r="D805" i="7"/>
  <c r="N805" i="7"/>
  <c r="N809" i="7"/>
  <c r="D810" i="7"/>
  <c r="N810" i="7"/>
  <c r="N999" i="7"/>
  <c r="N41" i="7"/>
  <c r="M805" i="7"/>
  <c r="M809" i="7"/>
  <c r="C810" i="7"/>
  <c r="M810" i="7"/>
  <c r="M999" i="7"/>
  <c r="M41" i="7"/>
  <c r="F802" i="7"/>
  <c r="P802" i="7"/>
  <c r="F803" i="7"/>
  <c r="P803" i="7"/>
  <c r="P998" i="7"/>
  <c r="P40" i="7"/>
  <c r="O802" i="7"/>
  <c r="O803" i="7"/>
  <c r="O998" i="7"/>
  <c r="O40" i="7"/>
  <c r="N802" i="7"/>
  <c r="D803" i="7"/>
  <c r="N803" i="7"/>
  <c r="N998" i="7"/>
  <c r="N40" i="7"/>
  <c r="M802" i="7"/>
  <c r="C803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F801" i="7"/>
  <c r="P801" i="7"/>
  <c r="P996" i="7"/>
  <c r="P38" i="7"/>
  <c r="O801" i="7"/>
  <c r="O996" i="7"/>
  <c r="O38" i="7"/>
  <c r="N801" i="7"/>
  <c r="N996" i="7"/>
  <c r="N38" i="7"/>
  <c r="M801" i="7"/>
  <c r="M996" i="7"/>
  <c r="M38" i="7"/>
  <c r="F799" i="7"/>
  <c r="P799" i="7"/>
  <c r="F800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F774" i="7"/>
  <c r="P774" i="7"/>
  <c r="F775" i="7"/>
  <c r="P775" i="7"/>
  <c r="P776" i="7"/>
  <c r="F782" i="7"/>
  <c r="P782" i="7"/>
  <c r="P783" i="7"/>
  <c r="F806" i="7"/>
  <c r="P806" i="7"/>
  <c r="P992" i="7"/>
  <c r="P34" i="7"/>
  <c r="O774" i="7"/>
  <c r="O775" i="7"/>
  <c r="O776" i="7"/>
  <c r="E782" i="7"/>
  <c r="O782" i="7"/>
  <c r="O783" i="7"/>
  <c r="O806" i="7"/>
  <c r="O992" i="7"/>
  <c r="O34" i="7"/>
  <c r="N774" i="7"/>
  <c r="N775" i="7"/>
  <c r="N776" i="7"/>
  <c r="D782" i="7"/>
  <c r="N782" i="7"/>
  <c r="N783" i="7"/>
  <c r="N806" i="7"/>
  <c r="N992" i="7"/>
  <c r="N34" i="7"/>
  <c r="M774" i="7"/>
  <c r="M775" i="7"/>
  <c r="M776" i="7"/>
  <c r="C782" i="7"/>
  <c r="M782" i="7"/>
  <c r="M783" i="7"/>
  <c r="M806" i="7"/>
  <c r="M992" i="7"/>
  <c r="M34" i="7"/>
  <c r="K616" i="7"/>
  <c r="K617" i="7"/>
  <c r="P617" i="7"/>
  <c r="K599" i="7"/>
  <c r="P599" i="7"/>
  <c r="P629" i="7"/>
  <c r="P990" i="7"/>
  <c r="BY45" i="6"/>
  <c r="BY74" i="6"/>
  <c r="F642" i="7"/>
  <c r="P642" i="7"/>
  <c r="P991" i="7"/>
  <c r="P33" i="7"/>
  <c r="J616" i="7"/>
  <c r="J617" i="7"/>
  <c r="O617" i="7"/>
  <c r="J599" i="7"/>
  <c r="O599" i="7"/>
  <c r="O629" i="7"/>
  <c r="O990" i="7"/>
  <c r="O642" i="7"/>
  <c r="O991" i="7"/>
  <c r="O33" i="7"/>
  <c r="I617" i="7"/>
  <c r="N617" i="7"/>
  <c r="I599" i="7"/>
  <c r="N599" i="7"/>
  <c r="N629" i="7"/>
  <c r="N990" i="7"/>
  <c r="N642" i="7"/>
  <c r="N991" i="7"/>
  <c r="N33" i="7"/>
  <c r="H616" i="7"/>
  <c r="H617" i="7"/>
  <c r="M617" i="7"/>
  <c r="H599" i="7"/>
  <c r="M599" i="7"/>
  <c r="M629" i="7"/>
  <c r="M990" i="7"/>
  <c r="M642" i="7"/>
  <c r="M991" i="7"/>
  <c r="M33" i="7"/>
  <c r="P475" i="7"/>
  <c r="K483" i="7"/>
  <c r="I479" i="7"/>
  <c r="K479" i="7"/>
  <c r="K478" i="7"/>
  <c r="K484" i="7"/>
  <c r="F483" i="7"/>
  <c r="F484" i="7"/>
  <c r="P484" i="7"/>
  <c r="K492" i="7"/>
  <c r="I488" i="7"/>
  <c r="K488" i="7"/>
  <c r="K487" i="7"/>
  <c r="K493" i="7"/>
  <c r="F492" i="7"/>
  <c r="F493" i="7"/>
  <c r="P493" i="7"/>
  <c r="K501" i="7"/>
  <c r="K496" i="7"/>
  <c r="K502" i="7"/>
  <c r="P502" i="7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D755" i="7"/>
  <c r="E755" i="7"/>
  <c r="F755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C800" i="7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6" i="7"/>
  <c r="D779" i="7"/>
  <c r="F780" i="7"/>
  <c r="F778" i="7"/>
  <c r="F781" i="7"/>
  <c r="F788" i="7"/>
  <c r="F785" i="7"/>
  <c r="F796" i="7"/>
  <c r="F797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3" i="7"/>
  <c r="E806" i="7"/>
  <c r="E780" i="7"/>
  <c r="E778" i="7"/>
  <c r="E781" i="7"/>
  <c r="E788" i="7"/>
  <c r="E784" i="7"/>
  <c r="E785" i="7"/>
  <c r="E794" i="7"/>
  <c r="E796" i="7"/>
  <c r="E798" i="7"/>
  <c r="E801" i="7"/>
  <c r="E802" i="7"/>
  <c r="E803" i="7"/>
  <c r="E809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3" i="7"/>
  <c r="D806" i="7"/>
  <c r="D780" i="7"/>
  <c r="D778" i="7"/>
  <c r="D781" i="7"/>
  <c r="D788" i="7"/>
  <c r="D784" i="7"/>
  <c r="D785" i="7"/>
  <c r="D791" i="7"/>
  <c r="D792" i="7"/>
  <c r="D794" i="7"/>
  <c r="D796" i="7"/>
  <c r="D797" i="7"/>
  <c r="D798" i="7"/>
  <c r="D801" i="7"/>
  <c r="D802" i="7"/>
  <c r="D809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3" i="7"/>
  <c r="C806" i="7"/>
  <c r="C780" i="7"/>
  <c r="C778" i="7"/>
  <c r="C781" i="7"/>
  <c r="C788" i="7"/>
  <c r="C784" i="7"/>
  <c r="C785" i="7"/>
  <c r="C791" i="7"/>
  <c r="C792" i="7"/>
  <c r="C794" i="7"/>
  <c r="C796" i="7"/>
  <c r="C797" i="7"/>
  <c r="C798" i="7"/>
  <c r="C801" i="7"/>
  <c r="C802" i="7"/>
  <c r="C805" i="7"/>
  <c r="C809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73" i="3"/>
  <c r="BV985" i="3"/>
  <c r="BV526" i="3"/>
  <c r="BV514" i="3"/>
  <c r="BV568" i="3"/>
  <c r="BV562" i="3"/>
  <c r="BV556" i="3"/>
  <c r="BV550" i="3"/>
  <c r="BV544" i="3"/>
  <c r="BV538" i="3"/>
  <c r="BV989" i="3"/>
  <c r="BV994" i="3"/>
  <c r="BV998" i="3"/>
  <c r="BV997" i="3"/>
  <c r="BV992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Y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F551" i="7"/>
  <c r="E551" i="7"/>
  <c r="D551" i="7"/>
  <c r="C551" i="7"/>
  <c r="F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887" i="7"/>
  <c r="Q886" i="7"/>
  <c r="R886" i="7"/>
  <c r="Q885" i="7"/>
  <c r="Q883" i="7"/>
  <c r="Q882" i="7"/>
  <c r="R882" i="7"/>
  <c r="Q880" i="7"/>
  <c r="Q879" i="7"/>
  <c r="Q878" i="7"/>
  <c r="Q877" i="7"/>
  <c r="Q875" i="7"/>
  <c r="Q874" i="7"/>
  <c r="Q873" i="7"/>
  <c r="Q871" i="7"/>
  <c r="Q870" i="7"/>
  <c r="Q869" i="7"/>
  <c r="Q868" i="7"/>
  <c r="Q867" i="7"/>
  <c r="R867" i="7"/>
  <c r="Q865" i="7"/>
  <c r="Q862" i="7"/>
  <c r="D647" i="7"/>
  <c r="I647" i="7"/>
  <c r="D653" i="7"/>
  <c r="I653" i="7"/>
  <c r="D659" i="7"/>
  <c r="I659" i="7"/>
  <c r="F733" i="7"/>
  <c r="K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C735" i="7"/>
  <c r="H735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<sst xmlns="http://schemas.openxmlformats.org/spreadsheetml/2006/main" count="5506" uniqueCount="1197">
  <si>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</si>
  <si>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</si>
  <si>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</si>
  <si>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</si>
  <si>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</si>
  <si>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</si>
  <si>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</si>
  <si>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</si>
  <si>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</si>
  <si>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</si>
  <si>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</si>
  <si>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</si>
  <si>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</si>
  <si>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</si>
  <si>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</si>
  <si>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</si>
  <si>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</si>
  <si>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</si>
  <si>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</si>
  <si>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</si>
  <si>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</si>
  <si>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</si>
  <si>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</si>
  <si>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</si>
  <si>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</si>
  <si>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</si>
  <si>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</si>
  <si>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</si>
  <si>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</si>
  <si>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</si>
  <si>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</si>
  <si>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</si>
  <si>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</si>
  <si>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</si>
  <si>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</si>
  <si>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</si>
  <si>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</si>
  <si>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</si>
  <si>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</si>
  <si>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</si>
  <si>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</si>
  <si>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</si>
  <si>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</si>
  <si>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</si>
  <si>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</si>
  <si>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</si>
  <si>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</si>
  <si>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</si>
  <si>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</si>
  <si>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</si>
  <si>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</si>
  <si>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</si>
  <si>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</si>
  <si>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</si>
  <si>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</si>
  <si>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</si>
  <si>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</si>
  <si>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</si>
  <si>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</si>
  <si>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</si>
  <si>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</si>
  <si>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</si>
  <si>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</si>
  <si>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</si>
  <si>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</si>
  <si>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</si>
  <si>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</si>
  <si>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</si>
  <si>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</si>
  <si>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</si>
  <si>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</si>
  <si>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</si>
  <si>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</si>
  <si>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</si>
  <si>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</si>
  <si>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</si>
  <si>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</si>
  <si>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</si>
  <si>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</si>
  <si>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</si>
  <si>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</si>
  <si>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</si>
  <si>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</si>
  <si>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</si>
  <si>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</si>
  <si>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</si>
  <si>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</si>
  <si>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</si>
  <si>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</si>
  <si>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</si>
  <si>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</si>
  <si>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</si>
  <si>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</si>
  <si>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</si>
  <si>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</si>
  <si>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</si>
  <si>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</si>
  <si>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</si>
  <si>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</si>
  <si>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</si>
  <si>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</si>
  <si>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</si>
  <si>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</si>
  <si>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</si>
  <si>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</si>
  <si>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</si>
  <si>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</si>
  <si>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</si>
  <si>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</si>
  <si>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</si>
  <si>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</si>
  <si>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</si>
  <si>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</si>
  <si>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</si>
  <si>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</si>
  <si>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</si>
  <si>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</si>
  <si>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</si>
  <si>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</si>
  <si>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</si>
  <si>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</si>
  <si>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</si>
  <si>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</si>
  <si>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</si>
  <si>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</si>
  <si>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</si>
  <si>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</si>
  <si>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</si>
  <si>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</si>
  <si>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</si>
  <si>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</si>
  <si>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</si>
  <si>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</si>
  <si>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</si>
  <si>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</si>
  <si>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</si>
  <si>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</si>
  <si>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</si>
  <si>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</si>
  <si>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</si>
  <si>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</si>
  <si>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</si>
  <si>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</si>
  <si>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</si>
  <si>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</si>
  <si>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</si>
  <si>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</si>
  <si>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</si>
  <si>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</si>
  <si>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</si>
  <si>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</si>
  <si>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</si>
  <si>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</si>
  <si>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</si>
  <si>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</si>
  <si>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</si>
  <si>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</si>
  <si>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</si>
  <si>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</si>
  <si>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</si>
  <si>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</si>
  <si>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</si>
  <si>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</si>
  <si>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</si>
  <si>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</si>
  <si>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</si>
  <si>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</si>
  <si>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</si>
  <si>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</si>
  <si>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</si>
  <si>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</si>
  <si>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</si>
  <si>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</si>
  <si>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</si>
  <si>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</si>
  <si>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</si>
  <si>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</si>
  <si>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</si>
  <si>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</si>
  <si>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</si>
  <si>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</si>
  <si>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</si>
  <si>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</si>
  <si>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</si>
  <si>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</si>
  <si>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</si>
  <si>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</si>
  <si>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</si>
  <si>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</si>
  <si>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</si>
  <si>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</si>
  <si>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</si>
  <si>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</si>
  <si>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</si>
  <si>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</si>
  <si>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</si>
  <si>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</si>
  <si>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</si>
  <si>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</si>
  <si>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</si>
  <si>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</si>
  <si>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</si>
  <si>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</si>
  <si>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</si>
  <si>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</si>
  <si>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</si>
  <si>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</si>
  <si>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</si>
  <si>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</si>
  <si>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</si>
  <si>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</si>
  <si>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</si>
  <si>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</si>
  <si>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</si>
  <si>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</si>
  <si>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</si>
  <si>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</si>
  <si>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</si>
  <si>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</si>
  <si>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</si>
  <si>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</si>
  <si>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</si>
  <si>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</si>
  <si>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</si>
  <si>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</si>
  <si>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</si>
  <si>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</si>
  <si>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</si>
  <si>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</si>
  <si>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</si>
  <si>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</si>
  <si>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</si>
  <si>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</si>
  <si>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</si>
  <si>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</si>
  <si>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</si>
  <si>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</si>
  <si>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</si>
  <si>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</si>
  <si>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</si>
  <si>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</si>
  <si>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</si>
  <si>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</si>
  <si>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</si>
  <si>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</si>
  <si>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</si>
  <si>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</si>
  <si>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</si>
  <si>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</si>
  <si>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</si>
  <si>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</si>
  <si>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</si>
  <si>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</si>
  <si>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</si>
  <si>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</si>
  <si>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</si>
  <si>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</si>
  <si>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</si>
  <si>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</si>
  <si>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</si>
  <si>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</si>
  <si>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</si>
  <si>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</si>
  <si>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</si>
  <si>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</si>
  <si>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</si>
  <si>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</si>
  <si>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</si>
  <si>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</si>
  <si>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</si>
  <si>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</si>
  <si>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</si>
  <si>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</si>
  <si>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</si>
  <si>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</si>
  <si>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</si>
  <si>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</si>
  <si>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</si>
  <si>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</si>
  <si>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</si>
  <si>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</si>
  <si>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</si>
  <si>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</si>
  <si>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</si>
  <si>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</si>
  <si>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</si>
  <si>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</si>
  <si>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</si>
  <si>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</si>
  <si>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</si>
  <si>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</si>
  <si>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</si>
  <si>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</si>
  <si>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</si>
  <si>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</si>
  <si>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</si>
  <si>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</si>
  <si>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</si>
  <si>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</si>
  <si>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</si>
  <si>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</si>
  <si>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</si>
  <si>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</si>
  <si>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</si>
  <si>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</si>
  <si>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</si>
  <si>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</si>
  <si>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</si>
  <si>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</si>
  <si>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</si>
  <si>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</si>
  <si>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</si>
  <si>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</si>
  <si>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</si>
  <si>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</si>
  <si>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</si>
  <si>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</si>
  <si>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</si>
  <si>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</si>
  <si>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</si>
  <si>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</si>
  <si>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</si>
  <si>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</si>
  <si>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</si>
  <si>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</si>
  <si>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</si>
  <si>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</si>
  <si>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</si>
  <si>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</si>
  <si>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</si>
  <si>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</si>
  <si>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</si>
  <si>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</si>
  <si>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</si>
  <si>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</si>
  <si>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</si>
  <si>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</si>
  <si>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</si>
  <si>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</si>
  <si>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</si>
  <si>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</si>
  <si>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</si>
  <si>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</si>
  <si>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</si>
  <si>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</si>
  <si>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</si>
  <si>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</si>
  <si>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</si>
  <si>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</si>
  <si>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</si>
  <si>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</si>
  <si>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</si>
  <si>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</si>
  <si>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</si>
  <si>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</si>
  <si>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</si>
  <si>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</si>
  <si>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</si>
  <si>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</si>
  <si>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</si>
  <si>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</si>
  <si>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</si>
  <si>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</si>
  <si>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</si>
  <si>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</si>
  <si>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</si>
  <si>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</si>
  <si>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</si>
  <si>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</si>
  <si>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</si>
  <si>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</si>
  <si>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</si>
  <si>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</si>
  <si>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</si>
  <si>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</si>
  <si>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</si>
  <si>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</si>
  <si>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</si>
  <si>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</si>
  <si>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</si>
  <si>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</si>
  <si>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</si>
  <si>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</si>
  <si>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</si>
  <si>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</si>
  <si>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</si>
  <si>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</si>
  <si>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</si>
  <si>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</si>
  <si>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</si>
  <si>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</si>
  <si>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</si>
  <si>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</si>
  <si>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</si>
  <si>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</si>
  <si>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</si>
  <si>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</si>
  <si>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</si>
  <si>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</si>
  <si>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</si>
  <si>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</si>
  <si>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</si>
  <si>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</si>
  <si>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</si>
  <si>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</si>
  <si>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</si>
  <si>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</si>
  <si>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</si>
  <si>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</si>
  <si>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</si>
  <si>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</si>
  <si>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</si>
  <si>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</si>
  <si>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</si>
  <si>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</si>
  <si>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</si>
  <si>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</si>
  <si>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</si>
  <si>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</si>
  <si>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</si>
  <si>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</si>
  <si>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</si>
  <si>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</si>
  <si>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</si>
  <si>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</si>
  <si>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</si>
  <si>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</si>
  <si>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</si>
  <si>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</si>
  <si>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</si>
  <si>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</si>
  <si>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</si>
  <si>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</si>
  <si>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</si>
  <si>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</si>
  <si>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</si>
  <si>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</si>
  <si>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</si>
  <si>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</si>
  <si>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</si>
  <si>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</si>
  <si>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</si>
  <si>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</si>
  <si>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</si>
  <si>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</si>
  <si>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</si>
  <si>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</si>
  <si>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</si>
  <si>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</si>
  <si>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</si>
  <si>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</si>
  <si>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</si>
  <si>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</si>
  <si>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</si>
  <si>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</si>
  <si>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</si>
  <si>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</si>
  <si>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</si>
  <si>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</si>
  <si>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</si>
  <si>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</si>
  <si>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</si>
  <si>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</si>
  <si>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</si>
  <si>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</si>
  <si>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</si>
  <si>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</si>
  <si>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</si>
  <si>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</si>
  <si>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</si>
  <si>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</si>
  <si>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</si>
  <si>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</si>
  <si>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</si>
  <si>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</si>
  <si>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</si>
  <si>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</si>
  <si>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</si>
  <si>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</si>
  <si>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</si>
  <si>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</si>
  <si>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</si>
  <si>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</si>
  <si>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</si>
  <si>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</si>
  <si>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</si>
  <si>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</si>
  <si>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</si>
  <si>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</si>
  <si>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</si>
  <si>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</si>
  <si>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</si>
  <si>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</si>
  <si>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</si>
  <si>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</si>
  <si>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</si>
  <si>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</si>
  <si>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</si>
  <si>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</si>
  <si>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</si>
  <si>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</si>
  <si>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</si>
  <si>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</si>
  <si>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</si>
  <si>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</si>
  <si>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</si>
  <si>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</si>
  <si>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</si>
  <si>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</si>
  <si>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</si>
  <si>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</si>
  <si>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</si>
  <si>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</si>
  <si>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</si>
  <si>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</si>
  <si>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</si>
  <si>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</si>
  <si>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</si>
  <si>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</si>
  <si>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</si>
  <si>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</si>
  <si>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</si>
  <si>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</si>
  <si>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</si>
  <si>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</si>
  <si>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</si>
  <si>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</si>
  <si>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</si>
  <si>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</si>
  <si>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</si>
  <si>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</si>
  <si>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</si>
  <si>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</si>
  <si>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</si>
  <si>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</si>
  <si>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</si>
  <si>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</si>
  <si>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</si>
  <si>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</si>
  <si>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</si>
  <si>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</si>
  <si>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</si>
  <si>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</si>
  <si>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</si>
  <si>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</si>
  <si>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</si>
  <si>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</si>
  <si>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</si>
  <si>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</si>
  <si>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</si>
  <si>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</si>
  <si>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</si>
  <si>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</si>
  <si>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</si>
  <si>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</si>
  <si>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</si>
  <si>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</si>
  <si>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</si>
  <si>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</si>
  <si>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</si>
  <si>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</si>
  <si>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</si>
  <si>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</si>
  <si>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</si>
  <si>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</si>
  <si>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</si>
  <si>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</si>
  <si>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</si>
  <si>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</si>
  <si>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</si>
  <si>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</si>
  <si>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</si>
  <si>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</si>
  <si>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</si>
  <si>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</si>
  <si>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</si>
  <si>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</si>
  <si>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</si>
  <si>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</si>
  <si>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</si>
  <si>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</si>
  <si>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</si>
  <si>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</si>
  <si>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</si>
  <si>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</si>
  <si>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</si>
  <si>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</si>
  <si>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</si>
  <si>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</si>
  <si>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</si>
  <si>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</si>
  <si>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</si>
  <si>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</si>
  <si>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</si>
  <si>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</si>
  <si>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</si>
  <si>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</si>
  <si>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</si>
  <si>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</si>
  <si>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</si>
  <si>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</si>
  <si>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</si>
  <si>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</si>
  <si>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</si>
  <si>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</si>
  <si>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</si>
  <si>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</si>
  <si>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</si>
  <si>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</si>
  <si>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</si>
  <si>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</si>
  <si>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</si>
  <si>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</si>
  <si>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</si>
  <si>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</si>
  <si>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</si>
  <si>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</si>
  <si>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</si>
  <si>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</si>
  <si>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</si>
  <si>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</si>
  <si>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</si>
  <si>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</si>
  <si>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</si>
  <si>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</si>
  <si>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</si>
  <si>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</si>
  <si>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</si>
  <si>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</si>
  <si>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</si>
  <si>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</si>
  <si>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</si>
  <si>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</si>
  <si>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</si>
  <si>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</si>
  <si>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</si>
  <si>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</si>
  <si>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</si>
  <si>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</si>
  <si>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</si>
  <si>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</si>
  <si>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</si>
  <si>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</si>
  <si>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</si>
  <si>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</si>
  <si>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</si>
  <si>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</si>
  <si>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</si>
  <si>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</si>
  <si>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</si>
  <si>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</si>
  <si>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</si>
  <si>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</si>
  <si>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</si>
  <si>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</si>
  <si>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</si>
  <si>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</si>
  <si>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</si>
  <si>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</si>
  <si>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</si>
  <si>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</si>
  <si>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</si>
  <si>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</si>
  <si>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</si>
  <si>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</si>
  <si>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</si>
  <si>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</si>
  <si>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</si>
  <si>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</si>
  <si>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</si>
  <si>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</si>
  <si>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</si>
  <si>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</si>
  <si>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</si>
  <si>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</si>
  <si>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</si>
  <si>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</si>
  <si>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</si>
  <si>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</si>
  <si>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</si>
  <si>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</si>
  <si>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</si>
  <si>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</si>
  <si>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</si>
  <si>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</si>
  <si>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</si>
  <si>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</si>
  <si>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</si>
  <si>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</si>
  <si>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</si>
  <si>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</si>
  <si>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</si>
  <si>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</si>
  <si>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</si>
  <si>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</si>
  <si>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</si>
  <si>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</si>
  <si>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</si>
  <si>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</si>
  <si>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</si>
  <si>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</si>
  <si>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</si>
  <si>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</si>
  <si>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</si>
  <si>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</si>
  <si>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</si>
  <si>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</si>
  <si>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</si>
  <si>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</si>
  <si>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</si>
  <si>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</si>
  <si>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</si>
  <si>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</si>
  <si>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</si>
  <si>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</si>
  <si>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</si>
  <si>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</si>
  <si>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</si>
  <si>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</si>
  <si>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</si>
  <si>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</si>
  <si>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</si>
  <si>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</si>
  <si>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</si>
  <si>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</si>
  <si>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</si>
  <si>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</si>
  <si>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</si>
  <si>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</si>
  <si>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</si>
  <si>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</si>
  <si>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</si>
  <si>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</si>
  <si>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</si>
  <si>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</si>
  <si>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</si>
  <si>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</si>
  <si>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</si>
  <si>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</si>
  <si>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</si>
  <si>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</si>
  <si>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</si>
  <si>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</si>
  <si>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</si>
  <si>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</si>
  <si>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</si>
  <si>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</si>
  <si>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</si>
  <si>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</si>
  <si>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</si>
  <si>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</si>
  <si>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</si>
  <si>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</si>
  <si>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</si>
  <si>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</si>
  <si>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</si>
  <si>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</si>
  <si>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</si>
  <si>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</si>
  <si>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</si>
  <si>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</si>
  <si>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</si>
  <si>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</si>
  <si>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</si>
  <si>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</si>
  <si>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</si>
  <si>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</si>
  <si>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</si>
  <si>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</si>
  <si>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</si>
  <si>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</si>
  <si>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</si>
  <si>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</si>
  <si>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</si>
  <si>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</si>
  <si>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</si>
  <si>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</si>
  <si>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</si>
  <si>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</si>
  <si>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</si>
  <si>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</si>
  <si>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</si>
  <si>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</si>
  <si>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</si>
  <si>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</si>
  <si>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</si>
  <si>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</si>
  <si>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</si>
  <si>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</si>
  <si>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</si>
  <si>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</si>
  <si>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</si>
  <si>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</si>
  <si>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</si>
  <si>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</si>
  <si>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</si>
  <si>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</si>
  <si>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</si>
  <si>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</si>
  <si>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</si>
  <si>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</si>
  <si>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</si>
  <si>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</si>
  <si>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</si>
  <si>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</si>
  <si>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</si>
  <si>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</si>
  <si>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</si>
  <si>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</si>
  <si>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</si>
  <si>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</si>
  <si>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</si>
  <si>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</si>
  <si>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</si>
  <si>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</si>
  <si>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</si>
  <si>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</si>
  <si>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</si>
  <si>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</si>
  <si>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</si>
  <si>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</si>
  <si>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</si>
  <si>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</si>
  <si>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</si>
  <si>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</si>
  <si>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</si>
  <si>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</si>
  <si>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</si>
  <si>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</si>
  <si>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</si>
  <si>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</si>
  <si>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</si>
  <si>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</si>
  <si>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</si>
  <si>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</si>
  <si>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</si>
  <si>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</si>
  <si>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</si>
  <si>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</si>
  <si>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</si>
  <si>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</si>
  <si>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</si>
  <si>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</si>
  <si>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</si>
  <si>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</si>
  <si>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</si>
  <si>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</si>
  <si>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</si>
  <si>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</si>
  <si>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</si>
  <si>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</si>
  <si>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</si>
  <si>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</si>
  <si>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</si>
  <si>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</si>
  <si>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</si>
  <si>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</si>
  <si>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</si>
  <si>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</si>
  <si>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</si>
  <si>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</si>
  <si>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</si>
  <si>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</si>
  <si>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</si>
  <si>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</si>
  <si>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</si>
  <si>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</si>
  <si>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</si>
  <si>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</si>
  <si>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</si>
  <si>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</si>
  <si>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</si>
  <si>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</si>
  <si>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</si>
  <si>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</si>
  <si>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</si>
  <si>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</si>
  <si>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</si>
  <si>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</si>
  <si>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</si>
  <si>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</si>
  <si>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</si>
  <si>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</si>
  <si>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</si>
  <si>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</si>
  <si>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</si>
  <si>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</si>
  <si>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</si>
  <si>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</si>
  <si>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</si>
  <si>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</si>
  <si>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</si>
  <si>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</si>
  <si>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</si>
  <si>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</si>
  <si>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</si>
  <si>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</si>
  <si>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</si>
  <si>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</si>
  <si>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</si>
  <si>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</si>
  <si>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</si>
  <si>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</si>
  <si>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</si>
  <si>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</si>
  <si>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</si>
  <si>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</si>
  <si>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</si>
  <si>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</si>
  <si>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</si>
  <si>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</si>
  <si>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</si>
  <si>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</si>
  <si>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</si>
  <si>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</si>
  <si>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</si>
  <si>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</si>
  <si>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</si>
  <si>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</si>
  <si>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</si>
  <si>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</si>
  <si>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</si>
  <si>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</si>
  <si>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</si>
  <si>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</si>
  <si>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</si>
  <si>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</si>
  <si>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</si>
  <si>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</si>
  <si>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</si>
  <si>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</si>
  <si>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</si>
  <si>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</si>
  <si>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</si>
  <si>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</si>
  <si>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</si>
  <si>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</si>
  <si>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</si>
  <si>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</si>
  <si>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</si>
  <si>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</si>
  <si>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</si>
  <si>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</si>
  <si>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</si>
  <si>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</si>
  <si>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</si>
  <si>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</si>
  <si>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</si>
  <si>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</si>
  <si>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</si>
  <si>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</si>
  <si>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</si>
  <si>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</si>
  <si>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</si>
  <si>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</si>
  <si>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</si>
  <si>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</si>
  <si>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</si>
  <si>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</si>
  <si>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</si>
  <si>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</si>
  <si>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</si>
  <si>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</si>
  <si>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</si>
  <si>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</si>
  <si>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</si>
  <si>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</si>
  <si>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</si>
  <si>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</si>
  <si>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</si>
  <si>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</si>
  <si>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</si>
  <si>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</si>
  <si>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</si>
  <si>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</si>
  <si>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</si>
  <si>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</si>
  <si>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</si>
  <si>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</si>
  <si>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</si>
  <si>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</si>
  <si>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</si>
  <si>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</si>
  <si>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</si>
  <si>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</si>
  <si>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</si>
  <si>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</si>
  <si>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</si>
  <si>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</si>
  <si>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</si>
  <si>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</si>
  <si>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</si>
  <si>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</si>
  <si>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</si>
  <si>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</si>
  <si>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</si>
  <si>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</si>
  <si>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</si>
  <si>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</si>
  <si>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</si>
  <si>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</si>
  <si>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</si>
  <si>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</si>
  <si>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</si>
  <si>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</si>
  <si>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</si>
  <si>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</si>
  <si>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</si>
  <si>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</si>
  <si>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</si>
  <si>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</si>
  <si>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</si>
  <si>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</si>
  <si>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</si>
  <si>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</si>
  <si>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</si>
  <si>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</si>
  <si>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</si>
  <si>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</si>
  <si>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</si>
  <si>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</si>
  <si>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</si>
  <si>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</si>
  <si>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</si>
  <si>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</si>
  <si>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</si>
  <si>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</si>
  <si>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</si>
  <si>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</si>
  <si>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</si>
  <si>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</si>
  <si>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</si>
  <si>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</si>
  <si>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</si>
  <si>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</si>
  <si>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</si>
  <si>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</si>
  <si>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</si>
  <si>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</si>
  <si>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</si>
  <si>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</si>
  <si>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</si>
  <si>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</si>
  <si>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</si>
  <si>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</si>
  <si>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</si>
  <si>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</si>
  <si>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</si>
  <si>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</si>
  <si>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</si>
  <si>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</si>
  <si>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</si>
  <si>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</si>
  <si>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</si>
  <si>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</si>
  <si>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</si>
  <si>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</si>
  <si>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</si>
  <si>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</si>
  <si>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</si>
  <si>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</si>
  <si>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</si>
  <si>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</si>
  <si>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</si>
  <si>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</si>
  <si>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</si>
  <si>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</si>
  <si>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</si>
  <si>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</si>
  <si>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</si>
  <si>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</si>
  <si>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</si>
  <si>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</si>
  <si>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</si>
  <si>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</si>
  <si>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</si>
  <si>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</si>
  <si>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</si>
  <si>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</si>
  <si>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</si>
  <si>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</si>
  <si>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</si>
  <si>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</si>
  <si>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</si>
  <si>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</si>
  <si>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</si>
  <si>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</si>
  <si>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</si>
  <si>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</si>
  <si>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</si>
  <si>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</si>
  <si>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</si>
  <si>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</si>
  <si>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</si>
  <si>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</si>
  <si>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</si>
  <si>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</si>
  <si>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</si>
  <si>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</si>
  <si>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</si>
  <si>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</si>
  <si>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</si>
  <si>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</si>
  <si>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</si>
  <si>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</si>
  <si>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</si>
  <si>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</si>
  <si>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</si>
  <si>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</si>
  <si>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</si>
  <si>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</si>
  <si>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</si>
  <si>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</si>
  <si>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</si>
  <si>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</si>
  <si>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</si>
  <si>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</si>
  <si>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</si>
  <si>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</si>
  <si>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</si>
  <si>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</si>
  <si>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</si>
  <si>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</si>
  <si>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</si>
  <si>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</si>
  <si>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</si>
  <si>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</si>
  <si>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</si>
  <si>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</si>
  <si>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</si>
  <si>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</si>
  <si>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</si>
  <si>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</si>
  <si>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</si>
  <si>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</si>
  <si>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</si>
  <si>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</si>
  <si>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</si>
  <si>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</si>
  <si>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</si>
  <si>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</si>
  <si>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</si>
  <si>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</si>
  <si>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</si>
  <si>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</si>
  <si>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</si>
  <si>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</si>
  <si>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</si>
  <si>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</si>
  <si>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</si>
  <si>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</si>
  <si>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</si>
  <si>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</si>
  <si>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</si>
  <si>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</si>
  <si>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</si>
  <si>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</si>
  <si>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</si>
  <si>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</si>
  <si>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</si>
  <si>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</si>
  <si>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</si>
  <si>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</si>
  <si>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</si>
  <si>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</si>
  <si>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</si>
  <si>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</si>
  <si>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</si>
  <si>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</si>
  <si>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</si>
  <si>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</si>
  <si>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</si>
  <si>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</si>
  <si>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</si>
  <si>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</si>
  <si>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</si>
  <si>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</si>
  <si>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</si>
  <si>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</si>
  <si>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</si>
  <si>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</si>
  <si>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</si>
  <si>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Cas</t>
  </si>
  <si>
    <t>Seasonal</t>
  </si>
  <si>
    <t>Casual</t>
  </si>
  <si>
    <t>Man</t>
  </si>
  <si>
    <t>Management</t>
  </si>
  <si>
    <t>ZAFW</t>
  </si>
  <si>
    <t>White bread purchase</t>
  </si>
  <si>
    <t>Poultry purchase</t>
  </si>
  <si>
    <t>Taxi or transport Industry</t>
  </si>
  <si>
    <t>Temp</t>
  </si>
  <si>
    <t>Temporary</t>
  </si>
  <si>
    <t>Parking cars, guarding</t>
  </si>
  <si>
    <t>Ftime</t>
  </si>
  <si>
    <t>Full-time</t>
  </si>
  <si>
    <t>Commercial farm workers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</si>
</sst>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9" fontId="43" fillId="2" borderId="174" xfId="0" applyNumberFormat="1" applyFont="1" applyFill="1" applyBorder="1" applyAlignment="1">
      <alignment horizontal="right" vertical="center"/>
    </xf>
    <xf numFmtId="0" fontId="43" fillId="7" borderId="174" xfId="0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6799176"/>
        <c:axId val="-2136795944"/>
      </c:lineChart>
      <c:catAx>
        <c:axId val="-2136799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6795944"/>
        <c:crosses val="autoZero"/>
        <c:auto val="1"/>
        <c:lblAlgn val="ctr"/>
        <c:lblOffset val="100"/>
        <c:noMultiLvlLbl val="1"/>
      </c:catAx>
      <c:valAx>
        <c:axId val="-2136795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67991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36761304"/>
        <c:axId val="-2136758072"/>
      </c:lineChart>
      <c:catAx>
        <c:axId val="-2136761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6758072"/>
        <c:crosses val="autoZero"/>
        <c:auto val="1"/>
        <c:lblAlgn val="ctr"/>
        <c:lblOffset val="100"/>
        <c:noMultiLvlLbl val="1"/>
      </c:catAx>
      <c:valAx>
        <c:axId val="-2136758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6761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6715368"/>
        <c:axId val="-2136712136"/>
      </c:barChart>
      <c:catAx>
        <c:axId val="-21367153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6712136"/>
        <c:crosses val="autoZero"/>
        <c:auto val="1"/>
        <c:lblAlgn val="ctr"/>
        <c:lblOffset val="100"/>
        <c:noMultiLvlLbl val="1"/>
      </c:catAx>
      <c:valAx>
        <c:axId val="-213671213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67153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965304"/>
        <c:axId val="2087956088"/>
      </c:barChart>
      <c:catAx>
        <c:axId val="208796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956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7956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96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10630.0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4500.0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27600.0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856488"/>
        <c:axId val="2087859832"/>
      </c:barChart>
      <c:catAx>
        <c:axId val="2087856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859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7859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856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1100.0</c:v>
                </c:pt>
                <c:pt idx="1">
                  <c:v>2156.0</c:v>
                </c:pt>
                <c:pt idx="2">
                  <c:v>5277.0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773.0</c:v>
                </c:pt>
                <c:pt idx="1">
                  <c:v>631.0</c:v>
                </c:pt>
                <c:pt idx="2">
                  <c:v>3100.0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4000.0</c:v>
                </c:pt>
                <c:pt idx="1">
                  <c:v>2000.0</c:v>
                </c:pt>
                <c:pt idx="2">
                  <c:v>2000.0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1360.0</c:v>
                </c:pt>
                <c:pt idx="1">
                  <c:v>1900.0</c:v>
                </c:pt>
                <c:pt idx="2">
                  <c:v>5263.0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2309.0</c:v>
                </c:pt>
                <c:pt idx="1">
                  <c:v>5500.0</c:v>
                </c:pt>
                <c:pt idx="2">
                  <c:v>11000.0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810.0799999999981</c:v>
                </c:pt>
                <c:pt idx="1">
                  <c:v>502.0799999999981</c:v>
                </c:pt>
                <c:pt idx="2">
                  <c:v>2198.080000000002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012024"/>
        <c:axId val="2102936616"/>
      </c:barChart>
      <c:catAx>
        <c:axId val="210301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293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293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012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10630.0</c:v>
                </c:pt>
                <c:pt idx="1">
                  <c:v>14500.0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4200.0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4500.0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27600.0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390888"/>
        <c:axId val="2103341064"/>
      </c:barChart>
      <c:catAx>
        <c:axId val="210339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341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3341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390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1100.0</c:v>
                </c:pt>
                <c:pt idx="1">
                  <c:v>2156.0</c:v>
                </c:pt>
                <c:pt idx="2">
                  <c:v>5277.0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773.0</c:v>
                </c:pt>
                <c:pt idx="1">
                  <c:v>631.0</c:v>
                </c:pt>
                <c:pt idx="2">
                  <c:v>3100.0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4000.0</c:v>
                </c:pt>
                <c:pt idx="1">
                  <c:v>2000.0</c:v>
                </c:pt>
                <c:pt idx="2">
                  <c:v>2000.0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1360.0</c:v>
                </c:pt>
                <c:pt idx="1">
                  <c:v>1900.0</c:v>
                </c:pt>
                <c:pt idx="2">
                  <c:v>5263.0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2309.0</c:v>
                </c:pt>
                <c:pt idx="1">
                  <c:v>5500.0</c:v>
                </c:pt>
                <c:pt idx="2">
                  <c:v>11000.0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810.0799999999981</c:v>
                </c:pt>
                <c:pt idx="1">
                  <c:v>502.0799999999981</c:v>
                </c:pt>
                <c:pt idx="2">
                  <c:v>2198.080000000002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288568"/>
        <c:axId val="2103291912"/>
      </c:barChart>
      <c:catAx>
        <c:axId val="210328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291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3291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288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Full-time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H39" sqref="H3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1187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1196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1184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1192</v>
      </c>
      <c r="AL3" s="54" t="str">
        <f t="shared" ref="AL3:AT3" si="1">$AK$3</f>
        <v>Temporary</v>
      </c>
      <c r="AM3" s="54" t="str">
        <f t="shared" si="1"/>
        <v>Temporary</v>
      </c>
      <c r="AN3" s="54" t="str">
        <f t="shared" si="1"/>
        <v>Temporary</v>
      </c>
      <c r="AO3" s="54" t="str">
        <f t="shared" si="1"/>
        <v>Temporary</v>
      </c>
      <c r="AP3" s="54" t="str">
        <f t="shared" si="1"/>
        <v>Temporary</v>
      </c>
      <c r="AQ3" s="54" t="str">
        <f t="shared" si="1"/>
        <v>Temporary</v>
      </c>
      <c r="AR3" s="54" t="str">
        <f t="shared" si="1"/>
        <v>Temporary</v>
      </c>
      <c r="AS3" s="54" t="str">
        <f t="shared" si="1"/>
        <v>Temporary</v>
      </c>
      <c r="AT3" s="54" t="str">
        <f t="shared" si="1"/>
        <v>Temporary</v>
      </c>
      <c r="AU3" s="54"/>
      <c r="AV3" s="54"/>
      <c r="AW3" s="54"/>
      <c r="AX3" s="54"/>
      <c r="AY3" s="54"/>
      <c r="AZ3" s="54"/>
      <c r="BA3" s="54"/>
      <c r="BB3" s="53" t="s">
        <v>1195</v>
      </c>
      <c r="BC3" s="54" t="str">
        <f t="shared" ref="BC3:BK3" si="2">$BB$3</f>
        <v>Full-time</v>
      </c>
      <c r="BD3" s="54" t="str">
        <f t="shared" si="2"/>
        <v>Full-time</v>
      </c>
      <c r="BE3" s="54" t="str">
        <f t="shared" si="2"/>
        <v>Full-time</v>
      </c>
      <c r="BF3" s="54" t="str">
        <f t="shared" si="2"/>
        <v>Full-time</v>
      </c>
      <c r="BG3" s="54" t="str">
        <f t="shared" si="2"/>
        <v>Full-time</v>
      </c>
      <c r="BH3" s="54" t="str">
        <f t="shared" si="2"/>
        <v>Full-time</v>
      </c>
      <c r="BI3" s="54" t="str">
        <f t="shared" si="2"/>
        <v>Full-time</v>
      </c>
      <c r="BJ3" s="54" t="str">
        <f t="shared" si="2"/>
        <v>Full-time</v>
      </c>
      <c r="BK3" s="54" t="str">
        <f t="shared" si="2"/>
        <v>Full-time</v>
      </c>
      <c r="BL3" s="54"/>
      <c r="BM3" s="54"/>
      <c r="BN3" s="54"/>
      <c r="BO3" s="54"/>
      <c r="BP3" s="54"/>
      <c r="BQ3" s="54"/>
      <c r="BR3" s="54"/>
      <c r="BS3" s="53" t="s">
        <v>1186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8" t="s">
        <v>46</v>
      </c>
      <c r="DB4" s="1918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5" t="s">
        <v>49</v>
      </c>
      <c r="DN4" s="1915"/>
      <c r="DO4" s="1915"/>
      <c r="DP4" s="1915"/>
      <c r="DQ4" s="1915"/>
      <c r="DR4" s="1915"/>
      <c r="DS4" s="1915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>IF(BK5="","",BK5)</f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0">FLOOR(((17-DV8)/2),1)</f>
        <v>8</v>
      </c>
      <c r="DY8" s="132">
        <f t="shared" ref="DY8:DY24" si="11">ROUND(17/(1+ROUND(DV8/2,0)),0)</f>
        <v>9</v>
      </c>
    </row>
    <row r="9" spans="1:129" s="132" customFormat="1" ht="15.75" customHeight="1">
      <c r="A9" s="133" t="s">
        <v>58</v>
      </c>
      <c r="B9" s="134" t="s">
        <v>1182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2">IF(OR(-FLOOR(((17-COUNT($C9:$S9))/2),1)+CQ$5&lt;1,-FLOOR(((17-COUNT($C9:$S9))/2),1)+CQ$5&gt;COUNT($C9:$S9)),"",LARGE($C9:$S9,-FLOOR(((17-COUNT($C9:$S9))/2),1)+CQ$5))</f>
        <v/>
      </c>
      <c r="CR9" s="81" t="str">
        <f t="shared" si="12"/>
        <v/>
      </c>
      <c r="CS9" s="81" t="str">
        <f t="shared" si="12"/>
        <v/>
      </c>
      <c r="CT9" s="81" t="str">
        <f t="shared" si="12"/>
        <v/>
      </c>
      <c r="CU9" s="145" t="str">
        <f t="shared" si="12"/>
        <v/>
      </c>
      <c r="CV9" s="145" t="str">
        <f t="shared" si="12"/>
        <v/>
      </c>
      <c r="CW9" s="81" t="str">
        <f t="shared" ref="CW9:CZ12" si="13">IF(OR(-FLOOR(((17-COUNT($C9:$S9))/2),1)+CW$5&lt;1,-FLOOR(((17-COUNT($C9:$S9))/2),1)+CW$5&gt;COUNT($C9:$S9)),"",LARGE($C9:$S9,-FLOOR(((17-COUNT($C9:$S9))/2),1)+CW$5))</f>
        <v/>
      </c>
      <c r="CX9" s="81" t="str">
        <f t="shared" si="13"/>
        <v/>
      </c>
      <c r="CY9" s="81" t="str">
        <f t="shared" si="13"/>
        <v/>
      </c>
      <c r="CZ9" s="1367" t="str">
        <f t="shared" si="13"/>
        <v/>
      </c>
      <c r="DA9" s="144" t="str">
        <f t="shared" ref="DA9:DJ9" si="14">IF(OR(-FLOOR(((17-COUNT($T9:$AJ9))/2),1)+DA$5&lt;1,-FLOOR(((17-COUNT($T9:$AJ9))/2),1)+DA$5&gt;COUNT($T9:$AJ9)),"",LARGE($T9:$AJ9,-FLOOR(((17-COUNT($T9:$AJ9))/2),1)+DA$5))</f>
        <v/>
      </c>
      <c r="DB9" s="81" t="str">
        <f t="shared" si="14"/>
        <v/>
      </c>
      <c r="DC9" s="81" t="str">
        <f t="shared" si="14"/>
        <v/>
      </c>
      <c r="DD9" s="81" t="str">
        <f t="shared" si="14"/>
        <v/>
      </c>
      <c r="DE9" s="145" t="str">
        <f t="shared" si="14"/>
        <v/>
      </c>
      <c r="DF9" s="145" t="str">
        <f t="shared" si="14"/>
        <v/>
      </c>
      <c r="DG9" s="81" t="str">
        <f t="shared" si="14"/>
        <v/>
      </c>
      <c r="DH9" s="81" t="str">
        <f t="shared" si="14"/>
        <v/>
      </c>
      <c r="DI9" s="81" t="str">
        <f t="shared" si="14"/>
        <v/>
      </c>
      <c r="DJ9" s="80" t="str">
        <f t="shared" si="14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0"/>
        <v>7</v>
      </c>
      <c r="DY9" s="132">
        <f t="shared" si="11"/>
        <v>9</v>
      </c>
    </row>
    <row r="10" spans="1:129" s="132" customFormat="1" ht="15.75" customHeight="1">
      <c r="A10" s="146"/>
      <c r="B10" s="147" t="s">
        <v>1191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2"/>
        <v/>
      </c>
      <c r="CR10" s="81" t="str">
        <f t="shared" si="12"/>
        <v/>
      </c>
      <c r="CS10" s="81" t="str">
        <f t="shared" si="12"/>
        <v/>
      </c>
      <c r="CT10" s="81" t="str">
        <f t="shared" si="12"/>
        <v/>
      </c>
      <c r="CU10" s="145" t="str">
        <f t="shared" si="12"/>
        <v/>
      </c>
      <c r="CV10" s="145" t="str">
        <f t="shared" si="12"/>
        <v/>
      </c>
      <c r="CW10" s="81" t="str">
        <f t="shared" si="13"/>
        <v/>
      </c>
      <c r="CX10" s="81" t="str">
        <f t="shared" si="13"/>
        <v/>
      </c>
      <c r="CY10" s="81" t="str">
        <f t="shared" si="13"/>
        <v/>
      </c>
      <c r="CZ10" s="1367" t="str">
        <f t="shared" si="13"/>
        <v/>
      </c>
      <c r="DA10" s="144" t="str">
        <f t="shared" ref="DA10:DJ10" si="15">IF(OR(-FLOOR(((17-COUNT($AK10:$BA10))/2),1)+DA$5&lt;1,-FLOOR(((17-COUNT($AK10:$BA10))/2),1)+DA$5&gt;COUNT($AK10:$BA10)),"",LARGE($AK10:$BA10,-FLOOR(((17-COUNT($AK10:$BA10))/2),1)+DA$5))</f>
        <v/>
      </c>
      <c r="DB10" s="81" t="str">
        <f t="shared" si="15"/>
        <v/>
      </c>
      <c r="DC10" s="81" t="str">
        <f t="shared" si="15"/>
        <v/>
      </c>
      <c r="DD10" s="81" t="str">
        <f t="shared" si="15"/>
        <v/>
      </c>
      <c r="DE10" s="145" t="str">
        <f t="shared" si="15"/>
        <v/>
      </c>
      <c r="DF10" s="145" t="str">
        <f t="shared" si="15"/>
        <v/>
      </c>
      <c r="DG10" s="81" t="str">
        <f t="shared" si="15"/>
        <v/>
      </c>
      <c r="DH10" s="81" t="str">
        <f t="shared" si="15"/>
        <v/>
      </c>
      <c r="DI10" s="81" t="str">
        <f t="shared" si="15"/>
        <v/>
      </c>
      <c r="DJ10" s="80" t="str">
        <f t="shared" si="15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0"/>
        <v>7</v>
      </c>
      <c r="DY10" s="132">
        <f t="shared" si="11"/>
        <v>6</v>
      </c>
    </row>
    <row r="11" spans="1:129" s="132" customFormat="1" ht="15.75" customHeight="1">
      <c r="A11" s="146"/>
      <c r="B11" s="147" t="s">
        <v>1194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2"/>
        <v/>
      </c>
      <c r="CR11" s="81" t="str">
        <f t="shared" si="12"/>
        <v/>
      </c>
      <c r="CS11" s="81" t="str">
        <f t="shared" si="12"/>
        <v/>
      </c>
      <c r="CT11" s="81" t="str">
        <f t="shared" si="12"/>
        <v/>
      </c>
      <c r="CU11" s="145" t="str">
        <f t="shared" si="12"/>
        <v/>
      </c>
      <c r="CV11" s="145" t="str">
        <f t="shared" si="12"/>
        <v/>
      </c>
      <c r="CW11" s="81" t="str">
        <f t="shared" si="13"/>
        <v/>
      </c>
      <c r="CX11" s="81" t="str">
        <f t="shared" si="13"/>
        <v/>
      </c>
      <c r="CY11" s="81" t="str">
        <f t="shared" si="13"/>
        <v/>
      </c>
      <c r="CZ11" s="1367" t="str">
        <f t="shared" si="13"/>
        <v/>
      </c>
      <c r="DA11" s="144" t="str">
        <f t="shared" ref="DA11:DJ11" si="16">IF(OR(-FLOOR(((17-COUNT($BB11:$BR11))/2),1)+DA$5&lt;1,-FLOOR(((17-COUNT($BB11:$BR11))/2),1)+DA$5&gt;COUNT($BB11:$BR11)),"",LARGE($BB11:$BR11,-FLOOR(((17-COUNT($BB11:$BR11))/2),1)+DA$5))</f>
        <v/>
      </c>
      <c r="DB11" s="81" t="str">
        <f t="shared" si="16"/>
        <v/>
      </c>
      <c r="DC11" s="81" t="str">
        <f t="shared" si="16"/>
        <v/>
      </c>
      <c r="DD11" s="81" t="str">
        <f t="shared" si="16"/>
        <v/>
      </c>
      <c r="DE11" s="145" t="str">
        <f t="shared" si="16"/>
        <v/>
      </c>
      <c r="DF11" s="145" t="str">
        <f t="shared" si="16"/>
        <v/>
      </c>
      <c r="DG11" s="81" t="str">
        <f t="shared" si="16"/>
        <v/>
      </c>
      <c r="DH11" s="81" t="str">
        <f t="shared" si="16"/>
        <v/>
      </c>
      <c r="DI11" s="81" t="str">
        <f t="shared" si="16"/>
        <v/>
      </c>
      <c r="DJ11" s="80" t="str">
        <f t="shared" si="16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0"/>
        <v>6</v>
      </c>
      <c r="DY11" s="132">
        <f t="shared" si="11"/>
        <v>6</v>
      </c>
    </row>
    <row r="12" spans="1:129" s="132" customFormat="1" ht="15.75" customHeight="1">
      <c r="A12" s="158"/>
      <c r="B12" s="159" t="s">
        <v>1185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2"/>
        <v/>
      </c>
      <c r="CR12" s="81" t="str">
        <f t="shared" si="12"/>
        <v/>
      </c>
      <c r="CS12" s="81" t="str">
        <f t="shared" si="12"/>
        <v/>
      </c>
      <c r="CT12" s="81" t="str">
        <f t="shared" si="12"/>
        <v/>
      </c>
      <c r="CU12" s="145" t="str">
        <f t="shared" si="12"/>
        <v/>
      </c>
      <c r="CV12" s="145" t="str">
        <f t="shared" si="12"/>
        <v/>
      </c>
      <c r="CW12" s="81" t="str">
        <f t="shared" si="13"/>
        <v/>
      </c>
      <c r="CX12" s="81" t="str">
        <f t="shared" si="13"/>
        <v/>
      </c>
      <c r="CY12" s="81" t="str">
        <f t="shared" si="13"/>
        <v/>
      </c>
      <c r="CZ12" s="1367" t="str">
        <f t="shared" si="13"/>
        <v/>
      </c>
      <c r="DA12" s="144" t="str">
        <f t="shared" ref="DA12:DJ12" si="17">IF(OR(-FLOOR(((17-COUNT($BS12:$CI12))/2),1)+DA$5&lt;1,-FLOOR(((17-COUNT($BS12:$CI12))/2),1)+DA$5&gt;COUNT($BS12:$CI12)),"",LARGE($BS12:$CI12,-FLOOR(((17-COUNT($BS12:$CI12))/2),1)+DA$5))</f>
        <v/>
      </c>
      <c r="DB12" s="81" t="str">
        <f t="shared" si="17"/>
        <v/>
      </c>
      <c r="DC12" s="81" t="str">
        <f t="shared" si="17"/>
        <v/>
      </c>
      <c r="DD12" s="81" t="str">
        <f t="shared" si="17"/>
        <v/>
      </c>
      <c r="DE12" s="145" t="str">
        <f t="shared" si="17"/>
        <v/>
      </c>
      <c r="DF12" s="145" t="str">
        <f t="shared" si="17"/>
        <v/>
      </c>
      <c r="DG12" s="81" t="str">
        <f t="shared" si="17"/>
        <v/>
      </c>
      <c r="DH12" s="81" t="str">
        <f t="shared" si="17"/>
        <v/>
      </c>
      <c r="DI12" s="81" t="str">
        <f t="shared" si="17"/>
        <v/>
      </c>
      <c r="DJ12" s="80" t="str">
        <f t="shared" si="17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0"/>
        <v>6</v>
      </c>
      <c r="DY12" s="132">
        <f t="shared" si="11"/>
        <v>4</v>
      </c>
    </row>
    <row r="13" spans="1:129" s="177" customFormat="1" ht="15.75" customHeight="1">
      <c r="A13" s="113"/>
      <c r="B13" s="114"/>
      <c r="C13" s="171" t="str">
        <f t="shared" ref="C13:AC13" si="18">IF(SUM(C9:C12)=0,"",SUM(C9:C12))</f>
        <v/>
      </c>
      <c r="D13" s="172" t="str">
        <f t="shared" si="18"/>
        <v/>
      </c>
      <c r="E13" s="172" t="str">
        <f t="shared" si="18"/>
        <v/>
      </c>
      <c r="F13" s="172" t="str">
        <f t="shared" si="18"/>
        <v/>
      </c>
      <c r="G13" s="172" t="str">
        <f t="shared" si="18"/>
        <v/>
      </c>
      <c r="H13" s="172" t="str">
        <f t="shared" si="18"/>
        <v/>
      </c>
      <c r="I13" s="172" t="str">
        <f t="shared" si="18"/>
        <v/>
      </c>
      <c r="J13" s="172" t="str">
        <f t="shared" si="18"/>
        <v/>
      </c>
      <c r="K13" s="172" t="str">
        <f t="shared" si="18"/>
        <v/>
      </c>
      <c r="L13" s="172" t="str">
        <f t="shared" si="18"/>
        <v/>
      </c>
      <c r="M13" s="172" t="str">
        <f t="shared" si="18"/>
        <v/>
      </c>
      <c r="N13" s="172" t="str">
        <f t="shared" si="18"/>
        <v/>
      </c>
      <c r="O13" s="172" t="str">
        <f t="shared" si="18"/>
        <v/>
      </c>
      <c r="P13" s="172" t="str">
        <f t="shared" si="18"/>
        <v/>
      </c>
      <c r="Q13" s="172" t="str">
        <f t="shared" si="18"/>
        <v/>
      </c>
      <c r="R13" s="172" t="str">
        <f t="shared" si="18"/>
        <v/>
      </c>
      <c r="S13" s="172" t="str">
        <f t="shared" si="18"/>
        <v/>
      </c>
      <c r="T13" s="171" t="str">
        <f t="shared" si="18"/>
        <v/>
      </c>
      <c r="U13" s="172" t="str">
        <f t="shared" si="18"/>
        <v/>
      </c>
      <c r="V13" s="172" t="str">
        <f t="shared" si="18"/>
        <v/>
      </c>
      <c r="W13" s="172" t="str">
        <f t="shared" si="18"/>
        <v/>
      </c>
      <c r="X13" s="172" t="str">
        <f t="shared" si="18"/>
        <v/>
      </c>
      <c r="Y13" s="172" t="str">
        <f t="shared" si="18"/>
        <v/>
      </c>
      <c r="Z13" s="172" t="str">
        <f t="shared" si="18"/>
        <v/>
      </c>
      <c r="AA13" s="172" t="str">
        <f t="shared" si="18"/>
        <v/>
      </c>
      <c r="AB13" s="172" t="str">
        <f t="shared" si="18"/>
        <v/>
      </c>
      <c r="AC13" s="172" t="str">
        <f t="shared" si="18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19">IF(SUM(AK9:AK12)=0,"",SUM(AK9:AK12))</f>
        <v/>
      </c>
      <c r="AL13" s="172" t="str">
        <f t="shared" si="19"/>
        <v/>
      </c>
      <c r="AM13" s="172" t="str">
        <f t="shared" si="19"/>
        <v/>
      </c>
      <c r="AN13" s="172" t="str">
        <f t="shared" si="19"/>
        <v/>
      </c>
      <c r="AO13" s="172" t="str">
        <f t="shared" si="19"/>
        <v/>
      </c>
      <c r="AP13" s="172" t="str">
        <f t="shared" si="19"/>
        <v/>
      </c>
      <c r="AQ13" s="172" t="str">
        <f t="shared" si="19"/>
        <v/>
      </c>
      <c r="AR13" s="172" t="str">
        <f t="shared" si="19"/>
        <v/>
      </c>
      <c r="AS13" s="172" t="str">
        <f t="shared" si="19"/>
        <v/>
      </c>
      <c r="AT13" s="172" t="str">
        <f t="shared" si="19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19"/>
        <v/>
      </c>
      <c r="BC13" s="172" t="str">
        <f t="shared" si="19"/>
        <v/>
      </c>
      <c r="BD13" s="172" t="str">
        <f t="shared" si="19"/>
        <v/>
      </c>
      <c r="BE13" s="172" t="str">
        <f t="shared" si="19"/>
        <v/>
      </c>
      <c r="BF13" s="172" t="str">
        <f t="shared" si="19"/>
        <v/>
      </c>
      <c r="BG13" s="172" t="str">
        <f t="shared" si="19"/>
        <v/>
      </c>
      <c r="BH13" s="172" t="str">
        <f t="shared" si="19"/>
        <v/>
      </c>
      <c r="BI13" s="172" t="str">
        <f t="shared" si="19"/>
        <v/>
      </c>
      <c r="BJ13" s="172" t="str">
        <f t="shared" si="19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>IF(SUM(BS9:BS12)=0,"",SUM(BS9:BS12))</f>
        <v/>
      </c>
      <c r="BT13" s="172" t="str">
        <f>IF(SUM(BT9:BT12)=0,"",SUM(BT9:BT12))</f>
        <v/>
      </c>
      <c r="BU13" s="172" t="str">
        <f>IF(SUM(BU9:BU12)=0,"",SUM(BU9:BU12))</f>
        <v/>
      </c>
      <c r="BV13" s="172" t="str">
        <f>IF(SUM(BV9:BV12)=0,"",SUM(BV9:BV12))</f>
        <v/>
      </c>
      <c r="BW13" s="172"/>
      <c r="BX13" s="172"/>
      <c r="BY13" s="172" t="str">
        <f>IF(SUM(BY9:BY12)=0,"",SUM(BY9:BY12))</f>
        <v/>
      </c>
      <c r="BZ13" s="172" t="str">
        <f>IF(SUM(BZ9:BZ12)=0,"",SUM(BZ9:BZ12))</f>
        <v/>
      </c>
      <c r="CA13" s="172" t="str">
        <f>IF(SUM(CA9:CA12)=0,"",SUM(CA9:CA12))</f>
        <v/>
      </c>
      <c r="CB13" s="172" t="str">
        <f>IF(SUM(CB9:CB12)=0,"",SUM(CB9:CB12))</f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0"/>
        <v>5</v>
      </c>
      <c r="DY13" s="132">
        <f t="shared" si="11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0">IF(CP14&lt;3,"",(SUM(C14:CJ14)-MIN(C14:CJ14)-MAX(C14:CJ14))/(CP14-2))</f>
        <v/>
      </c>
      <c r="CP14" s="143">
        <f t="shared" ref="CP14:CP197" si="21">COUNT(C14:CJ14)</f>
        <v>0</v>
      </c>
      <c r="CQ14" s="144" t="str">
        <f t="shared" ref="CQ14:CQ71" si="22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3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4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5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6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27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28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29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0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1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2">IF(OR(-FLOOR(((17-COUNT($T14:$AJ14))/2),1)+DA$5&lt;1,-FLOOR(((17-COUNT($T14:$AJ14))/2),1)+DA$5&gt;COUNT($T14:$AJ14)),"",LARGE($T14:$AJ14,-FLOOR(((17-COUNT($T14:$AJ14))/2),1)+DA$5))</f>
        <v/>
      </c>
      <c r="DB14" s="81" t="str">
        <f t="shared" si="32"/>
        <v/>
      </c>
      <c r="DC14" s="81" t="str">
        <f t="shared" si="32"/>
        <v/>
      </c>
      <c r="DD14" s="81" t="str">
        <f t="shared" si="32"/>
        <v/>
      </c>
      <c r="DE14" s="145" t="str">
        <f t="shared" si="32"/>
        <v/>
      </c>
      <c r="DF14" s="145" t="str">
        <f t="shared" si="32"/>
        <v/>
      </c>
      <c r="DG14" s="81" t="str">
        <f t="shared" si="32"/>
        <v/>
      </c>
      <c r="DH14" s="81" t="str">
        <f t="shared" si="32"/>
        <v/>
      </c>
      <c r="DI14" s="81" t="str">
        <f t="shared" si="32"/>
        <v/>
      </c>
      <c r="DJ14" s="80" t="str">
        <f t="shared" si="32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0"/>
        <v>5</v>
      </c>
      <c r="DY14" s="132">
        <f t="shared" si="11"/>
        <v>3</v>
      </c>
    </row>
    <row r="15" spans="1:129" s="194" customFormat="1" ht="15.75" customHeight="1">
      <c r="A15" s="146"/>
      <c r="B15" s="195" t="str">
        <f>$B$10</f>
        <v>Temp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0"/>
        <v/>
      </c>
      <c r="CP15" s="143">
        <f t="shared" si="21"/>
        <v>0</v>
      </c>
      <c r="CQ15" s="144" t="str">
        <f t="shared" si="22"/>
        <v/>
      </c>
      <c r="CR15" s="81" t="str">
        <f t="shared" si="23"/>
        <v/>
      </c>
      <c r="CS15" s="81" t="str">
        <f t="shared" si="24"/>
        <v/>
      </c>
      <c r="CT15" s="81" t="str">
        <f t="shared" si="25"/>
        <v/>
      </c>
      <c r="CU15" s="145" t="str">
        <f t="shared" si="26"/>
        <v/>
      </c>
      <c r="CV15" s="145" t="str">
        <f t="shared" si="27"/>
        <v/>
      </c>
      <c r="CW15" s="81" t="str">
        <f t="shared" si="28"/>
        <v/>
      </c>
      <c r="CX15" s="81" t="str">
        <f t="shared" si="29"/>
        <v/>
      </c>
      <c r="CY15" s="81" t="str">
        <f t="shared" si="30"/>
        <v/>
      </c>
      <c r="CZ15" s="1367" t="str">
        <f t="shared" si="31"/>
        <v/>
      </c>
      <c r="DA15" s="144" t="str">
        <f t="shared" ref="DA15:DJ15" si="33">IF(OR(-FLOOR(((17-COUNT($AK15:$BA15))/2),1)+DA$5&lt;1,-FLOOR(((17-COUNT($AK15:$BA15))/2),1)+DA$5&gt;COUNT($AK15:$BA15)),"",LARGE($AK15:$BA15,-FLOOR(((17-COUNT($AK15:$BA15))/2),1)+DA$5))</f>
        <v/>
      </c>
      <c r="DB15" s="81" t="str">
        <f t="shared" si="33"/>
        <v/>
      </c>
      <c r="DC15" s="81" t="str">
        <f t="shared" si="33"/>
        <v/>
      </c>
      <c r="DD15" s="81" t="str">
        <f t="shared" si="33"/>
        <v/>
      </c>
      <c r="DE15" s="145" t="str">
        <f t="shared" si="33"/>
        <v/>
      </c>
      <c r="DF15" s="145" t="str">
        <f t="shared" si="33"/>
        <v/>
      </c>
      <c r="DG15" s="81" t="str">
        <f t="shared" si="33"/>
        <v/>
      </c>
      <c r="DH15" s="81" t="str">
        <f t="shared" si="33"/>
        <v/>
      </c>
      <c r="DI15" s="81" t="str">
        <f t="shared" si="33"/>
        <v/>
      </c>
      <c r="DJ15" s="80" t="str">
        <f t="shared" si="33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0"/>
        <v>4</v>
      </c>
      <c r="DY15" s="132">
        <f t="shared" si="11"/>
        <v>3</v>
      </c>
    </row>
    <row r="16" spans="1:129" s="194" customFormat="1" ht="15.75" customHeight="1">
      <c r="A16" s="146"/>
      <c r="B16" s="195" t="str">
        <f>$B$11</f>
        <v>Ftime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0"/>
        <v/>
      </c>
      <c r="CP16" s="143">
        <f t="shared" si="21"/>
        <v>0</v>
      </c>
      <c r="CQ16" s="144" t="str">
        <f t="shared" si="22"/>
        <v/>
      </c>
      <c r="CR16" s="81" t="str">
        <f t="shared" si="23"/>
        <v/>
      </c>
      <c r="CS16" s="81" t="str">
        <f t="shared" si="24"/>
        <v/>
      </c>
      <c r="CT16" s="81" t="str">
        <f t="shared" si="25"/>
        <v/>
      </c>
      <c r="CU16" s="145" t="str">
        <f t="shared" si="26"/>
        <v/>
      </c>
      <c r="CV16" s="145" t="str">
        <f t="shared" si="27"/>
        <v/>
      </c>
      <c r="CW16" s="81" t="str">
        <f t="shared" si="28"/>
        <v/>
      </c>
      <c r="CX16" s="81" t="str">
        <f t="shared" si="29"/>
        <v/>
      </c>
      <c r="CY16" s="81" t="str">
        <f t="shared" si="30"/>
        <v/>
      </c>
      <c r="CZ16" s="1367" t="str">
        <f t="shared" si="31"/>
        <v/>
      </c>
      <c r="DA16" s="144" t="str">
        <f t="shared" ref="DA16:DJ16" si="34">IF(OR(-FLOOR(((17-COUNT($BB16:$BR16))/2),1)+DA$5&lt;1,-FLOOR(((17-COUNT($BB16:$BR16))/2),1)+DA$5&gt;COUNT($BB16:$BR16)),"",LARGE($BB16:$BR16,-FLOOR(((17-COUNT($BB16:$BR16))/2),1)+DA$5))</f>
        <v/>
      </c>
      <c r="DB16" s="81" t="str">
        <f t="shared" si="34"/>
        <v/>
      </c>
      <c r="DC16" s="81" t="str">
        <f t="shared" si="34"/>
        <v/>
      </c>
      <c r="DD16" s="81" t="str">
        <f t="shared" si="34"/>
        <v/>
      </c>
      <c r="DE16" s="145" t="str">
        <f t="shared" si="34"/>
        <v/>
      </c>
      <c r="DF16" s="145" t="str">
        <f t="shared" si="34"/>
        <v/>
      </c>
      <c r="DG16" s="81" t="str">
        <f t="shared" si="34"/>
        <v/>
      </c>
      <c r="DH16" s="81" t="str">
        <f t="shared" si="34"/>
        <v/>
      </c>
      <c r="DI16" s="81" t="str">
        <f t="shared" si="34"/>
        <v/>
      </c>
      <c r="DJ16" s="80" t="str">
        <f t="shared" si="34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0"/>
        <v>4</v>
      </c>
      <c r="DY16" s="132">
        <f t="shared" si="11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0"/>
        <v/>
      </c>
      <c r="CP17" s="143">
        <f t="shared" si="21"/>
        <v>0</v>
      </c>
      <c r="CQ17" s="144" t="str">
        <f t="shared" si="22"/>
        <v/>
      </c>
      <c r="CR17" s="81" t="str">
        <f t="shared" si="23"/>
        <v/>
      </c>
      <c r="CS17" s="81" t="str">
        <f t="shared" si="24"/>
        <v/>
      </c>
      <c r="CT17" s="81" t="str">
        <f t="shared" si="25"/>
        <v/>
      </c>
      <c r="CU17" s="145" t="str">
        <f t="shared" si="26"/>
        <v/>
      </c>
      <c r="CV17" s="145" t="str">
        <f t="shared" si="27"/>
        <v/>
      </c>
      <c r="CW17" s="81" t="str">
        <f t="shared" si="28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0"/>
        <v/>
      </c>
      <c r="CZ17" s="1367" t="str">
        <f t="shared" si="31"/>
        <v/>
      </c>
      <c r="DA17" s="144" t="str">
        <f t="shared" ref="DA17:DJ17" si="35">IF(OR(-FLOOR(((17-COUNT($BS17:$CI17))/2),1)+DA$5&lt;1,-FLOOR(((17-COUNT($BS17:$CI17))/2),1)+DA$5&gt;COUNT($BS17:$CI17)),"",LARGE($BS17:$CI17,-FLOOR(((17-COUNT($BS17:$CI17))/2),1)+DA$5))</f>
        <v/>
      </c>
      <c r="DB17" s="81" t="str">
        <f t="shared" si="35"/>
        <v/>
      </c>
      <c r="DC17" s="81" t="str">
        <f t="shared" si="35"/>
        <v/>
      </c>
      <c r="DD17" s="81" t="str">
        <f t="shared" si="35"/>
        <v/>
      </c>
      <c r="DE17" s="145" t="str">
        <f t="shared" si="35"/>
        <v/>
      </c>
      <c r="DF17" s="145" t="str">
        <f t="shared" si="35"/>
        <v/>
      </c>
      <c r="DG17" s="81" t="str">
        <f t="shared" si="35"/>
        <v/>
      </c>
      <c r="DH17" s="81" t="str">
        <f t="shared" si="35"/>
        <v/>
      </c>
      <c r="DI17" s="81" t="str">
        <f t="shared" si="35"/>
        <v/>
      </c>
      <c r="DJ17" s="80" t="str">
        <f t="shared" si="35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0"/>
        <v>3</v>
      </c>
      <c r="DY17" s="132">
        <f t="shared" si="11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0"/>
        <v/>
      </c>
      <c r="CP18" s="143">
        <f t="shared" si="21"/>
        <v>0</v>
      </c>
      <c r="CQ18" s="237" t="str">
        <f t="shared" si="22"/>
        <v/>
      </c>
      <c r="CR18" s="239" t="str">
        <f t="shared" si="23"/>
        <v/>
      </c>
      <c r="CS18" s="239" t="str">
        <f t="shared" si="24"/>
        <v/>
      </c>
      <c r="CT18" s="239" t="str">
        <f t="shared" si="25"/>
        <v/>
      </c>
      <c r="CU18" s="240" t="str">
        <f t="shared" si="26"/>
        <v/>
      </c>
      <c r="CV18" s="240" t="str">
        <f t="shared" si="27"/>
        <v/>
      </c>
      <c r="CW18" s="239" t="str">
        <f t="shared" si="28"/>
        <v/>
      </c>
      <c r="CX18" s="239" t="str">
        <f t="shared" si="29"/>
        <v/>
      </c>
      <c r="CY18" s="239" t="str">
        <f t="shared" si="30"/>
        <v/>
      </c>
      <c r="CZ18" s="1368" t="str">
        <f t="shared" si="31"/>
        <v/>
      </c>
      <c r="DA18" s="237" t="str">
        <f t="shared" ref="DA18:DJ18" si="36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6"/>
        <v/>
      </c>
      <c r="DD18" s="239" t="str">
        <f t="shared" si="36"/>
        <v/>
      </c>
      <c r="DE18" s="240" t="str">
        <f t="shared" si="36"/>
        <v/>
      </c>
      <c r="DF18" s="240" t="str">
        <f t="shared" si="36"/>
        <v/>
      </c>
      <c r="DG18" s="239" t="str">
        <f t="shared" si="36"/>
        <v/>
      </c>
      <c r="DH18" s="239" t="str">
        <f t="shared" si="36"/>
        <v/>
      </c>
      <c r="DI18" s="239" t="str">
        <f t="shared" si="36"/>
        <v/>
      </c>
      <c r="DJ18" s="238" t="str">
        <f t="shared" si="36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0"/>
        <v>3</v>
      </c>
      <c r="DY18" s="132">
        <f t="shared" si="11"/>
        <v>2</v>
      </c>
    </row>
    <row r="19" spans="1:129" s="194" customFormat="1" ht="15.75" customHeight="1">
      <c r="A19" s="146"/>
      <c r="B19" s="195" t="str">
        <f>$B$10</f>
        <v>Temp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0"/>
        <v/>
      </c>
      <c r="CP19" s="143">
        <f t="shared" si="21"/>
        <v>0</v>
      </c>
      <c r="CQ19" s="237" t="str">
        <f t="shared" si="22"/>
        <v/>
      </c>
      <c r="CR19" s="239" t="str">
        <f t="shared" si="23"/>
        <v/>
      </c>
      <c r="CS19" s="239" t="str">
        <f t="shared" si="24"/>
        <v/>
      </c>
      <c r="CT19" s="239" t="str">
        <f t="shared" si="25"/>
        <v/>
      </c>
      <c r="CU19" s="240" t="str">
        <f t="shared" si="26"/>
        <v/>
      </c>
      <c r="CV19" s="240" t="str">
        <f t="shared" si="27"/>
        <v/>
      </c>
      <c r="CW19" s="239" t="str">
        <f t="shared" si="28"/>
        <v/>
      </c>
      <c r="CX19" s="239" t="str">
        <f t="shared" si="29"/>
        <v/>
      </c>
      <c r="CY19" s="239" t="str">
        <f t="shared" si="30"/>
        <v/>
      </c>
      <c r="CZ19" s="1368" t="str">
        <f t="shared" si="31"/>
        <v/>
      </c>
      <c r="DA19" s="237" t="str">
        <f t="shared" ref="DA19:DJ19" si="37">IF(OR(-FLOOR(((17-COUNT($AK19:$BA19))/2),1)+DA$5&lt;1,-FLOOR(((17-COUNT($AK19:$BA19))/2),1)+DA$5&gt;COUNT($AK19:$BA19)),"",LARGE($AK19:$BA19,-FLOOR(((17-COUNT($AK19:$BA19))/2),1)+DA$5))</f>
        <v/>
      </c>
      <c r="DB19" s="239" t="str">
        <f t="shared" si="37"/>
        <v/>
      </c>
      <c r="DC19" s="239" t="str">
        <f t="shared" si="37"/>
        <v/>
      </c>
      <c r="DD19" s="239" t="str">
        <f t="shared" si="37"/>
        <v/>
      </c>
      <c r="DE19" s="240" t="str">
        <f t="shared" si="37"/>
        <v/>
      </c>
      <c r="DF19" s="240" t="str">
        <f t="shared" si="37"/>
        <v/>
      </c>
      <c r="DG19" s="239" t="str">
        <f t="shared" si="37"/>
        <v/>
      </c>
      <c r="DH19" s="239" t="str">
        <f t="shared" si="37"/>
        <v/>
      </c>
      <c r="DI19" s="239" t="str">
        <f t="shared" si="37"/>
        <v/>
      </c>
      <c r="DJ19" s="238" t="str">
        <f t="shared" si="37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0"/>
        <v>2</v>
      </c>
      <c r="DY19" s="132">
        <f t="shared" si="11"/>
        <v>2</v>
      </c>
    </row>
    <row r="20" spans="1:129" s="194" customFormat="1" ht="15.75" customHeight="1">
      <c r="A20" s="146"/>
      <c r="B20" s="195" t="str">
        <f>$B$11</f>
        <v>Ftime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0"/>
        <v/>
      </c>
      <c r="CP20" s="143">
        <f t="shared" si="21"/>
        <v>0</v>
      </c>
      <c r="CQ20" s="237" t="str">
        <f t="shared" si="22"/>
        <v/>
      </c>
      <c r="CR20" s="239" t="str">
        <f t="shared" si="23"/>
        <v/>
      </c>
      <c r="CS20" s="239" t="str">
        <f t="shared" si="24"/>
        <v/>
      </c>
      <c r="CT20" s="239" t="str">
        <f t="shared" si="25"/>
        <v/>
      </c>
      <c r="CU20" s="240" t="str">
        <f t="shared" si="26"/>
        <v/>
      </c>
      <c r="CV20" s="240" t="str">
        <f t="shared" si="27"/>
        <v/>
      </c>
      <c r="CW20" s="239" t="str">
        <f t="shared" si="28"/>
        <v/>
      </c>
      <c r="CX20" s="239" t="str">
        <f t="shared" si="29"/>
        <v/>
      </c>
      <c r="CY20" s="239" t="str">
        <f t="shared" si="30"/>
        <v/>
      </c>
      <c r="CZ20" s="1368" t="str">
        <f t="shared" si="31"/>
        <v/>
      </c>
      <c r="DA20" s="237" t="str">
        <f t="shared" ref="DA20:DJ20" si="38">IF(OR(-FLOOR(((17-COUNT($BB20:$BR20))/2),1)+DA$5&lt;1,-FLOOR(((17-COUNT($BB20:$BR20))/2),1)+DA$5&gt;COUNT($BB20:$BR20)),"",LARGE($BB20:$BR20,-FLOOR(((17-COUNT($BB20:$BR20))/2),1)+DA$5))</f>
        <v/>
      </c>
      <c r="DB20" s="239" t="str">
        <f t="shared" si="38"/>
        <v/>
      </c>
      <c r="DC20" s="239" t="str">
        <f t="shared" si="38"/>
        <v/>
      </c>
      <c r="DD20" s="239" t="str">
        <f t="shared" si="38"/>
        <v/>
      </c>
      <c r="DE20" s="240" t="str">
        <f t="shared" si="38"/>
        <v/>
      </c>
      <c r="DF20" s="240" t="str">
        <f t="shared" si="38"/>
        <v/>
      </c>
      <c r="DG20" s="239" t="str">
        <f t="shared" si="38"/>
        <v/>
      </c>
      <c r="DH20" s="239" t="str">
        <f t="shared" si="38"/>
        <v/>
      </c>
      <c r="DI20" s="239" t="str">
        <f t="shared" si="38"/>
        <v/>
      </c>
      <c r="DJ20" s="238" t="str">
        <f t="shared" si="38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0"/>
        <v>2</v>
      </c>
      <c r="DY20" s="132">
        <f t="shared" si="11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0"/>
        <v/>
      </c>
      <c r="CP21" s="143">
        <f t="shared" si="21"/>
        <v>0</v>
      </c>
      <c r="CQ21" s="237" t="str">
        <f t="shared" si="22"/>
        <v/>
      </c>
      <c r="CR21" s="239" t="str">
        <f t="shared" si="23"/>
        <v/>
      </c>
      <c r="CS21" s="239" t="str">
        <f t="shared" si="24"/>
        <v/>
      </c>
      <c r="CT21" s="239" t="str">
        <f t="shared" si="25"/>
        <v/>
      </c>
      <c r="CU21" s="240" t="str">
        <f t="shared" si="26"/>
        <v/>
      </c>
      <c r="CV21" s="240" t="str">
        <f t="shared" si="27"/>
        <v/>
      </c>
      <c r="CW21" s="239" t="str">
        <f t="shared" si="28"/>
        <v/>
      </c>
      <c r="CX21" s="239" t="str">
        <f t="shared" si="29"/>
        <v/>
      </c>
      <c r="CY21" s="239" t="str">
        <f t="shared" si="30"/>
        <v/>
      </c>
      <c r="CZ21" s="1368" t="str">
        <f t="shared" si="31"/>
        <v/>
      </c>
      <c r="DA21" s="237" t="str">
        <f t="shared" ref="DA21:DJ21" si="39">IF(OR(-FLOOR(((17-COUNT($BS21:$CI21))/2),1)+DA$5&lt;1,-FLOOR(((17-COUNT($BS21:$CI21))/2),1)+DA$5&gt;COUNT($BS21:$CI21)),"",LARGE($BS21:$CI21,-FLOOR(((17-COUNT($BS21:$CI21))/2),1)+DA$5))</f>
        <v/>
      </c>
      <c r="DB21" s="239" t="str">
        <f t="shared" si="39"/>
        <v/>
      </c>
      <c r="DC21" s="239" t="str">
        <f t="shared" si="39"/>
        <v/>
      </c>
      <c r="DD21" s="239" t="str">
        <f t="shared" si="39"/>
        <v/>
      </c>
      <c r="DE21" s="240" t="str">
        <f t="shared" si="39"/>
        <v/>
      </c>
      <c r="DF21" s="240" t="str">
        <f t="shared" si="39"/>
        <v/>
      </c>
      <c r="DG21" s="239" t="str">
        <f t="shared" si="39"/>
        <v/>
      </c>
      <c r="DH21" s="239" t="str">
        <f t="shared" si="39"/>
        <v/>
      </c>
      <c r="DI21" s="239" t="str">
        <f t="shared" si="39"/>
        <v/>
      </c>
      <c r="DJ21" s="238" t="str">
        <f t="shared" si="39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0"/>
        <v>1</v>
      </c>
      <c r="DY21" s="132">
        <f t="shared" si="11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0"/>
        <v/>
      </c>
      <c r="CP22" s="143">
        <f t="shared" si="21"/>
        <v>0</v>
      </c>
      <c r="CQ22" s="237" t="str">
        <f t="shared" si="22"/>
        <v/>
      </c>
      <c r="CR22" s="239" t="str">
        <f t="shared" si="23"/>
        <v/>
      </c>
      <c r="CS22" s="239" t="str">
        <f t="shared" si="24"/>
        <v/>
      </c>
      <c r="CT22" s="239" t="str">
        <f t="shared" si="25"/>
        <v/>
      </c>
      <c r="CU22" s="240" t="str">
        <f t="shared" si="26"/>
        <v/>
      </c>
      <c r="CV22" s="240" t="str">
        <f t="shared" si="27"/>
        <v/>
      </c>
      <c r="CW22" s="239" t="str">
        <f t="shared" si="28"/>
        <v/>
      </c>
      <c r="CX22" s="239" t="str">
        <f t="shared" si="29"/>
        <v/>
      </c>
      <c r="CY22" s="239" t="str">
        <f t="shared" si="30"/>
        <v/>
      </c>
      <c r="CZ22" s="1368" t="str">
        <f t="shared" si="31"/>
        <v/>
      </c>
      <c r="DA22" s="237" t="str">
        <f t="shared" ref="DA22:DJ22" si="40">IF(OR(-FLOOR(((17-COUNT($T22:$AJ22))/2),1)+DA$5&lt;1,-FLOOR(((17-COUNT($T22:$AJ22))/2),1)+DA$5&gt;COUNT($T22:$AJ22)),"",LARGE($T22:$AJ22,-FLOOR(((17-COUNT($T22:$AJ22))/2),1)+DA$5))</f>
        <v/>
      </c>
      <c r="DB22" s="239" t="str">
        <f t="shared" si="40"/>
        <v/>
      </c>
      <c r="DC22" s="239" t="str">
        <f t="shared" si="40"/>
        <v/>
      </c>
      <c r="DD22" s="239" t="str">
        <f t="shared" si="40"/>
        <v/>
      </c>
      <c r="DE22" s="240" t="str">
        <f t="shared" si="40"/>
        <v/>
      </c>
      <c r="DF22" s="240" t="str">
        <f t="shared" si="40"/>
        <v/>
      </c>
      <c r="DG22" s="239" t="str">
        <f t="shared" si="40"/>
        <v/>
      </c>
      <c r="DH22" s="239" t="str">
        <f t="shared" si="40"/>
        <v/>
      </c>
      <c r="DI22" s="239" t="str">
        <f t="shared" si="40"/>
        <v/>
      </c>
      <c r="DJ22" s="238" t="str">
        <f t="shared" si="40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0"/>
        <v>1</v>
      </c>
      <c r="DY22" s="132">
        <f t="shared" si="11"/>
        <v>2</v>
      </c>
    </row>
    <row r="23" spans="1:129" s="194" customFormat="1" ht="15.75" customHeight="1">
      <c r="A23" s="146"/>
      <c r="B23" s="195" t="str">
        <f>$B$10</f>
        <v>Temp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0"/>
        <v/>
      </c>
      <c r="CP23" s="143">
        <f t="shared" si="21"/>
        <v>0</v>
      </c>
      <c r="CQ23" s="237" t="str">
        <f t="shared" si="22"/>
        <v/>
      </c>
      <c r="CR23" s="239" t="str">
        <f t="shared" si="23"/>
        <v/>
      </c>
      <c r="CS23" s="239" t="str">
        <f t="shared" si="24"/>
        <v/>
      </c>
      <c r="CT23" s="239" t="str">
        <f t="shared" si="25"/>
        <v/>
      </c>
      <c r="CU23" s="240" t="str">
        <f t="shared" si="26"/>
        <v/>
      </c>
      <c r="CV23" s="240" t="str">
        <f t="shared" si="27"/>
        <v/>
      </c>
      <c r="CW23" s="239" t="str">
        <f t="shared" si="28"/>
        <v/>
      </c>
      <c r="CX23" s="239" t="str">
        <f t="shared" si="29"/>
        <v/>
      </c>
      <c r="CY23" s="239" t="str">
        <f t="shared" si="30"/>
        <v/>
      </c>
      <c r="CZ23" s="1368" t="str">
        <f t="shared" si="31"/>
        <v/>
      </c>
      <c r="DA23" s="237" t="str">
        <f t="shared" ref="DA23:DJ23" si="41">IF(OR(-FLOOR(((17-COUNT($AK23:$BA23))/2),1)+DA$5&lt;1,-FLOOR(((17-COUNT($AK23:$BA23))/2),1)+DA$5&gt;COUNT($AK23:$BA23)),"",LARGE($AK23:$BA23,-FLOOR(((17-COUNT($AK23:$BA23))/2),1)+DA$5))</f>
        <v/>
      </c>
      <c r="DB23" s="239" t="str">
        <f t="shared" si="41"/>
        <v/>
      </c>
      <c r="DC23" s="239" t="str">
        <f t="shared" si="41"/>
        <v/>
      </c>
      <c r="DD23" s="239" t="str">
        <f t="shared" si="41"/>
        <v/>
      </c>
      <c r="DE23" s="240" t="str">
        <f t="shared" si="41"/>
        <v/>
      </c>
      <c r="DF23" s="240" t="str">
        <f t="shared" si="41"/>
        <v/>
      </c>
      <c r="DG23" s="239" t="str">
        <f t="shared" si="41"/>
        <v/>
      </c>
      <c r="DH23" s="239" t="str">
        <f t="shared" si="41"/>
        <v/>
      </c>
      <c r="DI23" s="239" t="str">
        <f t="shared" si="41"/>
        <v/>
      </c>
      <c r="DJ23" s="238" t="str">
        <f t="shared" si="41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0"/>
        <v>0</v>
      </c>
      <c r="DY23" s="132">
        <f t="shared" si="11"/>
        <v>2</v>
      </c>
    </row>
    <row r="24" spans="1:129" s="194" customFormat="1" ht="15.75" customHeight="1">
      <c r="A24" s="146"/>
      <c r="B24" s="195" t="str">
        <f>$B$11</f>
        <v>Ftime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0"/>
        <v/>
      </c>
      <c r="CP24" s="143">
        <f t="shared" si="21"/>
        <v>0</v>
      </c>
      <c r="CQ24" s="237" t="str">
        <f t="shared" si="22"/>
        <v/>
      </c>
      <c r="CR24" s="239" t="str">
        <f t="shared" si="23"/>
        <v/>
      </c>
      <c r="CS24" s="239" t="str">
        <f t="shared" si="24"/>
        <v/>
      </c>
      <c r="CT24" s="239" t="str">
        <f t="shared" si="25"/>
        <v/>
      </c>
      <c r="CU24" s="240" t="str">
        <f t="shared" si="26"/>
        <v/>
      </c>
      <c r="CV24" s="240" t="str">
        <f t="shared" si="27"/>
        <v/>
      </c>
      <c r="CW24" s="239" t="str">
        <f t="shared" si="28"/>
        <v/>
      </c>
      <c r="CX24" s="239" t="str">
        <f t="shared" si="29"/>
        <v/>
      </c>
      <c r="CY24" s="239" t="str">
        <f t="shared" si="30"/>
        <v/>
      </c>
      <c r="CZ24" s="1368" t="str">
        <f t="shared" si="31"/>
        <v/>
      </c>
      <c r="DA24" s="237" t="str">
        <f t="shared" ref="DA24:DJ24" si="42">IF(OR(-FLOOR(((17-COUNT($BB24:$BR24))/2),1)+DA$5&lt;1,-FLOOR(((17-COUNT($BB24:$BR24))/2),1)+DA$5&gt;COUNT($BB24:$BR24)),"",LARGE($BB24:$BR24,-FLOOR(((17-COUNT($BB24:$BR24))/2),1)+DA$5))</f>
        <v/>
      </c>
      <c r="DB24" s="239" t="str">
        <f t="shared" si="42"/>
        <v/>
      </c>
      <c r="DC24" s="239" t="str">
        <f t="shared" si="42"/>
        <v/>
      </c>
      <c r="DD24" s="239" t="str">
        <f t="shared" si="42"/>
        <v/>
      </c>
      <c r="DE24" s="240" t="str">
        <f t="shared" si="42"/>
        <v/>
      </c>
      <c r="DF24" s="240" t="str">
        <f t="shared" si="42"/>
        <v/>
      </c>
      <c r="DG24" s="239" t="str">
        <f t="shared" si="42"/>
        <v/>
      </c>
      <c r="DH24" s="239" t="str">
        <f t="shared" si="42"/>
        <v/>
      </c>
      <c r="DI24" s="239" t="str">
        <f t="shared" si="42"/>
        <v/>
      </c>
      <c r="DJ24" s="238" t="str">
        <f t="shared" si="42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0"/>
        <v>0</v>
      </c>
      <c r="DY24" s="132">
        <f t="shared" si="11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0"/>
        <v/>
      </c>
      <c r="CP25" s="143">
        <f t="shared" si="21"/>
        <v>0</v>
      </c>
      <c r="CQ25" s="237" t="str">
        <f t="shared" si="22"/>
        <v/>
      </c>
      <c r="CR25" s="239" t="str">
        <f t="shared" si="23"/>
        <v/>
      </c>
      <c r="CS25" s="239" t="str">
        <f t="shared" si="24"/>
        <v/>
      </c>
      <c r="CT25" s="239" t="str">
        <f t="shared" si="25"/>
        <v/>
      </c>
      <c r="CU25" s="240" t="str">
        <f t="shared" si="26"/>
        <v/>
      </c>
      <c r="CV25" s="240" t="str">
        <f t="shared" si="27"/>
        <v/>
      </c>
      <c r="CW25" s="239" t="str">
        <f t="shared" si="28"/>
        <v/>
      </c>
      <c r="CX25" s="239" t="str">
        <f t="shared" si="29"/>
        <v/>
      </c>
      <c r="CY25" s="239" t="str">
        <f t="shared" si="30"/>
        <v/>
      </c>
      <c r="CZ25" s="1368" t="str">
        <f t="shared" si="31"/>
        <v/>
      </c>
      <c r="DA25" s="237" t="str">
        <f t="shared" ref="DA25:DJ25" si="43">IF(OR(-FLOOR(((17-COUNT($BS25:$CI25))/2),1)+DA$5&lt;1,-FLOOR(((17-COUNT($BS25:$CI25))/2),1)+DA$5&gt;COUNT($BS25:$CI25)),"",LARGE($BS25:$CI25,-FLOOR(((17-COUNT($BS25:$CI25))/2),1)+DA$5))</f>
        <v/>
      </c>
      <c r="DB25" s="239" t="str">
        <f t="shared" si="43"/>
        <v/>
      </c>
      <c r="DC25" s="239" t="str">
        <f t="shared" si="43"/>
        <v/>
      </c>
      <c r="DD25" s="239" t="str">
        <f t="shared" si="43"/>
        <v/>
      </c>
      <c r="DE25" s="240" t="str">
        <f t="shared" si="43"/>
        <v/>
      </c>
      <c r="DF25" s="240" t="str">
        <f t="shared" si="43"/>
        <v/>
      </c>
      <c r="DG25" s="239" t="str">
        <f t="shared" si="43"/>
        <v/>
      </c>
      <c r="DH25" s="239" t="str">
        <f t="shared" si="43"/>
        <v/>
      </c>
      <c r="DI25" s="239" t="str">
        <f t="shared" si="43"/>
        <v/>
      </c>
      <c r="DJ25" s="238" t="str">
        <f t="shared" si="43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0"/>
        <v/>
      </c>
      <c r="CP26" s="143">
        <f t="shared" si="21"/>
        <v>0</v>
      </c>
      <c r="CQ26" s="237" t="str">
        <f t="shared" si="22"/>
        <v/>
      </c>
      <c r="CR26" s="239" t="str">
        <f t="shared" si="23"/>
        <v/>
      </c>
      <c r="CS26" s="239" t="str">
        <f t="shared" si="24"/>
        <v/>
      </c>
      <c r="CT26" s="239" t="str">
        <f t="shared" si="25"/>
        <v/>
      </c>
      <c r="CU26" s="240" t="str">
        <f t="shared" si="26"/>
        <v/>
      </c>
      <c r="CV26" s="240" t="str">
        <f t="shared" si="27"/>
        <v/>
      </c>
      <c r="CW26" s="239" t="str">
        <f t="shared" si="28"/>
        <v/>
      </c>
      <c r="CX26" s="239" t="str">
        <f t="shared" si="29"/>
        <v/>
      </c>
      <c r="CY26" s="239" t="str">
        <f t="shared" si="30"/>
        <v/>
      </c>
      <c r="CZ26" s="1368" t="str">
        <f t="shared" si="31"/>
        <v/>
      </c>
      <c r="DA26" s="237" t="str">
        <f t="shared" ref="DA26:DJ26" si="44">IF(OR(-FLOOR(((17-COUNT($T26:$AJ26))/2),1)+DA$5&lt;1,-FLOOR(((17-COUNT($T26:$AJ26))/2),1)+DA$5&gt;COUNT($T26:$AJ26)),"",LARGE($T26:$AJ26,-FLOOR(((17-COUNT($T26:$AJ26))/2),1)+DA$5))</f>
        <v/>
      </c>
      <c r="DB26" s="239" t="str">
        <f t="shared" si="44"/>
        <v/>
      </c>
      <c r="DC26" s="239" t="str">
        <f t="shared" si="44"/>
        <v/>
      </c>
      <c r="DD26" s="239" t="str">
        <f t="shared" si="44"/>
        <v/>
      </c>
      <c r="DE26" s="240" t="str">
        <f t="shared" si="44"/>
        <v/>
      </c>
      <c r="DF26" s="240" t="str">
        <f t="shared" si="44"/>
        <v/>
      </c>
      <c r="DG26" s="239" t="str">
        <f t="shared" si="44"/>
        <v/>
      </c>
      <c r="DH26" s="239" t="str">
        <f t="shared" si="44"/>
        <v/>
      </c>
      <c r="DI26" s="239" t="str">
        <f t="shared" si="44"/>
        <v/>
      </c>
      <c r="DJ26" s="238" t="str">
        <f t="shared" si="44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Temp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0"/>
        <v/>
      </c>
      <c r="CP27" s="143">
        <f t="shared" si="21"/>
        <v>0</v>
      </c>
      <c r="CQ27" s="237" t="str">
        <f t="shared" si="22"/>
        <v/>
      </c>
      <c r="CR27" s="239" t="str">
        <f t="shared" si="23"/>
        <v/>
      </c>
      <c r="CS27" s="239" t="str">
        <f t="shared" si="24"/>
        <v/>
      </c>
      <c r="CT27" s="239" t="str">
        <f t="shared" si="25"/>
        <v/>
      </c>
      <c r="CU27" s="240" t="str">
        <f t="shared" si="26"/>
        <v/>
      </c>
      <c r="CV27" s="240" t="str">
        <f t="shared" si="27"/>
        <v/>
      </c>
      <c r="CW27" s="239" t="str">
        <f t="shared" si="28"/>
        <v/>
      </c>
      <c r="CX27" s="239" t="str">
        <f t="shared" si="29"/>
        <v/>
      </c>
      <c r="CY27" s="239" t="str">
        <f t="shared" si="30"/>
        <v/>
      </c>
      <c r="CZ27" s="1368" t="str">
        <f t="shared" si="31"/>
        <v/>
      </c>
      <c r="DA27" s="237" t="str">
        <f t="shared" ref="DA27:DJ27" si="45">IF(OR(-FLOOR(((17-COUNT($AK27:$BA27))/2),1)+DA$5&lt;1,-FLOOR(((17-COUNT($AK27:$BA27))/2),1)+DA$5&gt;COUNT($AK27:$BA27)),"",LARGE($AK27:$BA27,-FLOOR(((17-COUNT($AK27:$BA27))/2),1)+DA$5))</f>
        <v/>
      </c>
      <c r="DB27" s="239" t="str">
        <f t="shared" si="45"/>
        <v/>
      </c>
      <c r="DC27" s="239" t="str">
        <f t="shared" si="45"/>
        <v/>
      </c>
      <c r="DD27" s="239" t="str">
        <f t="shared" si="45"/>
        <v/>
      </c>
      <c r="DE27" s="240" t="str">
        <f t="shared" si="45"/>
        <v/>
      </c>
      <c r="DF27" s="240" t="str">
        <f t="shared" si="45"/>
        <v/>
      </c>
      <c r="DG27" s="239" t="str">
        <f t="shared" si="45"/>
        <v/>
      </c>
      <c r="DH27" s="239" t="str">
        <f t="shared" si="45"/>
        <v/>
      </c>
      <c r="DI27" s="239" t="str">
        <f t="shared" si="45"/>
        <v/>
      </c>
      <c r="DJ27" s="238" t="str">
        <f t="shared" si="45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Ftime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0"/>
        <v/>
      </c>
      <c r="CP28" s="143">
        <f t="shared" si="21"/>
        <v>0</v>
      </c>
      <c r="CQ28" s="237" t="str">
        <f t="shared" si="22"/>
        <v/>
      </c>
      <c r="CR28" s="239" t="str">
        <f t="shared" si="23"/>
        <v/>
      </c>
      <c r="CS28" s="239" t="str">
        <f t="shared" si="24"/>
        <v/>
      </c>
      <c r="CT28" s="239" t="str">
        <f t="shared" si="25"/>
        <v/>
      </c>
      <c r="CU28" s="240" t="str">
        <f t="shared" si="26"/>
        <v/>
      </c>
      <c r="CV28" s="240" t="str">
        <f t="shared" si="27"/>
        <v/>
      </c>
      <c r="CW28" s="239" t="str">
        <f t="shared" si="28"/>
        <v/>
      </c>
      <c r="CX28" s="239" t="str">
        <f t="shared" si="29"/>
        <v/>
      </c>
      <c r="CY28" s="239" t="str">
        <f t="shared" si="30"/>
        <v/>
      </c>
      <c r="CZ28" s="1368" t="str">
        <f t="shared" si="31"/>
        <v/>
      </c>
      <c r="DA28" s="237" t="str">
        <f t="shared" ref="DA28:DJ28" si="46">IF(OR(-FLOOR(((17-COUNT($BB28:$BR28))/2),1)+DA$5&lt;1,-FLOOR(((17-COUNT($BB28:$BR28))/2),1)+DA$5&gt;COUNT($BB28:$BR28)),"",LARGE($BB28:$BR28,-FLOOR(((17-COUNT($BB28:$BR28))/2),1)+DA$5))</f>
        <v/>
      </c>
      <c r="DB28" s="239" t="str">
        <f t="shared" si="46"/>
        <v/>
      </c>
      <c r="DC28" s="239" t="str">
        <f t="shared" si="46"/>
        <v/>
      </c>
      <c r="DD28" s="239" t="str">
        <f t="shared" si="46"/>
        <v/>
      </c>
      <c r="DE28" s="240" t="str">
        <f t="shared" si="46"/>
        <v/>
      </c>
      <c r="DF28" s="240" t="str">
        <f t="shared" si="46"/>
        <v/>
      </c>
      <c r="DG28" s="239" t="str">
        <f t="shared" si="46"/>
        <v/>
      </c>
      <c r="DH28" s="239" t="str">
        <f t="shared" si="46"/>
        <v/>
      </c>
      <c r="DI28" s="239" t="str">
        <f t="shared" si="46"/>
        <v/>
      </c>
      <c r="DJ28" s="238" t="str">
        <f t="shared" si="46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0"/>
        <v/>
      </c>
      <c r="CP29" s="143">
        <f t="shared" si="21"/>
        <v>0</v>
      </c>
      <c r="CQ29" s="237" t="str">
        <f t="shared" si="22"/>
        <v/>
      </c>
      <c r="CR29" s="239" t="str">
        <f t="shared" si="23"/>
        <v/>
      </c>
      <c r="CS29" s="239" t="str">
        <f t="shared" si="24"/>
        <v/>
      </c>
      <c r="CT29" s="239" t="str">
        <f t="shared" si="25"/>
        <v/>
      </c>
      <c r="CU29" s="240" t="str">
        <f t="shared" si="26"/>
        <v/>
      </c>
      <c r="CV29" s="240" t="str">
        <f t="shared" si="27"/>
        <v/>
      </c>
      <c r="CW29" s="239" t="str">
        <f t="shared" si="28"/>
        <v/>
      </c>
      <c r="CX29" s="239" t="str">
        <f t="shared" si="29"/>
        <v/>
      </c>
      <c r="CY29" s="239" t="str">
        <f t="shared" si="30"/>
        <v/>
      </c>
      <c r="CZ29" s="1368" t="str">
        <f t="shared" si="31"/>
        <v/>
      </c>
      <c r="DA29" s="237" t="str">
        <f t="shared" ref="DA29:DJ29" si="47">IF(OR(-FLOOR(((17-COUNT($BS29:$CI29))/2),1)+DA$5&lt;1,-FLOOR(((17-COUNT($BS29:$CI29))/2),1)+DA$5&gt;COUNT($BS29:$CI29)),"",LARGE($BS29:$CI29,-FLOOR(((17-COUNT($BS29:$CI29))/2),1)+DA$5))</f>
        <v/>
      </c>
      <c r="DB29" s="239" t="str">
        <f t="shared" si="47"/>
        <v/>
      </c>
      <c r="DC29" s="239" t="str">
        <f t="shared" si="47"/>
        <v/>
      </c>
      <c r="DD29" s="239" t="str">
        <f t="shared" si="47"/>
        <v/>
      </c>
      <c r="DE29" s="240" t="str">
        <f t="shared" si="47"/>
        <v/>
      </c>
      <c r="DF29" s="240" t="str">
        <f t="shared" si="47"/>
        <v/>
      </c>
      <c r="DG29" s="239" t="str">
        <f t="shared" si="47"/>
        <v/>
      </c>
      <c r="DH29" s="239" t="str">
        <f t="shared" si="47"/>
        <v/>
      </c>
      <c r="DI29" s="239" t="str">
        <f t="shared" si="47"/>
        <v/>
      </c>
      <c r="DJ29" s="238" t="str">
        <f t="shared" si="47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0"/>
        <v/>
      </c>
      <c r="CP30" s="143">
        <f t="shared" si="21"/>
        <v>0</v>
      </c>
      <c r="CQ30" s="237" t="str">
        <f t="shared" si="22"/>
        <v/>
      </c>
      <c r="CR30" s="239" t="str">
        <f t="shared" si="23"/>
        <v/>
      </c>
      <c r="CS30" s="239" t="str">
        <f t="shared" si="24"/>
        <v/>
      </c>
      <c r="CT30" s="239" t="str">
        <f t="shared" si="25"/>
        <v/>
      </c>
      <c r="CU30" s="240" t="str">
        <f t="shared" si="26"/>
        <v/>
      </c>
      <c r="CV30" s="240" t="str">
        <f t="shared" si="27"/>
        <v/>
      </c>
      <c r="CW30" s="239" t="str">
        <f t="shared" si="28"/>
        <v/>
      </c>
      <c r="CX30" s="239" t="str">
        <f t="shared" si="29"/>
        <v/>
      </c>
      <c r="CY30" s="239" t="str">
        <f t="shared" si="30"/>
        <v/>
      </c>
      <c r="CZ30" s="1368" t="str">
        <f t="shared" si="31"/>
        <v/>
      </c>
      <c r="DA30" s="237" t="str">
        <f t="shared" ref="DA30:DJ30" si="48">IF(OR(-FLOOR(((17-COUNT($T30:$AJ30))/2),1)+DA$5&lt;1,-FLOOR(((17-COUNT($T30:$AJ30))/2),1)+DA$5&gt;COUNT($T30:$AJ30)),"",LARGE($T30:$AJ30,-FLOOR(((17-COUNT($T30:$AJ30))/2),1)+DA$5))</f>
        <v/>
      </c>
      <c r="DB30" s="239" t="str">
        <f t="shared" si="48"/>
        <v/>
      </c>
      <c r="DC30" s="239" t="str">
        <f t="shared" si="48"/>
        <v/>
      </c>
      <c r="DD30" s="239" t="str">
        <f t="shared" si="48"/>
        <v/>
      </c>
      <c r="DE30" s="240" t="str">
        <f t="shared" si="48"/>
        <v/>
      </c>
      <c r="DF30" s="240" t="str">
        <f t="shared" si="48"/>
        <v/>
      </c>
      <c r="DG30" s="239" t="str">
        <f t="shared" si="48"/>
        <v/>
      </c>
      <c r="DH30" s="239" t="str">
        <f t="shared" si="48"/>
        <v/>
      </c>
      <c r="DI30" s="239" t="str">
        <f t="shared" si="48"/>
        <v/>
      </c>
      <c r="DJ30" s="238" t="str">
        <f t="shared" si="48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Temp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0"/>
        <v/>
      </c>
      <c r="CP31" s="143">
        <f t="shared" si="21"/>
        <v>0</v>
      </c>
      <c r="CQ31" s="237" t="str">
        <f t="shared" si="22"/>
        <v/>
      </c>
      <c r="CR31" s="239" t="str">
        <f t="shared" si="23"/>
        <v/>
      </c>
      <c r="CS31" s="239" t="str">
        <f t="shared" si="24"/>
        <v/>
      </c>
      <c r="CT31" s="239" t="str">
        <f t="shared" si="25"/>
        <v/>
      </c>
      <c r="CU31" s="240" t="str">
        <f t="shared" si="26"/>
        <v/>
      </c>
      <c r="CV31" s="240" t="str">
        <f t="shared" si="27"/>
        <v/>
      </c>
      <c r="CW31" s="239" t="str">
        <f t="shared" si="28"/>
        <v/>
      </c>
      <c r="CX31" s="239" t="str">
        <f t="shared" si="29"/>
        <v/>
      </c>
      <c r="CY31" s="239" t="str">
        <f t="shared" si="30"/>
        <v/>
      </c>
      <c r="CZ31" s="1368" t="str">
        <f t="shared" si="31"/>
        <v/>
      </c>
      <c r="DA31" s="237" t="str">
        <f t="shared" ref="DA31:DJ31" si="49">IF(OR(-FLOOR(((17-COUNT($AK31:$BA31))/2),1)+DA$5&lt;1,-FLOOR(((17-COUNT($AK31:$BA31))/2),1)+DA$5&gt;COUNT($AK31:$BA31)),"",LARGE($AK31:$BA31,-FLOOR(((17-COUNT($AK31:$BA31))/2),1)+DA$5))</f>
        <v/>
      </c>
      <c r="DB31" s="239" t="str">
        <f t="shared" si="49"/>
        <v/>
      </c>
      <c r="DC31" s="239" t="str">
        <f t="shared" si="49"/>
        <v/>
      </c>
      <c r="DD31" s="239" t="str">
        <f t="shared" si="49"/>
        <v/>
      </c>
      <c r="DE31" s="240" t="str">
        <f t="shared" si="49"/>
        <v/>
      </c>
      <c r="DF31" s="240" t="str">
        <f t="shared" si="49"/>
        <v/>
      </c>
      <c r="DG31" s="239" t="str">
        <f t="shared" si="49"/>
        <v/>
      </c>
      <c r="DH31" s="239" t="str">
        <f t="shared" si="49"/>
        <v/>
      </c>
      <c r="DI31" s="239" t="str">
        <f t="shared" si="49"/>
        <v/>
      </c>
      <c r="DJ31" s="238" t="str">
        <f t="shared" si="49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Ftime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0"/>
        <v/>
      </c>
      <c r="CP32" s="143">
        <f t="shared" si="21"/>
        <v>0</v>
      </c>
      <c r="CQ32" s="237" t="str">
        <f t="shared" si="22"/>
        <v/>
      </c>
      <c r="CR32" s="239" t="str">
        <f t="shared" si="23"/>
        <v/>
      </c>
      <c r="CS32" s="239" t="str">
        <f t="shared" si="24"/>
        <v/>
      </c>
      <c r="CT32" s="239" t="str">
        <f t="shared" si="25"/>
        <v/>
      </c>
      <c r="CU32" s="240" t="str">
        <f t="shared" si="26"/>
        <v/>
      </c>
      <c r="CV32" s="240" t="str">
        <f t="shared" si="27"/>
        <v/>
      </c>
      <c r="CW32" s="239" t="str">
        <f t="shared" si="28"/>
        <v/>
      </c>
      <c r="CX32" s="239" t="str">
        <f t="shared" si="29"/>
        <v/>
      </c>
      <c r="CY32" s="239" t="str">
        <f t="shared" si="30"/>
        <v/>
      </c>
      <c r="CZ32" s="1368" t="str">
        <f t="shared" si="31"/>
        <v/>
      </c>
      <c r="DA32" s="237" t="str">
        <f t="shared" ref="DA32:DJ32" si="50">IF(OR(-FLOOR(((17-COUNT($BB32:$BR32))/2),1)+DA$5&lt;1,-FLOOR(((17-COUNT($BB32:$BR32))/2),1)+DA$5&gt;COUNT($BB32:$BR32)),"",LARGE($BB32:$BR32,-FLOOR(((17-COUNT($BB32:$BR32))/2),1)+DA$5))</f>
        <v/>
      </c>
      <c r="DB32" s="239" t="str">
        <f t="shared" si="50"/>
        <v/>
      </c>
      <c r="DC32" s="239" t="str">
        <f t="shared" si="50"/>
        <v/>
      </c>
      <c r="DD32" s="239" t="str">
        <f t="shared" si="50"/>
        <v/>
      </c>
      <c r="DE32" s="240" t="str">
        <f t="shared" si="50"/>
        <v/>
      </c>
      <c r="DF32" s="240" t="str">
        <f t="shared" si="50"/>
        <v/>
      </c>
      <c r="DG32" s="239" t="str">
        <f t="shared" si="50"/>
        <v/>
      </c>
      <c r="DH32" s="239" t="str">
        <f t="shared" si="50"/>
        <v/>
      </c>
      <c r="DI32" s="239" t="str">
        <f t="shared" si="50"/>
        <v/>
      </c>
      <c r="DJ32" s="238" t="str">
        <f t="shared" si="50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0"/>
        <v/>
      </c>
      <c r="CP33" s="143">
        <f t="shared" si="21"/>
        <v>0</v>
      </c>
      <c r="CQ33" s="237" t="str">
        <f t="shared" si="22"/>
        <v/>
      </c>
      <c r="CR33" s="239" t="str">
        <f t="shared" si="23"/>
        <v/>
      </c>
      <c r="CS33" s="239" t="str">
        <f t="shared" si="24"/>
        <v/>
      </c>
      <c r="CT33" s="239" t="str">
        <f t="shared" si="25"/>
        <v/>
      </c>
      <c r="CU33" s="240" t="str">
        <f t="shared" si="26"/>
        <v/>
      </c>
      <c r="CV33" s="240" t="str">
        <f t="shared" si="27"/>
        <v/>
      </c>
      <c r="CW33" s="239" t="str">
        <f t="shared" si="28"/>
        <v/>
      </c>
      <c r="CX33" s="239" t="str">
        <f t="shared" si="29"/>
        <v/>
      </c>
      <c r="CY33" s="239" t="str">
        <f t="shared" si="30"/>
        <v/>
      </c>
      <c r="CZ33" s="1368" t="str">
        <f t="shared" si="31"/>
        <v/>
      </c>
      <c r="DA33" s="237" t="str">
        <f t="shared" ref="DA33:DJ33" si="51">IF(OR(-FLOOR(((17-COUNT($BS33:$CI33))/2),1)+DA$5&lt;1,-FLOOR(((17-COUNT($BS33:$CI33))/2),1)+DA$5&gt;COUNT($BS33:$CI33)),"",LARGE($BS33:$CI33,-FLOOR(((17-COUNT($BS33:$CI33))/2),1)+DA$5))</f>
        <v/>
      </c>
      <c r="DB33" s="239" t="str">
        <f t="shared" si="51"/>
        <v/>
      </c>
      <c r="DC33" s="239" t="str">
        <f t="shared" si="51"/>
        <v/>
      </c>
      <c r="DD33" s="239" t="str">
        <f t="shared" si="51"/>
        <v/>
      </c>
      <c r="DE33" s="240" t="str">
        <f t="shared" si="51"/>
        <v/>
      </c>
      <c r="DF33" s="240" t="str">
        <f t="shared" si="51"/>
        <v/>
      </c>
      <c r="DG33" s="239" t="str">
        <f t="shared" si="51"/>
        <v/>
      </c>
      <c r="DH33" s="239" t="str">
        <f t="shared" si="51"/>
        <v/>
      </c>
      <c r="DI33" s="239" t="str">
        <f t="shared" si="51"/>
        <v/>
      </c>
      <c r="DJ33" s="238" t="str">
        <f t="shared" si="51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0"/>
        <v/>
      </c>
      <c r="CP34" s="143">
        <f t="shared" si="21"/>
        <v>0</v>
      </c>
      <c r="CQ34" s="237" t="str">
        <f t="shared" si="22"/>
        <v/>
      </c>
      <c r="CR34" s="239" t="str">
        <f t="shared" si="23"/>
        <v/>
      </c>
      <c r="CS34" s="239" t="str">
        <f t="shared" si="24"/>
        <v/>
      </c>
      <c r="CT34" s="239" t="str">
        <f t="shared" si="25"/>
        <v/>
      </c>
      <c r="CU34" s="240" t="str">
        <f t="shared" si="26"/>
        <v/>
      </c>
      <c r="CV34" s="240" t="str">
        <f t="shared" si="27"/>
        <v/>
      </c>
      <c r="CW34" s="239" t="str">
        <f t="shared" si="28"/>
        <v/>
      </c>
      <c r="CX34" s="239" t="str">
        <f t="shared" si="29"/>
        <v/>
      </c>
      <c r="CY34" s="239" t="str">
        <f t="shared" si="30"/>
        <v/>
      </c>
      <c r="CZ34" s="1368" t="str">
        <f t="shared" si="31"/>
        <v/>
      </c>
      <c r="DA34" s="144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0"/>
        <v/>
      </c>
      <c r="CP35" s="143">
        <f t="shared" si="21"/>
        <v>0</v>
      </c>
      <c r="CQ35" s="237" t="str">
        <f t="shared" si="22"/>
        <v/>
      </c>
      <c r="CR35" s="239" t="str">
        <f t="shared" si="23"/>
        <v/>
      </c>
      <c r="CS35" s="239" t="str">
        <f t="shared" si="24"/>
        <v/>
      </c>
      <c r="CT35" s="239" t="str">
        <f t="shared" si="25"/>
        <v/>
      </c>
      <c r="CU35" s="240" t="str">
        <f t="shared" si="26"/>
        <v/>
      </c>
      <c r="CV35" s="240" t="str">
        <f t="shared" si="27"/>
        <v/>
      </c>
      <c r="CW35" s="239" t="str">
        <f t="shared" si="28"/>
        <v/>
      </c>
      <c r="CX35" s="239" t="str">
        <f t="shared" si="29"/>
        <v/>
      </c>
      <c r="CY35" s="239" t="str">
        <f t="shared" si="30"/>
        <v/>
      </c>
      <c r="CZ35" s="1368" t="str">
        <f t="shared" si="31"/>
        <v/>
      </c>
      <c r="DA35" s="144" t="str">
        <f t="shared" si="52"/>
        <v/>
      </c>
      <c r="DB35" s="81" t="str">
        <f t="shared" si="53"/>
        <v/>
      </c>
      <c r="DC35" s="81" t="str">
        <f t="shared" si="54"/>
        <v/>
      </c>
      <c r="DD35" s="81" t="str">
        <f t="shared" si="55"/>
        <v/>
      </c>
      <c r="DE35" s="145" t="str">
        <f t="shared" si="56"/>
        <v/>
      </c>
      <c r="DF35" s="145" t="str">
        <f t="shared" si="57"/>
        <v/>
      </c>
      <c r="DG35" s="81" t="str">
        <f t="shared" si="58"/>
        <v/>
      </c>
      <c r="DH35" s="81" t="str">
        <f t="shared" si="59"/>
        <v/>
      </c>
      <c r="DI35" s="81" t="str">
        <f t="shared" si="60"/>
        <v/>
      </c>
      <c r="DJ35" s="80" t="str">
        <f t="shared" si="61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0"/>
        <v/>
      </c>
      <c r="CP36" s="143">
        <f t="shared" si="21"/>
        <v>0</v>
      </c>
      <c r="CQ36" s="237" t="str">
        <f t="shared" si="22"/>
        <v/>
      </c>
      <c r="CR36" s="239" t="str">
        <f t="shared" si="23"/>
        <v/>
      </c>
      <c r="CS36" s="239" t="str">
        <f t="shared" si="24"/>
        <v/>
      </c>
      <c r="CT36" s="239" t="str">
        <f t="shared" si="25"/>
        <v/>
      </c>
      <c r="CU36" s="240" t="str">
        <f t="shared" si="26"/>
        <v/>
      </c>
      <c r="CV36" s="240" t="str">
        <f t="shared" si="27"/>
        <v/>
      </c>
      <c r="CW36" s="239" t="str">
        <f t="shared" si="28"/>
        <v/>
      </c>
      <c r="CX36" s="239" t="str">
        <f t="shared" si="29"/>
        <v/>
      </c>
      <c r="CY36" s="239" t="str">
        <f t="shared" si="30"/>
        <v/>
      </c>
      <c r="CZ36" s="1368" t="str">
        <f t="shared" si="31"/>
        <v/>
      </c>
      <c r="DA36" s="144" t="str">
        <f t="shared" si="52"/>
        <v/>
      </c>
      <c r="DB36" s="81" t="str">
        <f t="shared" si="53"/>
        <v/>
      </c>
      <c r="DC36" s="81" t="str">
        <f t="shared" si="54"/>
        <v/>
      </c>
      <c r="DD36" s="81" t="str">
        <f t="shared" si="55"/>
        <v/>
      </c>
      <c r="DE36" s="145" t="str">
        <f t="shared" si="56"/>
        <v/>
      </c>
      <c r="DF36" s="145" t="str">
        <f t="shared" si="57"/>
        <v/>
      </c>
      <c r="DG36" s="81" t="str">
        <f t="shared" si="58"/>
        <v/>
      </c>
      <c r="DH36" s="81" t="str">
        <f t="shared" si="59"/>
        <v/>
      </c>
      <c r="DI36" s="81" t="str">
        <f t="shared" si="60"/>
        <v/>
      </c>
      <c r="DJ36" s="80" t="str">
        <f t="shared" si="61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0"/>
        <v/>
      </c>
      <c r="CP37" s="143">
        <f t="shared" si="21"/>
        <v>0</v>
      </c>
      <c r="CQ37" s="237" t="str">
        <f t="shared" si="22"/>
        <v/>
      </c>
      <c r="CR37" s="239" t="str">
        <f t="shared" si="23"/>
        <v/>
      </c>
      <c r="CS37" s="239" t="str">
        <f t="shared" si="24"/>
        <v/>
      </c>
      <c r="CT37" s="239" t="str">
        <f t="shared" si="25"/>
        <v/>
      </c>
      <c r="CU37" s="240" t="str">
        <f t="shared" si="26"/>
        <v/>
      </c>
      <c r="CV37" s="240" t="str">
        <f t="shared" si="27"/>
        <v/>
      </c>
      <c r="CW37" s="239" t="str">
        <f t="shared" si="28"/>
        <v/>
      </c>
      <c r="CX37" s="239" t="str">
        <f t="shared" si="29"/>
        <v/>
      </c>
      <c r="CY37" s="239" t="str">
        <f t="shared" si="30"/>
        <v/>
      </c>
      <c r="CZ37" s="1368" t="str">
        <f t="shared" si="31"/>
        <v/>
      </c>
      <c r="DA37" s="144" t="str">
        <f t="shared" si="52"/>
        <v/>
      </c>
      <c r="DB37" s="81" t="str">
        <f t="shared" si="53"/>
        <v/>
      </c>
      <c r="DC37" s="81" t="str">
        <f t="shared" si="54"/>
        <v/>
      </c>
      <c r="DD37" s="81" t="str">
        <f t="shared" si="55"/>
        <v/>
      </c>
      <c r="DE37" s="145" t="str">
        <f t="shared" si="56"/>
        <v/>
      </c>
      <c r="DF37" s="145" t="str">
        <f t="shared" si="57"/>
        <v/>
      </c>
      <c r="DG37" s="81" t="str">
        <f t="shared" si="58"/>
        <v/>
      </c>
      <c r="DH37" s="81" t="str">
        <f t="shared" si="59"/>
        <v/>
      </c>
      <c r="DI37" s="81" t="str">
        <f t="shared" si="60"/>
        <v/>
      </c>
      <c r="DJ37" s="80" t="str">
        <f t="shared" si="61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0"/>
        <v/>
      </c>
      <c r="CP38" s="143">
        <f t="shared" si="21"/>
        <v>0</v>
      </c>
      <c r="CQ38" s="237" t="str">
        <f t="shared" si="22"/>
        <v/>
      </c>
      <c r="CR38" s="239" t="str">
        <f t="shared" si="23"/>
        <v/>
      </c>
      <c r="CS38" s="239" t="str">
        <f t="shared" si="24"/>
        <v/>
      </c>
      <c r="CT38" s="239" t="str">
        <f t="shared" si="25"/>
        <v/>
      </c>
      <c r="CU38" s="240" t="str">
        <f t="shared" si="26"/>
        <v/>
      </c>
      <c r="CV38" s="240" t="str">
        <f t="shared" si="27"/>
        <v/>
      </c>
      <c r="CW38" s="239" t="str">
        <f t="shared" si="28"/>
        <v/>
      </c>
      <c r="CX38" s="239" t="str">
        <f t="shared" si="29"/>
        <v/>
      </c>
      <c r="CY38" s="239" t="str">
        <f t="shared" si="30"/>
        <v/>
      </c>
      <c r="CZ38" s="1368" t="str">
        <f t="shared" si="31"/>
        <v/>
      </c>
      <c r="DA38" s="144" t="str">
        <f t="shared" si="52"/>
        <v/>
      </c>
      <c r="DB38" s="81" t="str">
        <f t="shared" si="53"/>
        <v/>
      </c>
      <c r="DC38" s="81" t="str">
        <f t="shared" si="54"/>
        <v/>
      </c>
      <c r="DD38" s="81" t="str">
        <f t="shared" si="55"/>
        <v/>
      </c>
      <c r="DE38" s="145" t="str">
        <f t="shared" si="56"/>
        <v/>
      </c>
      <c r="DF38" s="145" t="str">
        <f t="shared" si="57"/>
        <v/>
      </c>
      <c r="DG38" s="81" t="str">
        <f t="shared" si="58"/>
        <v/>
      </c>
      <c r="DH38" s="81" t="str">
        <f t="shared" si="59"/>
        <v/>
      </c>
      <c r="DI38" s="81" t="str">
        <f t="shared" si="60"/>
        <v/>
      </c>
      <c r="DJ38" s="80" t="str">
        <f t="shared" si="61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0"/>
        <v/>
      </c>
      <c r="CP39" s="143">
        <f t="shared" si="21"/>
        <v>0</v>
      </c>
      <c r="CQ39" s="237" t="str">
        <f t="shared" si="22"/>
        <v/>
      </c>
      <c r="CR39" s="239" t="str">
        <f t="shared" si="23"/>
        <v/>
      </c>
      <c r="CS39" s="239" t="str">
        <f t="shared" si="24"/>
        <v/>
      </c>
      <c r="CT39" s="239" t="str">
        <f t="shared" si="25"/>
        <v/>
      </c>
      <c r="CU39" s="240" t="str">
        <f t="shared" si="26"/>
        <v/>
      </c>
      <c r="CV39" s="240" t="str">
        <f t="shared" si="27"/>
        <v/>
      </c>
      <c r="CW39" s="239" t="str">
        <f t="shared" si="28"/>
        <v/>
      </c>
      <c r="CX39" s="239" t="str">
        <f t="shared" si="29"/>
        <v/>
      </c>
      <c r="CY39" s="239" t="str">
        <f t="shared" si="30"/>
        <v/>
      </c>
      <c r="CZ39" s="1368" t="str">
        <f t="shared" si="31"/>
        <v/>
      </c>
      <c r="DA39" s="144" t="str">
        <f t="shared" si="52"/>
        <v/>
      </c>
      <c r="DB39" s="81" t="str">
        <f t="shared" si="53"/>
        <v/>
      </c>
      <c r="DC39" s="81" t="str">
        <f t="shared" si="54"/>
        <v/>
      </c>
      <c r="DD39" s="81" t="str">
        <f t="shared" si="55"/>
        <v/>
      </c>
      <c r="DE39" s="145" t="str">
        <f t="shared" si="56"/>
        <v/>
      </c>
      <c r="DF39" s="145" t="str">
        <f t="shared" si="57"/>
        <v/>
      </c>
      <c r="DG39" s="81" t="str">
        <f t="shared" si="58"/>
        <v/>
      </c>
      <c r="DH39" s="81" t="str">
        <f t="shared" si="59"/>
        <v/>
      </c>
      <c r="DI39" s="81" t="str">
        <f t="shared" si="60"/>
        <v/>
      </c>
      <c r="DJ39" s="80" t="str">
        <f t="shared" si="61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0"/>
        <v/>
      </c>
      <c r="CP40" s="143">
        <f t="shared" si="21"/>
        <v>0</v>
      </c>
      <c r="CQ40" s="237" t="str">
        <f t="shared" si="22"/>
        <v/>
      </c>
      <c r="CR40" s="239" t="str">
        <f t="shared" si="23"/>
        <v/>
      </c>
      <c r="CS40" s="239" t="str">
        <f t="shared" si="24"/>
        <v/>
      </c>
      <c r="CT40" s="239" t="str">
        <f t="shared" si="25"/>
        <v/>
      </c>
      <c r="CU40" s="240" t="str">
        <f t="shared" si="26"/>
        <v/>
      </c>
      <c r="CV40" s="240" t="str">
        <f t="shared" si="27"/>
        <v/>
      </c>
      <c r="CW40" s="239" t="str">
        <f t="shared" si="28"/>
        <v/>
      </c>
      <c r="CX40" s="239" t="str">
        <f t="shared" si="29"/>
        <v/>
      </c>
      <c r="CY40" s="239" t="str">
        <f t="shared" si="30"/>
        <v/>
      </c>
      <c r="CZ40" s="1368" t="str">
        <f t="shared" si="31"/>
        <v/>
      </c>
      <c r="DA40" s="144" t="str">
        <f t="shared" si="52"/>
        <v/>
      </c>
      <c r="DB40" s="81" t="str">
        <f t="shared" si="53"/>
        <v/>
      </c>
      <c r="DC40" s="81" t="str">
        <f t="shared" si="54"/>
        <v/>
      </c>
      <c r="DD40" s="81" t="str">
        <f t="shared" si="55"/>
        <v/>
      </c>
      <c r="DE40" s="145" t="str">
        <f t="shared" si="56"/>
        <v/>
      </c>
      <c r="DF40" s="145" t="str">
        <f t="shared" si="57"/>
        <v/>
      </c>
      <c r="DG40" s="81" t="str">
        <f t="shared" si="58"/>
        <v/>
      </c>
      <c r="DH40" s="81" t="str">
        <f t="shared" si="59"/>
        <v/>
      </c>
      <c r="DI40" s="81" t="str">
        <f t="shared" si="60"/>
        <v/>
      </c>
      <c r="DJ40" s="80" t="str">
        <f t="shared" si="61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2">IF(C34="","",SUM(C34,C36,-C37,-C38,-C39,C40))</f>
        <v/>
      </c>
      <c r="D41" s="299" t="str">
        <f t="shared" si="62"/>
        <v/>
      </c>
      <c r="E41" s="299" t="str">
        <f t="shared" si="62"/>
        <v/>
      </c>
      <c r="F41" s="299" t="str">
        <f t="shared" si="62"/>
        <v/>
      </c>
      <c r="G41" s="299" t="str">
        <f t="shared" si="62"/>
        <v/>
      </c>
      <c r="H41" s="299" t="str">
        <f t="shared" si="62"/>
        <v/>
      </c>
      <c r="I41" s="299" t="str">
        <f t="shared" si="62"/>
        <v/>
      </c>
      <c r="J41" s="299" t="str">
        <f t="shared" si="62"/>
        <v/>
      </c>
      <c r="K41" s="299" t="str">
        <f t="shared" si="62"/>
        <v/>
      </c>
      <c r="L41" s="299" t="str">
        <f t="shared" si="62"/>
        <v/>
      </c>
      <c r="M41" s="299" t="str">
        <f t="shared" si="62"/>
        <v/>
      </c>
      <c r="N41" s="299" t="str">
        <f t="shared" si="62"/>
        <v/>
      </c>
      <c r="O41" s="299" t="str">
        <f t="shared" si="62"/>
        <v/>
      </c>
      <c r="P41" s="299" t="str">
        <f t="shared" si="62"/>
        <v/>
      </c>
      <c r="Q41" s="299" t="str">
        <f t="shared" si="62"/>
        <v/>
      </c>
      <c r="R41" s="299" t="str">
        <f t="shared" si="62"/>
        <v/>
      </c>
      <c r="S41" s="299" t="str">
        <f t="shared" si="62"/>
        <v/>
      </c>
      <c r="T41" s="298" t="str">
        <f t="shared" si="62"/>
        <v/>
      </c>
      <c r="U41" s="299" t="str">
        <f t="shared" si="62"/>
        <v/>
      </c>
      <c r="V41" s="299" t="str">
        <f t="shared" si="62"/>
        <v/>
      </c>
      <c r="W41" s="299" t="str">
        <f t="shared" si="62"/>
        <v/>
      </c>
      <c r="X41" s="299" t="str">
        <f t="shared" si="62"/>
        <v/>
      </c>
      <c r="Y41" s="299" t="str">
        <f t="shared" si="62"/>
        <v/>
      </c>
      <c r="Z41" s="299" t="str">
        <f t="shared" si="62"/>
        <v/>
      </c>
      <c r="AA41" s="299" t="str">
        <f t="shared" si="62"/>
        <v/>
      </c>
      <c r="AB41" s="299" t="str">
        <f t="shared" si="62"/>
        <v/>
      </c>
      <c r="AC41" s="299" t="str">
        <f t="shared" si="62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0"/>
        <v/>
      </c>
      <c r="CP41" s="143">
        <f t="shared" si="21"/>
        <v>0</v>
      </c>
      <c r="CQ41" s="237" t="str">
        <f t="shared" si="22"/>
        <v/>
      </c>
      <c r="CR41" s="239" t="str">
        <f t="shared" si="23"/>
        <v/>
      </c>
      <c r="CS41" s="239" t="str">
        <f t="shared" si="24"/>
        <v/>
      </c>
      <c r="CT41" s="239" t="str">
        <f t="shared" si="25"/>
        <v/>
      </c>
      <c r="CU41" s="240" t="str">
        <f t="shared" si="26"/>
        <v/>
      </c>
      <c r="CV41" s="240" t="str">
        <f t="shared" si="27"/>
        <v/>
      </c>
      <c r="CW41" s="239" t="str">
        <f t="shared" si="28"/>
        <v/>
      </c>
      <c r="CX41" s="239" t="str">
        <f t="shared" si="29"/>
        <v/>
      </c>
      <c r="CY41" s="239" t="str">
        <f t="shared" si="30"/>
        <v/>
      </c>
      <c r="CZ41" s="1368" t="str">
        <f t="shared" si="31"/>
        <v/>
      </c>
      <c r="DA41" s="144" t="str">
        <f t="shared" si="52"/>
        <v/>
      </c>
      <c r="DB41" s="81" t="str">
        <f t="shared" si="53"/>
        <v/>
      </c>
      <c r="DC41" s="81" t="str">
        <f t="shared" si="54"/>
        <v/>
      </c>
      <c r="DD41" s="81" t="str">
        <f t="shared" si="55"/>
        <v/>
      </c>
      <c r="DE41" s="145" t="str">
        <f t="shared" si="56"/>
        <v/>
      </c>
      <c r="DF41" s="145" t="str">
        <f t="shared" si="57"/>
        <v/>
      </c>
      <c r="DG41" s="81" t="str">
        <f t="shared" si="58"/>
        <v/>
      </c>
      <c r="DH41" s="81" t="str">
        <f t="shared" si="59"/>
        <v/>
      </c>
      <c r="DI41" s="81" t="str">
        <f t="shared" si="60"/>
        <v/>
      </c>
      <c r="DJ41" s="80" t="str">
        <f t="shared" si="61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0"/>
        <v/>
      </c>
      <c r="CP42" s="143">
        <f t="shared" si="21"/>
        <v>0</v>
      </c>
      <c r="CQ42" s="237" t="str">
        <f t="shared" si="22"/>
        <v/>
      </c>
      <c r="CR42" s="239" t="str">
        <f t="shared" si="23"/>
        <v/>
      </c>
      <c r="CS42" s="239" t="str">
        <f t="shared" si="24"/>
        <v/>
      </c>
      <c r="CT42" s="239" t="str">
        <f t="shared" si="25"/>
        <v/>
      </c>
      <c r="CU42" s="240" t="str">
        <f t="shared" si="26"/>
        <v/>
      </c>
      <c r="CV42" s="240" t="str">
        <f t="shared" si="27"/>
        <v/>
      </c>
      <c r="CW42" s="239" t="str">
        <f t="shared" si="28"/>
        <v/>
      </c>
      <c r="CX42" s="239" t="str">
        <f t="shared" si="29"/>
        <v/>
      </c>
      <c r="CY42" s="239" t="str">
        <f t="shared" si="30"/>
        <v/>
      </c>
      <c r="CZ42" s="1368" t="str">
        <f t="shared" si="31"/>
        <v/>
      </c>
      <c r="DA42" s="144" t="str">
        <f t="shared" si="52"/>
        <v/>
      </c>
      <c r="DB42" s="81" t="str">
        <f t="shared" si="53"/>
        <v/>
      </c>
      <c r="DC42" s="81" t="str">
        <f t="shared" si="54"/>
        <v/>
      </c>
      <c r="DD42" s="81" t="str">
        <f t="shared" si="55"/>
        <v/>
      </c>
      <c r="DE42" s="145" t="str">
        <f t="shared" si="56"/>
        <v/>
      </c>
      <c r="DF42" s="145" t="str">
        <f t="shared" si="57"/>
        <v/>
      </c>
      <c r="DG42" s="81" t="str">
        <f t="shared" si="58"/>
        <v/>
      </c>
      <c r="DH42" s="81" t="str">
        <f t="shared" si="59"/>
        <v/>
      </c>
      <c r="DI42" s="81" t="str">
        <f t="shared" si="60"/>
        <v/>
      </c>
      <c r="DJ42" s="80" t="str">
        <f t="shared" si="61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0"/>
        <v/>
      </c>
      <c r="CP43" s="143">
        <f t="shared" si="21"/>
        <v>0</v>
      </c>
      <c r="CQ43" s="237" t="str">
        <f t="shared" si="22"/>
        <v/>
      </c>
      <c r="CR43" s="239" t="str">
        <f t="shared" si="23"/>
        <v/>
      </c>
      <c r="CS43" s="239" t="str">
        <f t="shared" si="24"/>
        <v/>
      </c>
      <c r="CT43" s="239" t="str">
        <f t="shared" si="25"/>
        <v/>
      </c>
      <c r="CU43" s="240" t="str">
        <f t="shared" si="26"/>
        <v/>
      </c>
      <c r="CV43" s="240" t="str">
        <f t="shared" si="27"/>
        <v/>
      </c>
      <c r="CW43" s="239" t="str">
        <f t="shared" si="28"/>
        <v/>
      </c>
      <c r="CX43" s="239" t="str">
        <f t="shared" si="29"/>
        <v/>
      </c>
      <c r="CY43" s="239" t="str">
        <f t="shared" si="30"/>
        <v/>
      </c>
      <c r="CZ43" s="1368" t="str">
        <f t="shared" si="31"/>
        <v/>
      </c>
      <c r="DA43" s="144" t="str">
        <f t="shared" si="52"/>
        <v/>
      </c>
      <c r="DB43" s="81" t="str">
        <f t="shared" si="53"/>
        <v/>
      </c>
      <c r="DC43" s="81" t="str">
        <f t="shared" si="54"/>
        <v/>
      </c>
      <c r="DD43" s="81" t="str">
        <f t="shared" si="55"/>
        <v/>
      </c>
      <c r="DE43" s="145" t="str">
        <f t="shared" si="56"/>
        <v/>
      </c>
      <c r="DF43" s="145" t="str">
        <f t="shared" si="57"/>
        <v/>
      </c>
      <c r="DG43" s="81" t="str">
        <f t="shared" si="58"/>
        <v/>
      </c>
      <c r="DH43" s="81" t="str">
        <f t="shared" si="59"/>
        <v/>
      </c>
      <c r="DI43" s="81" t="str">
        <f t="shared" si="60"/>
        <v/>
      </c>
      <c r="DJ43" s="80" t="str">
        <f t="shared" si="61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0"/>
        <v/>
      </c>
      <c r="CP44" s="143">
        <f t="shared" si="21"/>
        <v>0</v>
      </c>
      <c r="CQ44" s="237" t="str">
        <f t="shared" si="22"/>
        <v/>
      </c>
      <c r="CR44" s="239" t="str">
        <f t="shared" si="23"/>
        <v/>
      </c>
      <c r="CS44" s="239" t="str">
        <f t="shared" si="24"/>
        <v/>
      </c>
      <c r="CT44" s="239" t="str">
        <f t="shared" si="25"/>
        <v/>
      </c>
      <c r="CU44" s="240" t="str">
        <f t="shared" si="26"/>
        <v/>
      </c>
      <c r="CV44" s="240" t="str">
        <f t="shared" si="27"/>
        <v/>
      </c>
      <c r="CW44" s="239" t="str">
        <f t="shared" si="28"/>
        <v/>
      </c>
      <c r="CX44" s="239" t="str">
        <f t="shared" si="29"/>
        <v/>
      </c>
      <c r="CY44" s="239" t="str">
        <f t="shared" si="30"/>
        <v/>
      </c>
      <c r="CZ44" s="1368" t="str">
        <f t="shared" si="31"/>
        <v/>
      </c>
      <c r="DA44" s="144" t="str">
        <f t="shared" si="52"/>
        <v/>
      </c>
      <c r="DB44" s="81" t="str">
        <f t="shared" si="53"/>
        <v/>
      </c>
      <c r="DC44" s="81" t="str">
        <f t="shared" si="54"/>
        <v/>
      </c>
      <c r="DD44" s="81" t="str">
        <f t="shared" si="55"/>
        <v/>
      </c>
      <c r="DE44" s="145" t="str">
        <f t="shared" si="56"/>
        <v/>
      </c>
      <c r="DF44" s="145" t="str">
        <f t="shared" si="57"/>
        <v/>
      </c>
      <c r="DG44" s="81" t="str">
        <f t="shared" si="58"/>
        <v/>
      </c>
      <c r="DH44" s="81" t="str">
        <f t="shared" si="59"/>
        <v/>
      </c>
      <c r="DI44" s="81" t="str">
        <f t="shared" si="60"/>
        <v/>
      </c>
      <c r="DJ44" s="80" t="str">
        <f t="shared" si="61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0"/>
        <v/>
      </c>
      <c r="CP45" s="143">
        <f t="shared" si="21"/>
        <v>0</v>
      </c>
      <c r="CQ45" s="237" t="str">
        <f t="shared" si="22"/>
        <v/>
      </c>
      <c r="CR45" s="239" t="str">
        <f t="shared" si="23"/>
        <v/>
      </c>
      <c r="CS45" s="239" t="str">
        <f t="shared" si="24"/>
        <v/>
      </c>
      <c r="CT45" s="239" t="str">
        <f t="shared" si="25"/>
        <v/>
      </c>
      <c r="CU45" s="240" t="str">
        <f t="shared" si="26"/>
        <v/>
      </c>
      <c r="CV45" s="240" t="str">
        <f t="shared" si="27"/>
        <v/>
      </c>
      <c r="CW45" s="239" t="str">
        <f t="shared" si="28"/>
        <v/>
      </c>
      <c r="CX45" s="239" t="str">
        <f t="shared" si="29"/>
        <v/>
      </c>
      <c r="CY45" s="239" t="str">
        <f t="shared" si="30"/>
        <v/>
      </c>
      <c r="CZ45" s="1368" t="str">
        <f t="shared" si="31"/>
        <v/>
      </c>
      <c r="DA45" s="144" t="str">
        <f t="shared" si="52"/>
        <v/>
      </c>
      <c r="DB45" s="81" t="str">
        <f t="shared" si="53"/>
        <v/>
      </c>
      <c r="DC45" s="81" t="str">
        <f t="shared" si="54"/>
        <v/>
      </c>
      <c r="DD45" s="81" t="str">
        <f t="shared" si="55"/>
        <v/>
      </c>
      <c r="DE45" s="145" t="str">
        <f t="shared" si="56"/>
        <v/>
      </c>
      <c r="DF45" s="145" t="str">
        <f t="shared" si="57"/>
        <v/>
      </c>
      <c r="DG45" s="81" t="str">
        <f t="shared" si="58"/>
        <v/>
      </c>
      <c r="DH45" s="81" t="str">
        <f t="shared" si="59"/>
        <v/>
      </c>
      <c r="DI45" s="81" t="str">
        <f t="shared" si="60"/>
        <v/>
      </c>
      <c r="DJ45" s="80" t="str">
        <f t="shared" si="61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0"/>
        <v/>
      </c>
      <c r="CP46" s="143">
        <f t="shared" si="21"/>
        <v>0</v>
      </c>
      <c r="CQ46" s="237" t="str">
        <f t="shared" si="22"/>
        <v/>
      </c>
      <c r="CR46" s="239" t="str">
        <f t="shared" si="23"/>
        <v/>
      </c>
      <c r="CS46" s="239" t="str">
        <f t="shared" si="24"/>
        <v/>
      </c>
      <c r="CT46" s="239" t="str">
        <f t="shared" si="25"/>
        <v/>
      </c>
      <c r="CU46" s="240" t="str">
        <f t="shared" si="26"/>
        <v/>
      </c>
      <c r="CV46" s="240" t="str">
        <f t="shared" si="27"/>
        <v/>
      </c>
      <c r="CW46" s="239" t="str">
        <f t="shared" si="28"/>
        <v/>
      </c>
      <c r="CX46" s="239" t="str">
        <f t="shared" si="29"/>
        <v/>
      </c>
      <c r="CY46" s="239" t="str">
        <f t="shared" si="30"/>
        <v/>
      </c>
      <c r="CZ46" s="1368" t="str">
        <f t="shared" si="31"/>
        <v/>
      </c>
      <c r="DA46" s="144" t="str">
        <f t="shared" si="52"/>
        <v/>
      </c>
      <c r="DB46" s="81" t="str">
        <f t="shared" si="53"/>
        <v/>
      </c>
      <c r="DC46" s="81" t="str">
        <f t="shared" si="54"/>
        <v/>
      </c>
      <c r="DD46" s="81" t="str">
        <f t="shared" si="55"/>
        <v/>
      </c>
      <c r="DE46" s="145" t="str">
        <f t="shared" si="56"/>
        <v/>
      </c>
      <c r="DF46" s="145" t="str">
        <f t="shared" si="57"/>
        <v/>
      </c>
      <c r="DG46" s="81" t="str">
        <f t="shared" si="58"/>
        <v/>
      </c>
      <c r="DH46" s="81" t="str">
        <f t="shared" si="59"/>
        <v/>
      </c>
      <c r="DI46" s="81" t="str">
        <f t="shared" si="60"/>
        <v/>
      </c>
      <c r="DJ46" s="80" t="str">
        <f t="shared" si="61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0"/>
        <v/>
      </c>
      <c r="CP47" s="143">
        <f t="shared" si="21"/>
        <v>0</v>
      </c>
      <c r="CQ47" s="237" t="str">
        <f t="shared" si="22"/>
        <v/>
      </c>
      <c r="CR47" s="239" t="str">
        <f t="shared" si="23"/>
        <v/>
      </c>
      <c r="CS47" s="239" t="str">
        <f t="shared" si="24"/>
        <v/>
      </c>
      <c r="CT47" s="239" t="str">
        <f t="shared" si="25"/>
        <v/>
      </c>
      <c r="CU47" s="240" t="str">
        <f t="shared" si="26"/>
        <v/>
      </c>
      <c r="CV47" s="240" t="str">
        <f t="shared" si="27"/>
        <v/>
      </c>
      <c r="CW47" s="239" t="str">
        <f t="shared" si="28"/>
        <v/>
      </c>
      <c r="CX47" s="239" t="str">
        <f t="shared" si="29"/>
        <v/>
      </c>
      <c r="CY47" s="239" t="str">
        <f t="shared" si="30"/>
        <v/>
      </c>
      <c r="CZ47" s="1368" t="str">
        <f t="shared" si="31"/>
        <v/>
      </c>
      <c r="DA47" s="144" t="str">
        <f t="shared" si="52"/>
        <v/>
      </c>
      <c r="DB47" s="81" t="str">
        <f t="shared" si="53"/>
        <v/>
      </c>
      <c r="DC47" s="81" t="str">
        <f t="shared" si="54"/>
        <v/>
      </c>
      <c r="DD47" s="81" t="str">
        <f t="shared" si="55"/>
        <v/>
      </c>
      <c r="DE47" s="145" t="str">
        <f t="shared" si="56"/>
        <v/>
      </c>
      <c r="DF47" s="145" t="str">
        <f t="shared" si="57"/>
        <v/>
      </c>
      <c r="DG47" s="81" t="str">
        <f t="shared" si="58"/>
        <v/>
      </c>
      <c r="DH47" s="81" t="str">
        <f t="shared" si="59"/>
        <v/>
      </c>
      <c r="DI47" s="81" t="str">
        <f t="shared" si="60"/>
        <v/>
      </c>
      <c r="DJ47" s="80" t="str">
        <f t="shared" si="61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0"/>
        <v/>
      </c>
      <c r="CP48" s="143">
        <f t="shared" si="21"/>
        <v>0</v>
      </c>
      <c r="CQ48" s="237" t="str">
        <f t="shared" si="22"/>
        <v/>
      </c>
      <c r="CR48" s="239" t="str">
        <f t="shared" si="23"/>
        <v/>
      </c>
      <c r="CS48" s="239" t="str">
        <f t="shared" si="24"/>
        <v/>
      </c>
      <c r="CT48" s="239" t="str">
        <f t="shared" si="25"/>
        <v/>
      </c>
      <c r="CU48" s="240" t="str">
        <f t="shared" si="26"/>
        <v/>
      </c>
      <c r="CV48" s="240" t="str">
        <f t="shared" si="27"/>
        <v/>
      </c>
      <c r="CW48" s="239" t="str">
        <f t="shared" si="28"/>
        <v/>
      </c>
      <c r="CX48" s="239" t="str">
        <f t="shared" si="29"/>
        <v/>
      </c>
      <c r="CY48" s="239" t="str">
        <f t="shared" si="30"/>
        <v/>
      </c>
      <c r="CZ48" s="1368" t="str">
        <f t="shared" si="31"/>
        <v/>
      </c>
      <c r="DA48" s="144" t="str">
        <f t="shared" si="52"/>
        <v/>
      </c>
      <c r="DB48" s="81" t="str">
        <f t="shared" si="53"/>
        <v/>
      </c>
      <c r="DC48" s="81" t="str">
        <f t="shared" si="54"/>
        <v/>
      </c>
      <c r="DD48" s="81" t="str">
        <f t="shared" si="55"/>
        <v/>
      </c>
      <c r="DE48" s="145" t="str">
        <f t="shared" si="56"/>
        <v/>
      </c>
      <c r="DF48" s="145" t="str">
        <f t="shared" si="57"/>
        <v/>
      </c>
      <c r="DG48" s="81" t="str">
        <f t="shared" si="58"/>
        <v/>
      </c>
      <c r="DH48" s="81" t="str">
        <f t="shared" si="59"/>
        <v/>
      </c>
      <c r="DI48" s="81" t="str">
        <f t="shared" si="60"/>
        <v/>
      </c>
      <c r="DJ48" s="80" t="str">
        <f t="shared" si="61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3">IF(C42="","",SUM(C42,C44,-C45,-C46,-C47,C48))</f>
        <v/>
      </c>
      <c r="D49" s="299" t="str">
        <f t="shared" si="63"/>
        <v/>
      </c>
      <c r="E49" s="299" t="str">
        <f t="shared" si="63"/>
        <v/>
      </c>
      <c r="F49" s="299" t="str">
        <f t="shared" si="63"/>
        <v/>
      </c>
      <c r="G49" s="299" t="str">
        <f t="shared" si="63"/>
        <v/>
      </c>
      <c r="H49" s="299" t="str">
        <f t="shared" si="63"/>
        <v/>
      </c>
      <c r="I49" s="299" t="str">
        <f t="shared" si="63"/>
        <v/>
      </c>
      <c r="J49" s="299" t="str">
        <f t="shared" si="63"/>
        <v/>
      </c>
      <c r="K49" s="299" t="str">
        <f t="shared" si="63"/>
        <v/>
      </c>
      <c r="L49" s="299" t="str">
        <f t="shared" si="63"/>
        <v/>
      </c>
      <c r="M49" s="299" t="str">
        <f t="shared" si="63"/>
        <v/>
      </c>
      <c r="N49" s="299" t="str">
        <f t="shared" si="63"/>
        <v/>
      </c>
      <c r="O49" s="299" t="str">
        <f t="shared" si="63"/>
        <v/>
      </c>
      <c r="P49" s="299" t="str">
        <f t="shared" si="63"/>
        <v/>
      </c>
      <c r="Q49" s="299" t="str">
        <f t="shared" si="63"/>
        <v/>
      </c>
      <c r="R49" s="299" t="str">
        <f t="shared" si="63"/>
        <v/>
      </c>
      <c r="S49" s="299" t="str">
        <f t="shared" si="63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4">IF(AK42="","",SUM(AK42,AK44,-AK45,-AK46,-AK47,AK48))</f>
        <v/>
      </c>
      <c r="AL49" s="299" t="str">
        <f t="shared" si="64"/>
        <v/>
      </c>
      <c r="AM49" s="299" t="str">
        <f t="shared" si="64"/>
        <v/>
      </c>
      <c r="AN49" s="299" t="str">
        <f t="shared" si="64"/>
        <v/>
      </c>
      <c r="AO49" s="299" t="str">
        <f t="shared" si="64"/>
        <v/>
      </c>
      <c r="AP49" s="299" t="str">
        <f t="shared" si="64"/>
        <v/>
      </c>
      <c r="AQ49" s="299" t="str">
        <f t="shared" si="64"/>
        <v/>
      </c>
      <c r="AR49" s="299" t="str">
        <f t="shared" si="64"/>
        <v/>
      </c>
      <c r="AS49" s="299" t="str">
        <f t="shared" si="64"/>
        <v/>
      </c>
      <c r="AT49" s="299" t="str">
        <f t="shared" si="64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0"/>
        <v/>
      </c>
      <c r="CP49" s="143">
        <f t="shared" si="21"/>
        <v>0</v>
      </c>
      <c r="CQ49" s="237" t="str">
        <f t="shared" si="22"/>
        <v/>
      </c>
      <c r="CR49" s="239" t="str">
        <f t="shared" si="23"/>
        <v/>
      </c>
      <c r="CS49" s="239" t="str">
        <f t="shared" si="24"/>
        <v/>
      </c>
      <c r="CT49" s="239" t="str">
        <f t="shared" si="25"/>
        <v/>
      </c>
      <c r="CU49" s="240" t="str">
        <f t="shared" si="26"/>
        <v/>
      </c>
      <c r="CV49" s="240" t="str">
        <f t="shared" si="27"/>
        <v/>
      </c>
      <c r="CW49" s="239" t="str">
        <f t="shared" si="28"/>
        <v/>
      </c>
      <c r="CX49" s="239" t="str">
        <f t="shared" si="29"/>
        <v/>
      </c>
      <c r="CY49" s="239" t="str">
        <f t="shared" si="30"/>
        <v/>
      </c>
      <c r="CZ49" s="1368" t="str">
        <f t="shared" si="31"/>
        <v/>
      </c>
      <c r="DA49" s="144" t="str">
        <f t="shared" si="52"/>
        <v/>
      </c>
      <c r="DB49" s="81" t="str">
        <f t="shared" si="53"/>
        <v/>
      </c>
      <c r="DC49" s="81" t="str">
        <f t="shared" si="54"/>
        <v/>
      </c>
      <c r="DD49" s="81" t="str">
        <f t="shared" si="55"/>
        <v/>
      </c>
      <c r="DE49" s="145" t="str">
        <f t="shared" si="56"/>
        <v/>
      </c>
      <c r="DF49" s="145" t="str">
        <f t="shared" si="57"/>
        <v/>
      </c>
      <c r="DG49" s="81" t="str">
        <f t="shared" si="58"/>
        <v/>
      </c>
      <c r="DH49" s="81" t="str">
        <f t="shared" si="59"/>
        <v/>
      </c>
      <c r="DI49" s="81" t="str">
        <f t="shared" si="60"/>
        <v/>
      </c>
      <c r="DJ49" s="80" t="str">
        <f t="shared" si="61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0"/>
        <v/>
      </c>
      <c r="CP50" s="143">
        <f t="shared" si="21"/>
        <v>0</v>
      </c>
      <c r="CQ50" s="237" t="str">
        <f t="shared" si="22"/>
        <v/>
      </c>
      <c r="CR50" s="239" t="str">
        <f t="shared" si="23"/>
        <v/>
      </c>
      <c r="CS50" s="239" t="str">
        <f t="shared" si="24"/>
        <v/>
      </c>
      <c r="CT50" s="239" t="str">
        <f t="shared" si="25"/>
        <v/>
      </c>
      <c r="CU50" s="240" t="str">
        <f t="shared" si="26"/>
        <v/>
      </c>
      <c r="CV50" s="240" t="str">
        <f t="shared" si="27"/>
        <v/>
      </c>
      <c r="CW50" s="239" t="str">
        <f t="shared" si="28"/>
        <v/>
      </c>
      <c r="CX50" s="239" t="str">
        <f t="shared" si="29"/>
        <v/>
      </c>
      <c r="CY50" s="239" t="str">
        <f t="shared" si="30"/>
        <v/>
      </c>
      <c r="CZ50" s="1368" t="str">
        <f t="shared" si="31"/>
        <v/>
      </c>
      <c r="DA50" s="144" t="str">
        <f t="shared" si="52"/>
        <v/>
      </c>
      <c r="DB50" s="81" t="str">
        <f t="shared" si="53"/>
        <v/>
      </c>
      <c r="DC50" s="81" t="str">
        <f t="shared" si="54"/>
        <v/>
      </c>
      <c r="DD50" s="81" t="str">
        <f t="shared" si="55"/>
        <v/>
      </c>
      <c r="DE50" s="145" t="str">
        <f t="shared" si="56"/>
        <v/>
      </c>
      <c r="DF50" s="145" t="str">
        <f t="shared" si="57"/>
        <v/>
      </c>
      <c r="DG50" s="81" t="str">
        <f t="shared" si="58"/>
        <v/>
      </c>
      <c r="DH50" s="81" t="str">
        <f t="shared" si="59"/>
        <v/>
      </c>
      <c r="DI50" s="81" t="str">
        <f t="shared" si="60"/>
        <v/>
      </c>
      <c r="DJ50" s="80" t="str">
        <f t="shared" si="61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0"/>
        <v/>
      </c>
      <c r="CP51" s="143">
        <f t="shared" si="21"/>
        <v>0</v>
      </c>
      <c r="CQ51" s="237" t="str">
        <f t="shared" si="22"/>
        <v/>
      </c>
      <c r="CR51" s="239" t="str">
        <f t="shared" si="23"/>
        <v/>
      </c>
      <c r="CS51" s="239" t="str">
        <f t="shared" si="24"/>
        <v/>
      </c>
      <c r="CT51" s="239" t="str">
        <f t="shared" si="25"/>
        <v/>
      </c>
      <c r="CU51" s="240" t="str">
        <f t="shared" si="26"/>
        <v/>
      </c>
      <c r="CV51" s="240" t="str">
        <f t="shared" si="27"/>
        <v/>
      </c>
      <c r="CW51" s="239" t="str">
        <f t="shared" si="28"/>
        <v/>
      </c>
      <c r="CX51" s="239" t="str">
        <f t="shared" si="29"/>
        <v/>
      </c>
      <c r="CY51" s="239" t="str">
        <f t="shared" si="30"/>
        <v/>
      </c>
      <c r="CZ51" s="1368" t="str">
        <f t="shared" si="31"/>
        <v/>
      </c>
      <c r="DA51" s="144" t="str">
        <f t="shared" si="52"/>
        <v/>
      </c>
      <c r="DB51" s="81" t="str">
        <f t="shared" si="53"/>
        <v/>
      </c>
      <c r="DC51" s="81" t="str">
        <f t="shared" si="54"/>
        <v/>
      </c>
      <c r="DD51" s="81" t="str">
        <f t="shared" si="55"/>
        <v/>
      </c>
      <c r="DE51" s="145" t="str">
        <f t="shared" si="56"/>
        <v/>
      </c>
      <c r="DF51" s="145" t="str">
        <f t="shared" si="57"/>
        <v/>
      </c>
      <c r="DG51" s="81" t="str">
        <f t="shared" si="58"/>
        <v/>
      </c>
      <c r="DH51" s="81" t="str">
        <f t="shared" si="59"/>
        <v/>
      </c>
      <c r="DI51" s="81" t="str">
        <f t="shared" si="60"/>
        <v/>
      </c>
      <c r="DJ51" s="80" t="str">
        <f t="shared" si="61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0"/>
        <v/>
      </c>
      <c r="CP52" s="143">
        <f t="shared" si="21"/>
        <v>0</v>
      </c>
      <c r="CQ52" s="237" t="str">
        <f t="shared" si="22"/>
        <v/>
      </c>
      <c r="CR52" s="239" t="str">
        <f t="shared" si="23"/>
        <v/>
      </c>
      <c r="CS52" s="239" t="str">
        <f t="shared" si="24"/>
        <v/>
      </c>
      <c r="CT52" s="239" t="str">
        <f t="shared" si="25"/>
        <v/>
      </c>
      <c r="CU52" s="240" t="str">
        <f t="shared" si="26"/>
        <v/>
      </c>
      <c r="CV52" s="240" t="str">
        <f t="shared" si="27"/>
        <v/>
      </c>
      <c r="CW52" s="239" t="str">
        <f t="shared" si="28"/>
        <v/>
      </c>
      <c r="CX52" s="239" t="str">
        <f t="shared" si="29"/>
        <v/>
      </c>
      <c r="CY52" s="239" t="str">
        <f t="shared" si="30"/>
        <v/>
      </c>
      <c r="CZ52" s="1368" t="str">
        <f t="shared" si="31"/>
        <v/>
      </c>
      <c r="DA52" s="144" t="str">
        <f t="shared" si="52"/>
        <v/>
      </c>
      <c r="DB52" s="81" t="str">
        <f t="shared" si="53"/>
        <v/>
      </c>
      <c r="DC52" s="81" t="str">
        <f t="shared" si="54"/>
        <v/>
      </c>
      <c r="DD52" s="81" t="str">
        <f t="shared" si="55"/>
        <v/>
      </c>
      <c r="DE52" s="145" t="str">
        <f t="shared" si="56"/>
        <v/>
      </c>
      <c r="DF52" s="145" t="str">
        <f t="shared" si="57"/>
        <v/>
      </c>
      <c r="DG52" s="81" t="str">
        <f t="shared" si="58"/>
        <v/>
      </c>
      <c r="DH52" s="81" t="str">
        <f t="shared" si="59"/>
        <v/>
      </c>
      <c r="DI52" s="81" t="str">
        <f t="shared" si="60"/>
        <v/>
      </c>
      <c r="DJ52" s="80" t="str">
        <f t="shared" si="61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0"/>
        <v/>
      </c>
      <c r="CP53" s="143">
        <f t="shared" si="21"/>
        <v>0</v>
      </c>
      <c r="CQ53" s="237" t="str">
        <f t="shared" si="22"/>
        <v/>
      </c>
      <c r="CR53" s="239" t="str">
        <f t="shared" si="23"/>
        <v/>
      </c>
      <c r="CS53" s="239" t="str">
        <f t="shared" si="24"/>
        <v/>
      </c>
      <c r="CT53" s="239" t="str">
        <f t="shared" si="25"/>
        <v/>
      </c>
      <c r="CU53" s="240" t="str">
        <f t="shared" si="26"/>
        <v/>
      </c>
      <c r="CV53" s="240" t="str">
        <f t="shared" si="27"/>
        <v/>
      </c>
      <c r="CW53" s="239" t="str">
        <f t="shared" si="28"/>
        <v/>
      </c>
      <c r="CX53" s="239" t="str">
        <f t="shared" si="29"/>
        <v/>
      </c>
      <c r="CY53" s="239" t="str">
        <f t="shared" si="30"/>
        <v/>
      </c>
      <c r="CZ53" s="1368" t="str">
        <f t="shared" si="31"/>
        <v/>
      </c>
      <c r="DA53" s="144" t="str">
        <f t="shared" si="52"/>
        <v/>
      </c>
      <c r="DB53" s="81" t="str">
        <f t="shared" si="53"/>
        <v/>
      </c>
      <c r="DC53" s="81" t="str">
        <f t="shared" si="54"/>
        <v/>
      </c>
      <c r="DD53" s="81" t="str">
        <f t="shared" si="55"/>
        <v/>
      </c>
      <c r="DE53" s="145" t="str">
        <f t="shared" si="56"/>
        <v/>
      </c>
      <c r="DF53" s="145" t="str">
        <f t="shared" si="57"/>
        <v/>
      </c>
      <c r="DG53" s="81" t="str">
        <f t="shared" si="58"/>
        <v/>
      </c>
      <c r="DH53" s="81" t="str">
        <f t="shared" si="59"/>
        <v/>
      </c>
      <c r="DI53" s="81" t="str">
        <f t="shared" si="60"/>
        <v/>
      </c>
      <c r="DJ53" s="80" t="str">
        <f t="shared" si="61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0"/>
        <v/>
      </c>
      <c r="CP54" s="143">
        <f t="shared" si="21"/>
        <v>0</v>
      </c>
      <c r="CQ54" s="237" t="str">
        <f t="shared" si="22"/>
        <v/>
      </c>
      <c r="CR54" s="239" t="str">
        <f t="shared" si="23"/>
        <v/>
      </c>
      <c r="CS54" s="239" t="str">
        <f t="shared" si="24"/>
        <v/>
      </c>
      <c r="CT54" s="239" t="str">
        <f t="shared" si="25"/>
        <v/>
      </c>
      <c r="CU54" s="240" t="str">
        <f t="shared" si="26"/>
        <v/>
      </c>
      <c r="CV54" s="240" t="str">
        <f t="shared" si="27"/>
        <v/>
      </c>
      <c r="CW54" s="239" t="str">
        <f t="shared" si="28"/>
        <v/>
      </c>
      <c r="CX54" s="239" t="str">
        <f t="shared" si="29"/>
        <v/>
      </c>
      <c r="CY54" s="239" t="str">
        <f t="shared" si="30"/>
        <v/>
      </c>
      <c r="CZ54" s="1368" t="str">
        <f t="shared" si="31"/>
        <v/>
      </c>
      <c r="DA54" s="144" t="str">
        <f t="shared" si="52"/>
        <v/>
      </c>
      <c r="DB54" s="81" t="str">
        <f t="shared" si="53"/>
        <v/>
      </c>
      <c r="DC54" s="81" t="str">
        <f t="shared" si="54"/>
        <v/>
      </c>
      <c r="DD54" s="81" t="str">
        <f t="shared" si="55"/>
        <v/>
      </c>
      <c r="DE54" s="145" t="str">
        <f t="shared" si="56"/>
        <v/>
      </c>
      <c r="DF54" s="145" t="str">
        <f t="shared" si="57"/>
        <v/>
      </c>
      <c r="DG54" s="81" t="str">
        <f t="shared" si="58"/>
        <v/>
      </c>
      <c r="DH54" s="81" t="str">
        <f t="shared" si="59"/>
        <v/>
      </c>
      <c r="DI54" s="81" t="str">
        <f t="shared" si="60"/>
        <v/>
      </c>
      <c r="DJ54" s="80" t="str">
        <f t="shared" si="61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0"/>
        <v/>
      </c>
      <c r="CP55" s="143">
        <f t="shared" si="21"/>
        <v>0</v>
      </c>
      <c r="CQ55" s="237" t="str">
        <f t="shared" si="22"/>
        <v/>
      </c>
      <c r="CR55" s="239" t="str">
        <f t="shared" si="23"/>
        <v/>
      </c>
      <c r="CS55" s="239" t="str">
        <f t="shared" si="24"/>
        <v/>
      </c>
      <c r="CT55" s="239" t="str">
        <f t="shared" si="25"/>
        <v/>
      </c>
      <c r="CU55" s="240" t="str">
        <f t="shared" si="26"/>
        <v/>
      </c>
      <c r="CV55" s="240" t="str">
        <f t="shared" si="27"/>
        <v/>
      </c>
      <c r="CW55" s="239" t="str">
        <f t="shared" si="28"/>
        <v/>
      </c>
      <c r="CX55" s="239" t="str">
        <f t="shared" si="29"/>
        <v/>
      </c>
      <c r="CY55" s="239" t="str">
        <f t="shared" si="30"/>
        <v/>
      </c>
      <c r="CZ55" s="1368" t="str">
        <f t="shared" si="31"/>
        <v/>
      </c>
      <c r="DA55" s="144" t="str">
        <f t="shared" si="52"/>
        <v/>
      </c>
      <c r="DB55" s="81" t="str">
        <f t="shared" si="53"/>
        <v/>
      </c>
      <c r="DC55" s="81" t="str">
        <f t="shared" si="54"/>
        <v/>
      </c>
      <c r="DD55" s="81" t="str">
        <f t="shared" si="55"/>
        <v/>
      </c>
      <c r="DE55" s="145" t="str">
        <f t="shared" si="56"/>
        <v/>
      </c>
      <c r="DF55" s="145" t="str">
        <f t="shared" si="57"/>
        <v/>
      </c>
      <c r="DG55" s="81" t="str">
        <f t="shared" si="58"/>
        <v/>
      </c>
      <c r="DH55" s="81" t="str">
        <f t="shared" si="59"/>
        <v/>
      </c>
      <c r="DI55" s="81" t="str">
        <f t="shared" si="60"/>
        <v/>
      </c>
      <c r="DJ55" s="80" t="str">
        <f t="shared" si="61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0"/>
        <v/>
      </c>
      <c r="CP56" s="143">
        <f t="shared" si="21"/>
        <v>0</v>
      </c>
      <c r="CQ56" s="237" t="str">
        <f t="shared" si="22"/>
        <v/>
      </c>
      <c r="CR56" s="239" t="str">
        <f t="shared" si="23"/>
        <v/>
      </c>
      <c r="CS56" s="239" t="str">
        <f t="shared" si="24"/>
        <v/>
      </c>
      <c r="CT56" s="239" t="str">
        <f t="shared" si="25"/>
        <v/>
      </c>
      <c r="CU56" s="240" t="str">
        <f t="shared" si="26"/>
        <v/>
      </c>
      <c r="CV56" s="240" t="str">
        <f t="shared" si="27"/>
        <v/>
      </c>
      <c r="CW56" s="239" t="str">
        <f t="shared" si="28"/>
        <v/>
      </c>
      <c r="CX56" s="239" t="str">
        <f t="shared" si="29"/>
        <v/>
      </c>
      <c r="CY56" s="239" t="str">
        <f t="shared" si="30"/>
        <v/>
      </c>
      <c r="CZ56" s="1368" t="str">
        <f t="shared" si="31"/>
        <v/>
      </c>
      <c r="DA56" s="144" t="str">
        <f t="shared" si="52"/>
        <v/>
      </c>
      <c r="DB56" s="81" t="str">
        <f t="shared" si="53"/>
        <v/>
      </c>
      <c r="DC56" s="81" t="str">
        <f t="shared" si="54"/>
        <v/>
      </c>
      <c r="DD56" s="81" t="str">
        <f t="shared" si="55"/>
        <v/>
      </c>
      <c r="DE56" s="145" t="str">
        <f t="shared" si="56"/>
        <v/>
      </c>
      <c r="DF56" s="145" t="str">
        <f t="shared" si="57"/>
        <v/>
      </c>
      <c r="DG56" s="81" t="str">
        <f t="shared" si="58"/>
        <v/>
      </c>
      <c r="DH56" s="81" t="str">
        <f t="shared" si="59"/>
        <v/>
      </c>
      <c r="DI56" s="81" t="str">
        <f t="shared" si="60"/>
        <v/>
      </c>
      <c r="DJ56" s="80" t="str">
        <f t="shared" si="61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5">IF(C50="","",SUM(C50,C52,-C53,-C54,-C55,C56))</f>
        <v/>
      </c>
      <c r="D57" s="299" t="str">
        <f t="shared" si="65"/>
        <v/>
      </c>
      <c r="E57" s="299" t="str">
        <f t="shared" si="65"/>
        <v/>
      </c>
      <c r="F57" s="299" t="str">
        <f t="shared" si="65"/>
        <v/>
      </c>
      <c r="G57" s="299" t="str">
        <f t="shared" si="65"/>
        <v/>
      </c>
      <c r="H57" s="299" t="str">
        <f t="shared" si="65"/>
        <v/>
      </c>
      <c r="I57" s="299" t="str">
        <f t="shared" si="65"/>
        <v/>
      </c>
      <c r="J57" s="299" t="str">
        <f t="shared" si="65"/>
        <v/>
      </c>
      <c r="K57" s="299" t="str">
        <f t="shared" si="65"/>
        <v/>
      </c>
      <c r="L57" s="299" t="str">
        <f t="shared" si="65"/>
        <v/>
      </c>
      <c r="M57" s="299" t="str">
        <f t="shared" si="65"/>
        <v/>
      </c>
      <c r="N57" s="299" t="str">
        <f t="shared" si="65"/>
        <v/>
      </c>
      <c r="O57" s="299" t="str">
        <f t="shared" si="65"/>
        <v/>
      </c>
      <c r="P57" s="299" t="str">
        <f t="shared" si="65"/>
        <v/>
      </c>
      <c r="Q57" s="299" t="str">
        <f t="shared" si="65"/>
        <v/>
      </c>
      <c r="R57" s="299" t="str">
        <f t="shared" si="65"/>
        <v/>
      </c>
      <c r="S57" s="299" t="str">
        <f t="shared" si="65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6">IF(BB50="","",SUM(BB50,BB52,-BB53,-BB54,-BB55,BB56))</f>
        <v/>
      </c>
      <c r="BC57" s="299" t="str">
        <f t="shared" si="66"/>
        <v/>
      </c>
      <c r="BD57" s="299" t="str">
        <f t="shared" si="66"/>
        <v/>
      </c>
      <c r="BE57" s="299" t="str">
        <f t="shared" si="66"/>
        <v/>
      </c>
      <c r="BF57" s="299" t="str">
        <f t="shared" si="66"/>
        <v/>
      </c>
      <c r="BG57" s="299" t="str">
        <f t="shared" si="66"/>
        <v/>
      </c>
      <c r="BH57" s="299" t="str">
        <f t="shared" si="66"/>
        <v/>
      </c>
      <c r="BI57" s="299" t="str">
        <f t="shared" si="66"/>
        <v/>
      </c>
      <c r="BJ57" s="299" t="str">
        <f t="shared" si="66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0"/>
        <v/>
      </c>
      <c r="CP57" s="143">
        <f t="shared" si="21"/>
        <v>0</v>
      </c>
      <c r="CQ57" s="237" t="str">
        <f t="shared" si="22"/>
        <v/>
      </c>
      <c r="CR57" s="239" t="str">
        <f t="shared" si="23"/>
        <v/>
      </c>
      <c r="CS57" s="239" t="str">
        <f t="shared" si="24"/>
        <v/>
      </c>
      <c r="CT57" s="239" t="str">
        <f t="shared" si="25"/>
        <v/>
      </c>
      <c r="CU57" s="240" t="str">
        <f t="shared" si="26"/>
        <v/>
      </c>
      <c r="CV57" s="240" t="str">
        <f t="shared" si="27"/>
        <v/>
      </c>
      <c r="CW57" s="239" t="str">
        <f t="shared" si="28"/>
        <v/>
      </c>
      <c r="CX57" s="239" t="str">
        <f t="shared" si="29"/>
        <v/>
      </c>
      <c r="CY57" s="239" t="str">
        <f t="shared" si="30"/>
        <v/>
      </c>
      <c r="CZ57" s="1368" t="str">
        <f t="shared" si="31"/>
        <v/>
      </c>
      <c r="DA57" s="144" t="str">
        <f t="shared" si="52"/>
        <v/>
      </c>
      <c r="DB57" s="81" t="str">
        <f t="shared" si="53"/>
        <v/>
      </c>
      <c r="DC57" s="81" t="str">
        <f t="shared" si="54"/>
        <v/>
      </c>
      <c r="DD57" s="81" t="str">
        <f t="shared" si="55"/>
        <v/>
      </c>
      <c r="DE57" s="145" t="str">
        <f t="shared" si="56"/>
        <v/>
      </c>
      <c r="DF57" s="145" t="str">
        <f t="shared" si="57"/>
        <v/>
      </c>
      <c r="DG57" s="81" t="str">
        <f t="shared" si="58"/>
        <v/>
      </c>
      <c r="DH57" s="81" t="str">
        <f t="shared" si="59"/>
        <v/>
      </c>
      <c r="DI57" s="81" t="str">
        <f t="shared" si="60"/>
        <v/>
      </c>
      <c r="DJ57" s="80" t="str">
        <f t="shared" si="61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0"/>
        <v/>
      </c>
      <c r="CP58" s="143">
        <f t="shared" si="21"/>
        <v>0</v>
      </c>
      <c r="CQ58" s="237" t="str">
        <f t="shared" si="22"/>
        <v/>
      </c>
      <c r="CR58" s="239" t="str">
        <f t="shared" si="23"/>
        <v/>
      </c>
      <c r="CS58" s="239" t="str">
        <f t="shared" si="24"/>
        <v/>
      </c>
      <c r="CT58" s="239" t="str">
        <f t="shared" si="25"/>
        <v/>
      </c>
      <c r="CU58" s="240" t="str">
        <f t="shared" si="26"/>
        <v/>
      </c>
      <c r="CV58" s="240" t="str">
        <f t="shared" si="27"/>
        <v/>
      </c>
      <c r="CW58" s="239" t="str">
        <f t="shared" si="28"/>
        <v/>
      </c>
      <c r="CX58" s="239" t="str">
        <f t="shared" si="29"/>
        <v/>
      </c>
      <c r="CY58" s="239" t="str">
        <f t="shared" si="30"/>
        <v/>
      </c>
      <c r="CZ58" s="1368" t="str">
        <f t="shared" si="31"/>
        <v/>
      </c>
      <c r="DA58" s="144" t="str">
        <f t="shared" si="52"/>
        <v/>
      </c>
      <c r="DB58" s="81" t="str">
        <f t="shared" si="53"/>
        <v/>
      </c>
      <c r="DC58" s="81" t="str">
        <f t="shared" si="54"/>
        <v/>
      </c>
      <c r="DD58" s="81" t="str">
        <f t="shared" si="55"/>
        <v/>
      </c>
      <c r="DE58" s="145" t="str">
        <f t="shared" si="56"/>
        <v/>
      </c>
      <c r="DF58" s="145" t="str">
        <f t="shared" si="57"/>
        <v/>
      </c>
      <c r="DG58" s="81" t="str">
        <f t="shared" si="58"/>
        <v/>
      </c>
      <c r="DH58" s="81" t="str">
        <f t="shared" si="59"/>
        <v/>
      </c>
      <c r="DI58" s="81" t="str">
        <f t="shared" si="60"/>
        <v/>
      </c>
      <c r="DJ58" s="80" t="str">
        <f t="shared" si="61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0"/>
        <v/>
      </c>
      <c r="CP59" s="143">
        <f t="shared" si="21"/>
        <v>0</v>
      </c>
      <c r="CQ59" s="237" t="str">
        <f t="shared" si="22"/>
        <v/>
      </c>
      <c r="CR59" s="239" t="str">
        <f t="shared" si="23"/>
        <v/>
      </c>
      <c r="CS59" s="239" t="str">
        <f t="shared" si="24"/>
        <v/>
      </c>
      <c r="CT59" s="239" t="str">
        <f t="shared" si="25"/>
        <v/>
      </c>
      <c r="CU59" s="240" t="str">
        <f t="shared" si="26"/>
        <v/>
      </c>
      <c r="CV59" s="240" t="str">
        <f t="shared" si="27"/>
        <v/>
      </c>
      <c r="CW59" s="239" t="str">
        <f t="shared" si="28"/>
        <v/>
      </c>
      <c r="CX59" s="239" t="str">
        <f t="shared" si="29"/>
        <v/>
      </c>
      <c r="CY59" s="239" t="str">
        <f t="shared" si="30"/>
        <v/>
      </c>
      <c r="CZ59" s="1368" t="str">
        <f t="shared" si="31"/>
        <v/>
      </c>
      <c r="DA59" s="144" t="str">
        <f t="shared" si="52"/>
        <v/>
      </c>
      <c r="DB59" s="81" t="str">
        <f t="shared" si="53"/>
        <v/>
      </c>
      <c r="DC59" s="81" t="str">
        <f t="shared" si="54"/>
        <v/>
      </c>
      <c r="DD59" s="81" t="str">
        <f t="shared" si="55"/>
        <v/>
      </c>
      <c r="DE59" s="145" t="str">
        <f t="shared" si="56"/>
        <v/>
      </c>
      <c r="DF59" s="145" t="str">
        <f t="shared" si="57"/>
        <v/>
      </c>
      <c r="DG59" s="81" t="str">
        <f t="shared" si="58"/>
        <v/>
      </c>
      <c r="DH59" s="81" t="str">
        <f t="shared" si="59"/>
        <v/>
      </c>
      <c r="DI59" s="81" t="str">
        <f t="shared" si="60"/>
        <v/>
      </c>
      <c r="DJ59" s="80" t="str">
        <f t="shared" si="61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0"/>
        <v/>
      </c>
      <c r="CP60" s="143">
        <f t="shared" si="21"/>
        <v>0</v>
      </c>
      <c r="CQ60" s="237" t="str">
        <f t="shared" si="22"/>
        <v/>
      </c>
      <c r="CR60" s="239" t="str">
        <f t="shared" si="23"/>
        <v/>
      </c>
      <c r="CS60" s="239" t="str">
        <f t="shared" si="24"/>
        <v/>
      </c>
      <c r="CT60" s="239" t="str">
        <f t="shared" si="25"/>
        <v/>
      </c>
      <c r="CU60" s="240" t="str">
        <f t="shared" si="26"/>
        <v/>
      </c>
      <c r="CV60" s="240" t="str">
        <f t="shared" si="27"/>
        <v/>
      </c>
      <c r="CW60" s="239" t="str">
        <f t="shared" si="28"/>
        <v/>
      </c>
      <c r="CX60" s="239" t="str">
        <f t="shared" si="29"/>
        <v/>
      </c>
      <c r="CY60" s="239" t="str">
        <f t="shared" si="30"/>
        <v/>
      </c>
      <c r="CZ60" s="1368" t="str">
        <f t="shared" si="31"/>
        <v/>
      </c>
      <c r="DA60" s="144" t="str">
        <f t="shared" si="52"/>
        <v/>
      </c>
      <c r="DB60" s="81" t="str">
        <f t="shared" si="53"/>
        <v/>
      </c>
      <c r="DC60" s="81" t="str">
        <f t="shared" si="54"/>
        <v/>
      </c>
      <c r="DD60" s="81" t="str">
        <f t="shared" si="55"/>
        <v/>
      </c>
      <c r="DE60" s="145" t="str">
        <f t="shared" si="56"/>
        <v/>
      </c>
      <c r="DF60" s="145" t="str">
        <f t="shared" si="57"/>
        <v/>
      </c>
      <c r="DG60" s="81" t="str">
        <f t="shared" si="58"/>
        <v/>
      </c>
      <c r="DH60" s="81" t="str">
        <f t="shared" si="59"/>
        <v/>
      </c>
      <c r="DI60" s="81" t="str">
        <f t="shared" si="60"/>
        <v/>
      </c>
      <c r="DJ60" s="80" t="str">
        <f t="shared" si="61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0"/>
        <v/>
      </c>
      <c r="CP61" s="143">
        <f t="shared" si="21"/>
        <v>0</v>
      </c>
      <c r="CQ61" s="237" t="str">
        <f t="shared" si="22"/>
        <v/>
      </c>
      <c r="CR61" s="239" t="str">
        <f t="shared" si="23"/>
        <v/>
      </c>
      <c r="CS61" s="239" t="str">
        <f t="shared" si="24"/>
        <v/>
      </c>
      <c r="CT61" s="239" t="str">
        <f t="shared" si="25"/>
        <v/>
      </c>
      <c r="CU61" s="240" t="str">
        <f t="shared" si="26"/>
        <v/>
      </c>
      <c r="CV61" s="240" t="str">
        <f t="shared" si="27"/>
        <v/>
      </c>
      <c r="CW61" s="239" t="str">
        <f t="shared" si="28"/>
        <v/>
      </c>
      <c r="CX61" s="239" t="str">
        <f t="shared" si="29"/>
        <v/>
      </c>
      <c r="CY61" s="239" t="str">
        <f t="shared" si="30"/>
        <v/>
      </c>
      <c r="CZ61" s="1368" t="str">
        <f t="shared" si="31"/>
        <v/>
      </c>
      <c r="DA61" s="144" t="str">
        <f t="shared" si="52"/>
        <v/>
      </c>
      <c r="DB61" s="81" t="str">
        <f t="shared" si="53"/>
        <v/>
      </c>
      <c r="DC61" s="81" t="str">
        <f t="shared" si="54"/>
        <v/>
      </c>
      <c r="DD61" s="81" t="str">
        <f t="shared" si="55"/>
        <v/>
      </c>
      <c r="DE61" s="145" t="str">
        <f t="shared" si="56"/>
        <v/>
      </c>
      <c r="DF61" s="145" t="str">
        <f t="shared" si="57"/>
        <v/>
      </c>
      <c r="DG61" s="81" t="str">
        <f t="shared" si="58"/>
        <v/>
      </c>
      <c r="DH61" s="81" t="str">
        <f t="shared" si="59"/>
        <v/>
      </c>
      <c r="DI61" s="81" t="str">
        <f t="shared" si="60"/>
        <v/>
      </c>
      <c r="DJ61" s="80" t="str">
        <f t="shared" si="61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0"/>
        <v/>
      </c>
      <c r="CP62" s="143">
        <f t="shared" si="21"/>
        <v>0</v>
      </c>
      <c r="CQ62" s="237" t="str">
        <f t="shared" si="22"/>
        <v/>
      </c>
      <c r="CR62" s="239" t="str">
        <f t="shared" si="23"/>
        <v/>
      </c>
      <c r="CS62" s="239" t="str">
        <f t="shared" si="24"/>
        <v/>
      </c>
      <c r="CT62" s="239" t="str">
        <f t="shared" si="25"/>
        <v/>
      </c>
      <c r="CU62" s="240" t="str">
        <f t="shared" si="26"/>
        <v/>
      </c>
      <c r="CV62" s="240" t="str">
        <f t="shared" si="27"/>
        <v/>
      </c>
      <c r="CW62" s="239" t="str">
        <f t="shared" si="28"/>
        <v/>
      </c>
      <c r="CX62" s="239" t="str">
        <f t="shared" si="29"/>
        <v/>
      </c>
      <c r="CY62" s="239" t="str">
        <f t="shared" si="30"/>
        <v/>
      </c>
      <c r="CZ62" s="1368" t="str">
        <f t="shared" si="31"/>
        <v/>
      </c>
      <c r="DA62" s="144" t="str">
        <f t="shared" si="52"/>
        <v/>
      </c>
      <c r="DB62" s="81" t="str">
        <f t="shared" si="53"/>
        <v/>
      </c>
      <c r="DC62" s="81" t="str">
        <f t="shared" si="54"/>
        <v/>
      </c>
      <c r="DD62" s="81" t="str">
        <f t="shared" si="55"/>
        <v/>
      </c>
      <c r="DE62" s="145" t="str">
        <f t="shared" si="56"/>
        <v/>
      </c>
      <c r="DF62" s="145" t="str">
        <f t="shared" si="57"/>
        <v/>
      </c>
      <c r="DG62" s="81" t="str">
        <f t="shared" si="58"/>
        <v/>
      </c>
      <c r="DH62" s="81" t="str">
        <f t="shared" si="59"/>
        <v/>
      </c>
      <c r="DI62" s="81" t="str">
        <f t="shared" si="60"/>
        <v/>
      </c>
      <c r="DJ62" s="80" t="str">
        <f t="shared" si="61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0"/>
        <v/>
      </c>
      <c r="CP63" s="143">
        <f t="shared" si="21"/>
        <v>0</v>
      </c>
      <c r="CQ63" s="237" t="str">
        <f t="shared" si="22"/>
        <v/>
      </c>
      <c r="CR63" s="239" t="str">
        <f t="shared" si="23"/>
        <v/>
      </c>
      <c r="CS63" s="239" t="str">
        <f t="shared" si="24"/>
        <v/>
      </c>
      <c r="CT63" s="239" t="str">
        <f t="shared" si="25"/>
        <v/>
      </c>
      <c r="CU63" s="240" t="str">
        <f t="shared" si="26"/>
        <v/>
      </c>
      <c r="CV63" s="240" t="str">
        <f t="shared" si="27"/>
        <v/>
      </c>
      <c r="CW63" s="239" t="str">
        <f t="shared" si="28"/>
        <v/>
      </c>
      <c r="CX63" s="239" t="str">
        <f t="shared" si="29"/>
        <v/>
      </c>
      <c r="CY63" s="239" t="str">
        <f t="shared" si="30"/>
        <v/>
      </c>
      <c r="CZ63" s="1368" t="str">
        <f t="shared" si="31"/>
        <v/>
      </c>
      <c r="DA63" s="144" t="str">
        <f t="shared" si="52"/>
        <v/>
      </c>
      <c r="DB63" s="81" t="str">
        <f t="shared" si="53"/>
        <v/>
      </c>
      <c r="DC63" s="81" t="str">
        <f t="shared" si="54"/>
        <v/>
      </c>
      <c r="DD63" s="81" t="str">
        <f t="shared" si="55"/>
        <v/>
      </c>
      <c r="DE63" s="145" t="str">
        <f t="shared" si="56"/>
        <v/>
      </c>
      <c r="DF63" s="145" t="str">
        <f t="shared" si="57"/>
        <v/>
      </c>
      <c r="DG63" s="81" t="str">
        <f t="shared" si="58"/>
        <v/>
      </c>
      <c r="DH63" s="81" t="str">
        <f t="shared" si="59"/>
        <v/>
      </c>
      <c r="DI63" s="81" t="str">
        <f t="shared" si="60"/>
        <v/>
      </c>
      <c r="DJ63" s="80" t="str">
        <f t="shared" si="61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0"/>
        <v/>
      </c>
      <c r="CP64" s="143">
        <f t="shared" si="21"/>
        <v>0</v>
      </c>
      <c r="CQ64" s="237" t="str">
        <f t="shared" si="22"/>
        <v/>
      </c>
      <c r="CR64" s="239" t="str">
        <f t="shared" si="23"/>
        <v/>
      </c>
      <c r="CS64" s="239" t="str">
        <f t="shared" si="24"/>
        <v/>
      </c>
      <c r="CT64" s="239" t="str">
        <f t="shared" si="25"/>
        <v/>
      </c>
      <c r="CU64" s="240" t="str">
        <f t="shared" si="26"/>
        <v/>
      </c>
      <c r="CV64" s="240" t="str">
        <f t="shared" si="27"/>
        <v/>
      </c>
      <c r="CW64" s="239" t="str">
        <f t="shared" si="28"/>
        <v/>
      </c>
      <c r="CX64" s="239" t="str">
        <f t="shared" si="29"/>
        <v/>
      </c>
      <c r="CY64" s="239" t="str">
        <f t="shared" si="30"/>
        <v/>
      </c>
      <c r="CZ64" s="1368" t="str">
        <f t="shared" si="31"/>
        <v/>
      </c>
      <c r="DA64" s="144" t="str">
        <f t="shared" si="52"/>
        <v/>
      </c>
      <c r="DB64" s="81" t="str">
        <f t="shared" si="53"/>
        <v/>
      </c>
      <c r="DC64" s="81" t="str">
        <f t="shared" si="54"/>
        <v/>
      </c>
      <c r="DD64" s="81" t="str">
        <f t="shared" si="55"/>
        <v/>
      </c>
      <c r="DE64" s="145" t="str">
        <f t="shared" si="56"/>
        <v/>
      </c>
      <c r="DF64" s="145" t="str">
        <f t="shared" si="57"/>
        <v/>
      </c>
      <c r="DG64" s="81" t="str">
        <f t="shared" si="58"/>
        <v/>
      </c>
      <c r="DH64" s="81" t="str">
        <f t="shared" si="59"/>
        <v/>
      </c>
      <c r="DI64" s="81" t="str">
        <f t="shared" si="60"/>
        <v/>
      </c>
      <c r="DJ64" s="80" t="str">
        <f t="shared" si="61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67">IF(D58="","",SUM(D58,D60,-D61,-D62,-D63,D64))</f>
        <v/>
      </c>
      <c r="E65" s="299" t="str">
        <f t="shared" si="67"/>
        <v/>
      </c>
      <c r="F65" s="299" t="str">
        <f t="shared" si="67"/>
        <v/>
      </c>
      <c r="G65" s="299" t="str">
        <f t="shared" si="67"/>
        <v/>
      </c>
      <c r="H65" s="299" t="str">
        <f t="shared" si="67"/>
        <v/>
      </c>
      <c r="I65" s="299" t="str">
        <f t="shared" si="67"/>
        <v/>
      </c>
      <c r="J65" s="299" t="str">
        <f t="shared" si="67"/>
        <v/>
      </c>
      <c r="K65" s="299" t="str">
        <f t="shared" si="67"/>
        <v/>
      </c>
      <c r="L65" s="299" t="str">
        <f t="shared" si="67"/>
        <v/>
      </c>
      <c r="M65" s="299" t="str">
        <f t="shared" si="67"/>
        <v/>
      </c>
      <c r="N65" s="299" t="str">
        <f t="shared" si="67"/>
        <v/>
      </c>
      <c r="O65" s="299" t="str">
        <f t="shared" si="67"/>
        <v/>
      </c>
      <c r="P65" s="299" t="str">
        <f t="shared" si="67"/>
        <v/>
      </c>
      <c r="Q65" s="299" t="str">
        <f t="shared" si="67"/>
        <v/>
      </c>
      <c r="R65" s="299" t="str">
        <f t="shared" si="67"/>
        <v/>
      </c>
      <c r="S65" s="299" t="str">
        <f t="shared" si="67"/>
        <v/>
      </c>
      <c r="T65" s="299" t="str">
        <f t="shared" si="67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>IF(BY58="","",SUM(BY58,BY60,-BY61,-BY62,-BY63,BY64))</f>
        <v/>
      </c>
      <c r="BZ65" s="299" t="str">
        <f>IF(BZ58="","",SUM(BZ58,BZ60,-BZ61,-BZ62,-BZ63,BZ64))</f>
        <v/>
      </c>
      <c r="CA65" s="299" t="str">
        <f>IF(CA58="","",SUM(CA58,CA60,-CA61,-CA62,-CA63,CA64))</f>
        <v/>
      </c>
      <c r="CB65" s="299" t="str">
        <f>IF(CB58="","",SUM(CB58,CB60,-CB61,-CB62,-CB63,CB64))</f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0"/>
        <v/>
      </c>
      <c r="CP65" s="143">
        <f t="shared" si="21"/>
        <v>1</v>
      </c>
      <c r="CQ65" s="237" t="str">
        <f t="shared" si="22"/>
        <v/>
      </c>
      <c r="CR65" s="239" t="str">
        <f t="shared" si="23"/>
        <v/>
      </c>
      <c r="CS65" s="239" t="str">
        <f t="shared" si="24"/>
        <v/>
      </c>
      <c r="CT65" s="239" t="str">
        <f t="shared" si="25"/>
        <v/>
      </c>
      <c r="CU65" s="240">
        <f t="shared" si="26"/>
        <v>0</v>
      </c>
      <c r="CV65" s="240" t="str">
        <f t="shared" si="27"/>
        <v/>
      </c>
      <c r="CW65" s="239" t="str">
        <f t="shared" si="28"/>
        <v/>
      </c>
      <c r="CX65" s="239" t="str">
        <f t="shared" si="29"/>
        <v/>
      </c>
      <c r="CY65" s="239" t="str">
        <f t="shared" si="30"/>
        <v/>
      </c>
      <c r="CZ65" s="1368" t="str">
        <f t="shared" si="31"/>
        <v/>
      </c>
      <c r="DA65" s="144" t="str">
        <f t="shared" si="52"/>
        <v/>
      </c>
      <c r="DB65" s="81" t="str">
        <f t="shared" si="53"/>
        <v/>
      </c>
      <c r="DC65" s="81" t="str">
        <f t="shared" si="54"/>
        <v/>
      </c>
      <c r="DD65" s="81" t="str">
        <f t="shared" si="55"/>
        <v/>
      </c>
      <c r="DE65" s="145" t="str">
        <f t="shared" si="56"/>
        <v/>
      </c>
      <c r="DF65" s="145" t="str">
        <f t="shared" si="57"/>
        <v/>
      </c>
      <c r="DG65" s="81" t="str">
        <f t="shared" si="58"/>
        <v/>
      </c>
      <c r="DH65" s="81" t="str">
        <f t="shared" si="59"/>
        <v/>
      </c>
      <c r="DI65" s="81" t="str">
        <f t="shared" si="60"/>
        <v/>
      </c>
      <c r="DJ65" s="80" t="str">
        <f t="shared" si="61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0"/>
        <v/>
      </c>
      <c r="CP66" s="143">
        <f t="shared" si="21"/>
        <v>0</v>
      </c>
      <c r="CQ66" s="144" t="str">
        <f t="shared" si="22"/>
        <v/>
      </c>
      <c r="CR66" s="81" t="str">
        <f t="shared" si="23"/>
        <v/>
      </c>
      <c r="CS66" s="81" t="str">
        <f t="shared" si="24"/>
        <v/>
      </c>
      <c r="CT66" s="81" t="str">
        <f t="shared" si="25"/>
        <v/>
      </c>
      <c r="CU66" s="145" t="str">
        <f t="shared" si="26"/>
        <v/>
      </c>
      <c r="CV66" s="145" t="str">
        <f t="shared" si="27"/>
        <v/>
      </c>
      <c r="CW66" s="81" t="str">
        <f t="shared" si="28"/>
        <v/>
      </c>
      <c r="CX66" s="81" t="str">
        <f t="shared" si="29"/>
        <v/>
      </c>
      <c r="CY66" s="81" t="str">
        <f t="shared" si="30"/>
        <v/>
      </c>
      <c r="CZ66" s="1367" t="str">
        <f t="shared" si="31"/>
        <v/>
      </c>
      <c r="DA66" s="144" t="str">
        <f t="shared" si="52"/>
        <v/>
      </c>
      <c r="DB66" s="81" t="str">
        <f t="shared" si="53"/>
        <v/>
      </c>
      <c r="DC66" s="81" t="str">
        <f t="shared" si="54"/>
        <v/>
      </c>
      <c r="DD66" s="81" t="str">
        <f t="shared" si="55"/>
        <v/>
      </c>
      <c r="DE66" s="145" t="str">
        <f t="shared" si="56"/>
        <v/>
      </c>
      <c r="DF66" s="145" t="str">
        <f t="shared" si="57"/>
        <v/>
      </c>
      <c r="DG66" s="81" t="str">
        <f t="shared" si="58"/>
        <v/>
      </c>
      <c r="DH66" s="81" t="str">
        <f t="shared" si="59"/>
        <v/>
      </c>
      <c r="DI66" s="81" t="str">
        <f t="shared" si="60"/>
        <v/>
      </c>
      <c r="DJ66" s="80" t="str">
        <f t="shared" si="61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Temp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0"/>
        <v/>
      </c>
      <c r="CP67" s="143">
        <f t="shared" si="21"/>
        <v>0</v>
      </c>
      <c r="CQ67" s="144" t="str">
        <f t="shared" si="22"/>
        <v/>
      </c>
      <c r="CR67" s="81" t="str">
        <f t="shared" si="23"/>
        <v/>
      </c>
      <c r="CS67" s="81" t="str">
        <f t="shared" si="24"/>
        <v/>
      </c>
      <c r="CT67" s="81" t="str">
        <f t="shared" si="25"/>
        <v/>
      </c>
      <c r="CU67" s="145" t="str">
        <f t="shared" si="26"/>
        <v/>
      </c>
      <c r="CV67" s="145" t="str">
        <f t="shared" si="27"/>
        <v/>
      </c>
      <c r="CW67" s="81" t="str">
        <f t="shared" si="28"/>
        <v/>
      </c>
      <c r="CX67" s="81" t="str">
        <f t="shared" si="29"/>
        <v/>
      </c>
      <c r="CY67" s="81" t="str">
        <f t="shared" si="30"/>
        <v/>
      </c>
      <c r="CZ67" s="1367" t="str">
        <f t="shared" si="31"/>
        <v/>
      </c>
      <c r="DA67" s="144" t="str">
        <f t="shared" ref="DA67:DJ67" si="68">IF(OR(-FLOOR(((17-COUNT($AK67:$BA67))/2),1)+DA$5&lt;1,-FLOOR(((17-COUNT($AK67:$BA67))/2),1)+DA$5&gt;COUNT($AK67:$BA67)),"",LARGE($AK67:$BA67,-FLOOR(((17-COUNT($AK67:$BA67))/2),1)+DA$5))</f>
        <v/>
      </c>
      <c r="DB67" s="81" t="str">
        <f t="shared" si="68"/>
        <v/>
      </c>
      <c r="DC67" s="81" t="str">
        <f t="shared" si="68"/>
        <v/>
      </c>
      <c r="DD67" s="81" t="str">
        <f t="shared" si="68"/>
        <v/>
      </c>
      <c r="DE67" s="145" t="str">
        <f t="shared" si="68"/>
        <v/>
      </c>
      <c r="DF67" s="145" t="str">
        <f t="shared" si="68"/>
        <v/>
      </c>
      <c r="DG67" s="81" t="str">
        <f t="shared" si="68"/>
        <v/>
      </c>
      <c r="DH67" s="81" t="str">
        <f t="shared" si="68"/>
        <v/>
      </c>
      <c r="DI67" s="81" t="str">
        <f t="shared" si="68"/>
        <v/>
      </c>
      <c r="DJ67" s="80" t="str">
        <f t="shared" si="68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Ftime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0"/>
        <v/>
      </c>
      <c r="CP68" s="143">
        <f t="shared" si="21"/>
        <v>0</v>
      </c>
      <c r="CQ68" s="144" t="str">
        <f t="shared" si="22"/>
        <v/>
      </c>
      <c r="CR68" s="81" t="str">
        <f t="shared" si="23"/>
        <v/>
      </c>
      <c r="CS68" s="81" t="str">
        <f t="shared" si="24"/>
        <v/>
      </c>
      <c r="CT68" s="81" t="str">
        <f t="shared" si="25"/>
        <v/>
      </c>
      <c r="CU68" s="145" t="str">
        <f t="shared" si="26"/>
        <v/>
      </c>
      <c r="CV68" s="145" t="str">
        <f t="shared" si="27"/>
        <v/>
      </c>
      <c r="CW68" s="81" t="str">
        <f t="shared" si="28"/>
        <v/>
      </c>
      <c r="CX68" s="81" t="str">
        <f t="shared" si="29"/>
        <v/>
      </c>
      <c r="CY68" s="81" t="str">
        <f t="shared" si="30"/>
        <v/>
      </c>
      <c r="CZ68" s="1367" t="str">
        <f t="shared" si="31"/>
        <v/>
      </c>
      <c r="DA68" s="144" t="str">
        <f t="shared" ref="DA68:DJ68" si="69">IF(OR(-FLOOR(((17-COUNT($BB68:$BR68))/2),1)+DA$5&lt;1,-FLOOR(((17-COUNT($BB68:$BR68))/2),1)+DA$5&gt;COUNT($BB68:$BR68)),"",LARGE($BB68:$BR68,-FLOOR(((17-COUNT($BB68:$BR68))/2),1)+DA$5))</f>
        <v/>
      </c>
      <c r="DB68" s="81" t="str">
        <f t="shared" si="69"/>
        <v/>
      </c>
      <c r="DC68" s="81" t="str">
        <f t="shared" si="69"/>
        <v/>
      </c>
      <c r="DD68" s="81" t="str">
        <f t="shared" si="69"/>
        <v/>
      </c>
      <c r="DE68" s="145" t="str">
        <f t="shared" si="69"/>
        <v/>
      </c>
      <c r="DF68" s="145" t="str">
        <f t="shared" si="69"/>
        <v/>
      </c>
      <c r="DG68" s="81" t="str">
        <f t="shared" si="69"/>
        <v/>
      </c>
      <c r="DH68" s="81" t="str">
        <f t="shared" si="69"/>
        <v/>
      </c>
      <c r="DI68" s="81" t="str">
        <f t="shared" si="69"/>
        <v/>
      </c>
      <c r="DJ68" s="80" t="str">
        <f t="shared" si="69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0"/>
        <v/>
      </c>
      <c r="CP69" s="143">
        <f t="shared" si="21"/>
        <v>0</v>
      </c>
      <c r="CQ69" s="144" t="str">
        <f t="shared" si="22"/>
        <v/>
      </c>
      <c r="CR69" s="81" t="str">
        <f t="shared" si="23"/>
        <v/>
      </c>
      <c r="CS69" s="81" t="str">
        <f t="shared" si="24"/>
        <v/>
      </c>
      <c r="CT69" s="81" t="str">
        <f t="shared" si="25"/>
        <v/>
      </c>
      <c r="CU69" s="145" t="str">
        <f t="shared" si="26"/>
        <v/>
      </c>
      <c r="CV69" s="145" t="str">
        <f t="shared" si="27"/>
        <v/>
      </c>
      <c r="CW69" s="81" t="str">
        <f t="shared" si="28"/>
        <v/>
      </c>
      <c r="CX69" s="81" t="str">
        <f t="shared" si="29"/>
        <v/>
      </c>
      <c r="CY69" s="81" t="str">
        <f t="shared" si="30"/>
        <v/>
      </c>
      <c r="CZ69" s="1367" t="str">
        <f t="shared" si="31"/>
        <v/>
      </c>
      <c r="DA69" s="144" t="str">
        <f t="shared" ref="DA69:DJ69" si="70">IF(OR(-FLOOR(((17-COUNT($BS69:$CI69))/2),1)+DA$5&lt;1,-FLOOR(((17-COUNT($BS69:$CI69))/2),1)+DA$5&gt;COUNT($BS69:$CI69)),"",LARGE($BS69:$CI69,-FLOOR(((17-COUNT($BS69:$CI69))/2),1)+DA$5))</f>
        <v/>
      </c>
      <c r="DB69" s="81" t="str">
        <f t="shared" si="70"/>
        <v/>
      </c>
      <c r="DC69" s="81" t="str">
        <f t="shared" si="70"/>
        <v/>
      </c>
      <c r="DD69" s="81" t="str">
        <f t="shared" si="70"/>
        <v/>
      </c>
      <c r="DE69" s="145" t="str">
        <f t="shared" si="70"/>
        <v/>
      </c>
      <c r="DF69" s="145" t="str">
        <f t="shared" si="70"/>
        <v/>
      </c>
      <c r="DG69" s="81" t="str">
        <f t="shared" si="70"/>
        <v/>
      </c>
      <c r="DH69" s="81" t="str">
        <f t="shared" si="70"/>
        <v/>
      </c>
      <c r="DI69" s="81" t="str">
        <f t="shared" si="70"/>
        <v/>
      </c>
      <c r="DJ69" s="80" t="str">
        <f t="shared" si="70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1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0"/>
        <v/>
      </c>
      <c r="CP70" s="143">
        <f t="shared" si="21"/>
        <v>0</v>
      </c>
      <c r="CQ70" s="144" t="str">
        <f t="shared" si="22"/>
        <v/>
      </c>
      <c r="CR70" s="81" t="str">
        <f t="shared" si="23"/>
        <v/>
      </c>
      <c r="CS70" s="81" t="str">
        <f t="shared" si="24"/>
        <v/>
      </c>
      <c r="CT70" s="81" t="str">
        <f t="shared" si="25"/>
        <v/>
      </c>
      <c r="CU70" s="145" t="str">
        <f t="shared" si="26"/>
        <v/>
      </c>
      <c r="CV70" s="145" t="str">
        <f t="shared" si="27"/>
        <v/>
      </c>
      <c r="CW70" s="81" t="str">
        <f t="shared" si="28"/>
        <v/>
      </c>
      <c r="CX70" s="81" t="str">
        <f t="shared" si="29"/>
        <v/>
      </c>
      <c r="CY70" s="81" t="str">
        <f t="shared" si="30"/>
        <v/>
      </c>
      <c r="CZ70" s="1367" t="str">
        <f t="shared" si="31"/>
        <v/>
      </c>
      <c r="DA70" s="144" t="str">
        <f t="shared" ref="DA70:DA77" si="72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3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4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5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76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77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78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79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0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1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1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0"/>
        <v/>
      </c>
      <c r="CP71" s="143">
        <f t="shared" si="21"/>
        <v>0</v>
      </c>
      <c r="CQ71" s="144" t="str">
        <f t="shared" si="22"/>
        <v/>
      </c>
      <c r="CR71" s="81" t="str">
        <f t="shared" si="23"/>
        <v/>
      </c>
      <c r="CS71" s="81" t="str">
        <f t="shared" si="24"/>
        <v/>
      </c>
      <c r="CT71" s="81" t="str">
        <f t="shared" si="25"/>
        <v/>
      </c>
      <c r="CU71" s="145" t="str">
        <f t="shared" si="26"/>
        <v/>
      </c>
      <c r="CV71" s="145" t="str">
        <f t="shared" si="27"/>
        <v/>
      </c>
      <c r="CW71" s="81" t="str">
        <f t="shared" si="28"/>
        <v/>
      </c>
      <c r="CX71" s="81" t="str">
        <f t="shared" si="29"/>
        <v/>
      </c>
      <c r="CY71" s="81" t="str">
        <f t="shared" si="30"/>
        <v/>
      </c>
      <c r="CZ71" s="1367" t="str">
        <f t="shared" si="31"/>
        <v/>
      </c>
      <c r="DA71" s="144" t="str">
        <f t="shared" si="72"/>
        <v/>
      </c>
      <c r="DB71" s="81" t="str">
        <f t="shared" si="73"/>
        <v/>
      </c>
      <c r="DC71" s="81" t="str">
        <f t="shared" si="74"/>
        <v/>
      </c>
      <c r="DD71" s="81" t="str">
        <f t="shared" si="75"/>
        <v/>
      </c>
      <c r="DE71" s="145" t="str">
        <f t="shared" si="76"/>
        <v/>
      </c>
      <c r="DF71" s="145" t="str">
        <f t="shared" si="77"/>
        <v/>
      </c>
      <c r="DG71" s="81" t="str">
        <f t="shared" si="78"/>
        <v/>
      </c>
      <c r="DH71" s="81" t="str">
        <f t="shared" si="79"/>
        <v/>
      </c>
      <c r="DI71" s="81" t="str">
        <f t="shared" si="80"/>
        <v/>
      </c>
      <c r="DJ71" s="80" t="str">
        <f t="shared" si="81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1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0"/>
        <v/>
      </c>
      <c r="CP72" s="143">
        <f t="shared" si="21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2"/>
        <v/>
      </c>
      <c r="DB72" s="81" t="str">
        <f t="shared" si="73"/>
        <v/>
      </c>
      <c r="DC72" s="81" t="str">
        <f t="shared" si="74"/>
        <v/>
      </c>
      <c r="DD72" s="81" t="str">
        <f t="shared" si="75"/>
        <v/>
      </c>
      <c r="DE72" s="145" t="str">
        <f t="shared" si="76"/>
        <v/>
      </c>
      <c r="DF72" s="145" t="str">
        <f t="shared" si="77"/>
        <v/>
      </c>
      <c r="DG72" s="81" t="str">
        <f t="shared" si="78"/>
        <v/>
      </c>
      <c r="DH72" s="81" t="str">
        <f t="shared" si="79"/>
        <v/>
      </c>
      <c r="DI72" s="81" t="str">
        <f t="shared" si="80"/>
        <v/>
      </c>
      <c r="DJ72" s="80" t="str">
        <f t="shared" si="81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1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0"/>
        <v/>
      </c>
      <c r="CP73" s="143">
        <f t="shared" si="21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2"/>
        <v/>
      </c>
      <c r="DB73" s="81" t="str">
        <f t="shared" si="73"/>
        <v/>
      </c>
      <c r="DC73" s="81" t="str">
        <f t="shared" si="74"/>
        <v/>
      </c>
      <c r="DD73" s="81" t="str">
        <f t="shared" si="75"/>
        <v/>
      </c>
      <c r="DE73" s="145" t="str">
        <f t="shared" si="76"/>
        <v/>
      </c>
      <c r="DF73" s="145" t="str">
        <f t="shared" si="77"/>
        <v/>
      </c>
      <c r="DG73" s="81" t="str">
        <f t="shared" si="78"/>
        <v/>
      </c>
      <c r="DH73" s="81" t="str">
        <f t="shared" si="79"/>
        <v/>
      </c>
      <c r="DI73" s="81" t="str">
        <f t="shared" si="80"/>
        <v/>
      </c>
      <c r="DJ73" s="80" t="str">
        <f t="shared" si="81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1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0"/>
        <v/>
      </c>
      <c r="CP74" s="143">
        <f t="shared" si="21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2"/>
        <v/>
      </c>
      <c r="DB74" s="81" t="str">
        <f t="shared" si="73"/>
        <v/>
      </c>
      <c r="DC74" s="81" t="str">
        <f t="shared" si="74"/>
        <v/>
      </c>
      <c r="DD74" s="81" t="str">
        <f t="shared" si="75"/>
        <v/>
      </c>
      <c r="DE74" s="145" t="str">
        <f t="shared" si="76"/>
        <v/>
      </c>
      <c r="DF74" s="145" t="str">
        <f t="shared" si="77"/>
        <v/>
      </c>
      <c r="DG74" s="81" t="str">
        <f t="shared" si="78"/>
        <v/>
      </c>
      <c r="DH74" s="81" t="str">
        <f t="shared" si="79"/>
        <v/>
      </c>
      <c r="DI74" s="81" t="str">
        <f t="shared" si="80"/>
        <v/>
      </c>
      <c r="DJ74" s="80" t="str">
        <f t="shared" si="81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1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0"/>
        <v/>
      </c>
      <c r="CP75" s="143">
        <f t="shared" si="21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2"/>
        <v/>
      </c>
      <c r="DB75" s="81" t="str">
        <f t="shared" si="73"/>
        <v/>
      </c>
      <c r="DC75" s="81" t="str">
        <f t="shared" si="74"/>
        <v/>
      </c>
      <c r="DD75" s="81" t="str">
        <f t="shared" si="75"/>
        <v/>
      </c>
      <c r="DE75" s="145" t="str">
        <f t="shared" si="76"/>
        <v/>
      </c>
      <c r="DF75" s="145" t="str">
        <f t="shared" si="77"/>
        <v/>
      </c>
      <c r="DG75" s="81" t="str">
        <f t="shared" si="78"/>
        <v/>
      </c>
      <c r="DH75" s="81" t="str">
        <f t="shared" si="79"/>
        <v/>
      </c>
      <c r="DI75" s="81" t="str">
        <f t="shared" si="80"/>
        <v/>
      </c>
      <c r="DJ75" s="80" t="str">
        <f t="shared" si="81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1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0"/>
        <v/>
      </c>
      <c r="CP76" s="143">
        <f t="shared" si="21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2"/>
        <v/>
      </c>
      <c r="DB76" s="81" t="str">
        <f t="shared" si="73"/>
        <v/>
      </c>
      <c r="DC76" s="81" t="str">
        <f t="shared" si="74"/>
        <v/>
      </c>
      <c r="DD76" s="81" t="str">
        <f t="shared" si="75"/>
        <v/>
      </c>
      <c r="DE76" s="145" t="str">
        <f t="shared" si="76"/>
        <v/>
      </c>
      <c r="DF76" s="145" t="str">
        <f t="shared" si="77"/>
        <v/>
      </c>
      <c r="DG76" s="81" t="str">
        <f t="shared" si="78"/>
        <v/>
      </c>
      <c r="DH76" s="81" t="str">
        <f t="shared" si="79"/>
        <v/>
      </c>
      <c r="DI76" s="81" t="str">
        <f t="shared" si="80"/>
        <v/>
      </c>
      <c r="DJ76" s="80" t="str">
        <f t="shared" si="81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1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2">IF(T70="","",SUM(T70,T72,-T73,-T74,-T75,T76))</f>
        <v/>
      </c>
      <c r="U77" s="321" t="str">
        <f t="shared" si="82"/>
        <v/>
      </c>
      <c r="V77" s="321" t="str">
        <f t="shared" si="82"/>
        <v/>
      </c>
      <c r="W77" s="321" t="str">
        <f t="shared" si="82"/>
        <v/>
      </c>
      <c r="X77" s="321" t="str">
        <f t="shared" si="82"/>
        <v/>
      </c>
      <c r="Y77" s="321" t="str">
        <f t="shared" si="82"/>
        <v/>
      </c>
      <c r="Z77" s="321" t="str">
        <f t="shared" si="82"/>
        <v/>
      </c>
      <c r="AA77" s="321" t="str">
        <f t="shared" si="82"/>
        <v/>
      </c>
      <c r="AB77" s="321" t="str">
        <f t="shared" si="82"/>
        <v/>
      </c>
      <c r="AC77" s="321" t="str">
        <f t="shared" si="82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0"/>
        <v/>
      </c>
      <c r="CP77" s="143">
        <f t="shared" si="21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2"/>
        <v/>
      </c>
      <c r="DB77" s="81" t="str">
        <f t="shared" si="73"/>
        <v/>
      </c>
      <c r="DC77" s="81" t="str">
        <f t="shared" si="74"/>
        <v/>
      </c>
      <c r="DD77" s="81" t="str">
        <f t="shared" si="75"/>
        <v/>
      </c>
      <c r="DE77" s="145" t="str">
        <f t="shared" si="76"/>
        <v/>
      </c>
      <c r="DF77" s="145" t="str">
        <f t="shared" si="77"/>
        <v/>
      </c>
      <c r="DG77" s="81" t="str">
        <f t="shared" si="78"/>
        <v/>
      </c>
      <c r="DH77" s="81" t="str">
        <f t="shared" si="79"/>
        <v/>
      </c>
      <c r="DI77" s="81" t="str">
        <f t="shared" si="80"/>
        <v/>
      </c>
      <c r="DJ77" s="80" t="str">
        <f t="shared" si="81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3">$B$10</f>
        <v>Temp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0"/>
        <v/>
      </c>
      <c r="CP78" s="143">
        <f t="shared" si="21"/>
        <v>0</v>
      </c>
      <c r="CQ78" s="144" t="str">
        <f t="shared" ref="CQ78:CV79" si="84">IF(OR(-FLOOR(((17-COUNT($C78:$S78))/2),1)+CQ$5&lt;1,-FLOOR(((17-COUNT($C78:$S78))/2),1)+CQ$5&gt;COUNT($C78:$S78)),"",LARGE($C78:$S78,-FLOOR(((17-COUNT($C78:$S78))/2),1)+CQ$5))</f>
        <v/>
      </c>
      <c r="CR78" s="81" t="str">
        <f t="shared" si="84"/>
        <v/>
      </c>
      <c r="CS78" s="81" t="str">
        <f t="shared" si="84"/>
        <v/>
      </c>
      <c r="CT78" s="81" t="str">
        <f t="shared" si="84"/>
        <v/>
      </c>
      <c r="CU78" s="145" t="str">
        <f t="shared" si="84"/>
        <v/>
      </c>
      <c r="CV78" s="145" t="str">
        <f t="shared" si="84"/>
        <v/>
      </c>
      <c r="CW78" s="81" t="str">
        <f t="shared" ref="CW78:CZ79" si="85">IF(OR(-FLOOR(((17-COUNT($C78:$S78))/2),1)+CW$5&lt;1,-FLOOR(((17-COUNT($C78:$S78))/2),1)+CW$5&gt;COUNT($C78:$S78)),"",LARGE($C78:$S78,-FLOOR(((17-COUNT($C78:$S78))/2),1)+CW$5))</f>
        <v/>
      </c>
      <c r="CX78" s="81" t="str">
        <f t="shared" si="85"/>
        <v/>
      </c>
      <c r="CY78" s="81" t="str">
        <f t="shared" si="85"/>
        <v/>
      </c>
      <c r="CZ78" s="1367" t="str">
        <f t="shared" si="85"/>
        <v/>
      </c>
      <c r="DA78" s="144" t="str">
        <f t="shared" ref="DA78:DA85" si="86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87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88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89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0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1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2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3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4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5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3"/>
        <v>Temp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0"/>
        <v/>
      </c>
      <c r="CP79" s="143">
        <f t="shared" si="21"/>
        <v>0</v>
      </c>
      <c r="CQ79" s="144" t="str">
        <f t="shared" si="84"/>
        <v/>
      </c>
      <c r="CR79" s="81" t="str">
        <f t="shared" si="84"/>
        <v/>
      </c>
      <c r="CS79" s="81" t="str">
        <f t="shared" si="84"/>
        <v/>
      </c>
      <c r="CT79" s="81" t="str">
        <f t="shared" si="84"/>
        <v/>
      </c>
      <c r="CU79" s="145" t="str">
        <f t="shared" si="84"/>
        <v/>
      </c>
      <c r="CV79" s="145" t="str">
        <f t="shared" si="84"/>
        <v/>
      </c>
      <c r="CW79" s="81" t="str">
        <f t="shared" si="85"/>
        <v/>
      </c>
      <c r="CX79" s="81" t="str">
        <f t="shared" si="85"/>
        <v/>
      </c>
      <c r="CY79" s="81" t="str">
        <f t="shared" si="85"/>
        <v/>
      </c>
      <c r="CZ79" s="1367" t="str">
        <f t="shared" si="85"/>
        <v/>
      </c>
      <c r="DA79" s="144" t="str">
        <f t="shared" si="86"/>
        <v/>
      </c>
      <c r="DB79" s="81" t="str">
        <f t="shared" si="87"/>
        <v/>
      </c>
      <c r="DC79" s="81" t="str">
        <f t="shared" si="88"/>
        <v/>
      </c>
      <c r="DD79" s="81" t="str">
        <f t="shared" si="89"/>
        <v/>
      </c>
      <c r="DE79" s="145" t="str">
        <f t="shared" si="90"/>
        <v/>
      </c>
      <c r="DF79" s="145" t="str">
        <f t="shared" si="91"/>
        <v/>
      </c>
      <c r="DG79" s="81" t="str">
        <f t="shared" si="92"/>
        <v/>
      </c>
      <c r="DH79" s="81" t="str">
        <f t="shared" si="93"/>
        <v/>
      </c>
      <c r="DI79" s="81" t="str">
        <f t="shared" si="94"/>
        <v/>
      </c>
      <c r="DJ79" s="80" t="str">
        <f t="shared" si="95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3"/>
        <v>Temp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0"/>
        <v/>
      </c>
      <c r="CP80" s="143">
        <f t="shared" si="21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86"/>
        <v/>
      </c>
      <c r="DB80" s="81" t="str">
        <f t="shared" si="87"/>
        <v/>
      </c>
      <c r="DC80" s="81" t="str">
        <f t="shared" si="88"/>
        <v/>
      </c>
      <c r="DD80" s="81" t="str">
        <f t="shared" si="89"/>
        <v/>
      </c>
      <c r="DE80" s="145" t="str">
        <f t="shared" si="90"/>
        <v/>
      </c>
      <c r="DF80" s="145" t="str">
        <f t="shared" si="91"/>
        <v/>
      </c>
      <c r="DG80" s="81" t="str">
        <f t="shared" si="92"/>
        <v/>
      </c>
      <c r="DH80" s="81" t="str">
        <f t="shared" si="93"/>
        <v/>
      </c>
      <c r="DI80" s="81" t="str">
        <f t="shared" si="94"/>
        <v/>
      </c>
      <c r="DJ80" s="80" t="str">
        <f t="shared" si="95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3"/>
        <v>Temp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0"/>
        <v/>
      </c>
      <c r="CP81" s="143">
        <f t="shared" si="21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86"/>
        <v/>
      </c>
      <c r="DB81" s="81" t="str">
        <f t="shared" si="87"/>
        <v/>
      </c>
      <c r="DC81" s="81" t="str">
        <f t="shared" si="88"/>
        <v/>
      </c>
      <c r="DD81" s="81" t="str">
        <f t="shared" si="89"/>
        <v/>
      </c>
      <c r="DE81" s="145" t="str">
        <f t="shared" si="90"/>
        <v/>
      </c>
      <c r="DF81" s="145" t="str">
        <f t="shared" si="91"/>
        <v/>
      </c>
      <c r="DG81" s="81" t="str">
        <f t="shared" si="92"/>
        <v/>
      </c>
      <c r="DH81" s="81" t="str">
        <f t="shared" si="93"/>
        <v/>
      </c>
      <c r="DI81" s="81" t="str">
        <f t="shared" si="94"/>
        <v/>
      </c>
      <c r="DJ81" s="80" t="str">
        <f t="shared" si="95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3"/>
        <v>Temp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0"/>
        <v/>
      </c>
      <c r="CP82" s="143">
        <f t="shared" si="21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86"/>
        <v/>
      </c>
      <c r="DB82" s="81" t="str">
        <f t="shared" si="87"/>
        <v/>
      </c>
      <c r="DC82" s="81" t="str">
        <f t="shared" si="88"/>
        <v/>
      </c>
      <c r="DD82" s="81" t="str">
        <f t="shared" si="89"/>
        <v/>
      </c>
      <c r="DE82" s="145" t="str">
        <f t="shared" si="90"/>
        <v/>
      </c>
      <c r="DF82" s="145" t="str">
        <f t="shared" si="91"/>
        <v/>
      </c>
      <c r="DG82" s="81" t="str">
        <f t="shared" si="92"/>
        <v/>
      </c>
      <c r="DH82" s="81" t="str">
        <f t="shared" si="93"/>
        <v/>
      </c>
      <c r="DI82" s="81" t="str">
        <f t="shared" si="94"/>
        <v/>
      </c>
      <c r="DJ82" s="80" t="str">
        <f t="shared" si="95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3"/>
        <v>Temp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0"/>
        <v/>
      </c>
      <c r="CP83" s="143">
        <f t="shared" si="21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86"/>
        <v/>
      </c>
      <c r="DB83" s="81" t="str">
        <f t="shared" si="87"/>
        <v/>
      </c>
      <c r="DC83" s="81" t="str">
        <f t="shared" si="88"/>
        <v/>
      </c>
      <c r="DD83" s="81" t="str">
        <f t="shared" si="89"/>
        <v/>
      </c>
      <c r="DE83" s="145" t="str">
        <f t="shared" si="90"/>
        <v/>
      </c>
      <c r="DF83" s="145" t="str">
        <f t="shared" si="91"/>
        <v/>
      </c>
      <c r="DG83" s="81" t="str">
        <f t="shared" si="92"/>
        <v/>
      </c>
      <c r="DH83" s="81" t="str">
        <f t="shared" si="93"/>
        <v/>
      </c>
      <c r="DI83" s="81" t="str">
        <f t="shared" si="94"/>
        <v/>
      </c>
      <c r="DJ83" s="80" t="str">
        <f t="shared" si="95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3"/>
        <v>Temp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0"/>
        <v/>
      </c>
      <c r="CP84" s="143">
        <f t="shared" si="21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86"/>
        <v/>
      </c>
      <c r="DB84" s="81" t="str">
        <f t="shared" si="87"/>
        <v/>
      </c>
      <c r="DC84" s="81" t="str">
        <f t="shared" si="88"/>
        <v/>
      </c>
      <c r="DD84" s="81" t="str">
        <f t="shared" si="89"/>
        <v/>
      </c>
      <c r="DE84" s="145" t="str">
        <f t="shared" si="90"/>
        <v/>
      </c>
      <c r="DF84" s="145" t="str">
        <f t="shared" si="91"/>
        <v/>
      </c>
      <c r="DG84" s="81" t="str">
        <f t="shared" si="92"/>
        <v/>
      </c>
      <c r="DH84" s="81" t="str">
        <f t="shared" si="93"/>
        <v/>
      </c>
      <c r="DI84" s="81" t="str">
        <f t="shared" si="94"/>
        <v/>
      </c>
      <c r="DJ84" s="80" t="str">
        <f t="shared" si="95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3"/>
        <v>Temp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96">IF(AK78="","",SUM(AK78,AK80,-AK81,-AK82,-AK83,AK84))</f>
        <v/>
      </c>
      <c r="AL85" s="321" t="str">
        <f t="shared" si="96"/>
        <v/>
      </c>
      <c r="AM85" s="321" t="str">
        <f t="shared" si="96"/>
        <v/>
      </c>
      <c r="AN85" s="321" t="str">
        <f t="shared" si="96"/>
        <v/>
      </c>
      <c r="AO85" s="321" t="str">
        <f t="shared" si="96"/>
        <v/>
      </c>
      <c r="AP85" s="321" t="str">
        <f t="shared" si="96"/>
        <v/>
      </c>
      <c r="AQ85" s="321" t="str">
        <f t="shared" si="96"/>
        <v/>
      </c>
      <c r="AR85" s="321" t="str">
        <f t="shared" si="96"/>
        <v/>
      </c>
      <c r="AS85" s="321" t="str">
        <f t="shared" si="96"/>
        <v/>
      </c>
      <c r="AT85" s="321" t="str">
        <f t="shared" si="96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0"/>
        <v/>
      </c>
      <c r="CP85" s="143">
        <f t="shared" si="21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86"/>
        <v/>
      </c>
      <c r="DB85" s="81" t="str">
        <f t="shared" si="87"/>
        <v/>
      </c>
      <c r="DC85" s="81" t="str">
        <f t="shared" si="88"/>
        <v/>
      </c>
      <c r="DD85" s="81" t="str">
        <f t="shared" si="89"/>
        <v/>
      </c>
      <c r="DE85" s="145" t="str">
        <f t="shared" si="90"/>
        <v/>
      </c>
      <c r="DF85" s="145" t="str">
        <f t="shared" si="91"/>
        <v/>
      </c>
      <c r="DG85" s="81" t="str">
        <f t="shared" si="92"/>
        <v/>
      </c>
      <c r="DH85" s="81" t="str">
        <f t="shared" si="93"/>
        <v/>
      </c>
      <c r="DI85" s="81" t="str">
        <f t="shared" si="94"/>
        <v/>
      </c>
      <c r="DJ85" s="80" t="str">
        <f t="shared" si="95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97">$B$11</f>
        <v>Ftime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0"/>
        <v/>
      </c>
      <c r="CP86" s="143">
        <f t="shared" si="21"/>
        <v>0</v>
      </c>
      <c r="CQ86" s="144" t="str">
        <f t="shared" ref="CQ86:CV87" si="98">IF(OR(-FLOOR(((17-COUNT($C86:$S86))/2),1)+CQ$5&lt;1,-FLOOR(((17-COUNT($C86:$S86))/2),1)+CQ$5&gt;COUNT($C86:$S86)),"",LARGE($C86:$S86,-FLOOR(((17-COUNT($C86:$S86))/2),1)+CQ$5))</f>
        <v/>
      </c>
      <c r="CR86" s="81" t="str">
        <f t="shared" si="98"/>
        <v/>
      </c>
      <c r="CS86" s="81" t="str">
        <f t="shared" si="98"/>
        <v/>
      </c>
      <c r="CT86" s="81" t="str">
        <f t="shared" si="98"/>
        <v/>
      </c>
      <c r="CU86" s="145" t="str">
        <f t="shared" si="98"/>
        <v/>
      </c>
      <c r="CV86" s="145" t="str">
        <f t="shared" si="98"/>
        <v/>
      </c>
      <c r="CW86" s="81" t="str">
        <f t="shared" ref="CW86:CZ87" si="99">IF(OR(-FLOOR(((17-COUNT($C86:$S86))/2),1)+CW$5&lt;1,-FLOOR(((17-COUNT($C86:$S86))/2),1)+CW$5&gt;COUNT($C86:$S86)),"",LARGE($C86:$S86,-FLOOR(((17-COUNT($C86:$S86))/2),1)+CW$5))</f>
        <v/>
      </c>
      <c r="CX86" s="81" t="str">
        <f t="shared" si="99"/>
        <v/>
      </c>
      <c r="CY86" s="81" t="str">
        <f t="shared" si="99"/>
        <v/>
      </c>
      <c r="CZ86" s="1367" t="str">
        <f t="shared" si="99"/>
        <v/>
      </c>
      <c r="DA86" s="144" t="str">
        <f t="shared" ref="DA86:DA93" si="100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1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2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3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4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5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06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07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08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09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97"/>
        <v>Ftime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0"/>
        <v/>
      </c>
      <c r="CP87" s="143">
        <f t="shared" si="21"/>
        <v>0</v>
      </c>
      <c r="CQ87" s="144" t="str">
        <f t="shared" si="98"/>
        <v/>
      </c>
      <c r="CR87" s="81" t="str">
        <f t="shared" si="98"/>
        <v/>
      </c>
      <c r="CS87" s="81" t="str">
        <f t="shared" si="98"/>
        <v/>
      </c>
      <c r="CT87" s="81" t="str">
        <f t="shared" si="98"/>
        <v/>
      </c>
      <c r="CU87" s="145" t="str">
        <f t="shared" si="98"/>
        <v/>
      </c>
      <c r="CV87" s="145" t="str">
        <f t="shared" si="98"/>
        <v/>
      </c>
      <c r="CW87" s="81" t="str">
        <f t="shared" si="99"/>
        <v/>
      </c>
      <c r="CX87" s="81" t="str">
        <f t="shared" si="99"/>
        <v/>
      </c>
      <c r="CY87" s="81" t="str">
        <f t="shared" si="99"/>
        <v/>
      </c>
      <c r="CZ87" s="1367" t="str">
        <f t="shared" si="99"/>
        <v/>
      </c>
      <c r="DA87" s="144" t="str">
        <f t="shared" si="100"/>
        <v/>
      </c>
      <c r="DB87" s="81" t="str">
        <f t="shared" si="101"/>
        <v/>
      </c>
      <c r="DC87" s="81" t="str">
        <f t="shared" si="102"/>
        <v/>
      </c>
      <c r="DD87" s="81" t="str">
        <f t="shared" si="103"/>
        <v/>
      </c>
      <c r="DE87" s="145" t="str">
        <f t="shared" si="104"/>
        <v/>
      </c>
      <c r="DF87" s="145" t="str">
        <f t="shared" si="105"/>
        <v/>
      </c>
      <c r="DG87" s="81" t="str">
        <f t="shared" si="106"/>
        <v/>
      </c>
      <c r="DH87" s="81" t="str">
        <f t="shared" si="107"/>
        <v/>
      </c>
      <c r="DI87" s="81" t="str">
        <f t="shared" si="108"/>
        <v/>
      </c>
      <c r="DJ87" s="80" t="str">
        <f t="shared" si="109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97"/>
        <v>Ftime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0"/>
        <v/>
      </c>
      <c r="CP88" s="143">
        <f t="shared" si="21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0"/>
        <v/>
      </c>
      <c r="DB88" s="81" t="str">
        <f t="shared" si="101"/>
        <v/>
      </c>
      <c r="DC88" s="81" t="str">
        <f t="shared" si="102"/>
        <v/>
      </c>
      <c r="DD88" s="81" t="str">
        <f t="shared" si="103"/>
        <v/>
      </c>
      <c r="DE88" s="145" t="str">
        <f t="shared" si="104"/>
        <v/>
      </c>
      <c r="DF88" s="145" t="str">
        <f t="shared" si="105"/>
        <v/>
      </c>
      <c r="DG88" s="81" t="str">
        <f t="shared" si="106"/>
        <v/>
      </c>
      <c r="DH88" s="81" t="str">
        <f t="shared" si="107"/>
        <v/>
      </c>
      <c r="DI88" s="81" t="str">
        <f t="shared" si="108"/>
        <v/>
      </c>
      <c r="DJ88" s="80" t="str">
        <f t="shared" si="109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97"/>
        <v>Ftime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0"/>
        <v/>
      </c>
      <c r="CP89" s="143">
        <f t="shared" si="21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0"/>
        <v/>
      </c>
      <c r="DB89" s="81" t="str">
        <f t="shared" si="101"/>
        <v/>
      </c>
      <c r="DC89" s="81" t="str">
        <f t="shared" si="102"/>
        <v/>
      </c>
      <c r="DD89" s="81" t="str">
        <f t="shared" si="103"/>
        <v/>
      </c>
      <c r="DE89" s="145" t="str">
        <f t="shared" si="104"/>
        <v/>
      </c>
      <c r="DF89" s="145" t="str">
        <f t="shared" si="105"/>
        <v/>
      </c>
      <c r="DG89" s="81" t="str">
        <f t="shared" si="106"/>
        <v/>
      </c>
      <c r="DH89" s="81" t="str">
        <f t="shared" si="107"/>
        <v/>
      </c>
      <c r="DI89" s="81" t="str">
        <f t="shared" si="108"/>
        <v/>
      </c>
      <c r="DJ89" s="80" t="str">
        <f t="shared" si="109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97"/>
        <v>Ftime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0"/>
        <v/>
      </c>
      <c r="CP90" s="143">
        <f t="shared" si="21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0"/>
        <v/>
      </c>
      <c r="DB90" s="81" t="str">
        <f t="shared" si="101"/>
        <v/>
      </c>
      <c r="DC90" s="81" t="str">
        <f t="shared" si="102"/>
        <v/>
      </c>
      <c r="DD90" s="81" t="str">
        <f t="shared" si="103"/>
        <v/>
      </c>
      <c r="DE90" s="145" t="str">
        <f t="shared" si="104"/>
        <v/>
      </c>
      <c r="DF90" s="145" t="str">
        <f t="shared" si="105"/>
        <v/>
      </c>
      <c r="DG90" s="81" t="str">
        <f t="shared" si="106"/>
        <v/>
      </c>
      <c r="DH90" s="81" t="str">
        <f t="shared" si="107"/>
        <v/>
      </c>
      <c r="DI90" s="81" t="str">
        <f t="shared" si="108"/>
        <v/>
      </c>
      <c r="DJ90" s="80" t="str">
        <f t="shared" si="109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97"/>
        <v>Ftime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0"/>
        <v/>
      </c>
      <c r="CP91" s="143">
        <f t="shared" si="21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0"/>
        <v/>
      </c>
      <c r="DB91" s="81" t="str">
        <f t="shared" si="101"/>
        <v/>
      </c>
      <c r="DC91" s="81" t="str">
        <f t="shared" si="102"/>
        <v/>
      </c>
      <c r="DD91" s="81" t="str">
        <f t="shared" si="103"/>
        <v/>
      </c>
      <c r="DE91" s="145" t="str">
        <f t="shared" si="104"/>
        <v/>
      </c>
      <c r="DF91" s="145" t="str">
        <f t="shared" si="105"/>
        <v/>
      </c>
      <c r="DG91" s="81" t="str">
        <f t="shared" si="106"/>
        <v/>
      </c>
      <c r="DH91" s="81" t="str">
        <f t="shared" si="107"/>
        <v/>
      </c>
      <c r="DI91" s="81" t="str">
        <f t="shared" si="108"/>
        <v/>
      </c>
      <c r="DJ91" s="80" t="str">
        <f t="shared" si="109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97"/>
        <v>Ftime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0"/>
        <v/>
      </c>
      <c r="CP92" s="143">
        <f t="shared" si="21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0"/>
        <v/>
      </c>
      <c r="DB92" s="81" t="str">
        <f t="shared" si="101"/>
        <v/>
      </c>
      <c r="DC92" s="81" t="str">
        <f t="shared" si="102"/>
        <v/>
      </c>
      <c r="DD92" s="81" t="str">
        <f t="shared" si="103"/>
        <v/>
      </c>
      <c r="DE92" s="145" t="str">
        <f t="shared" si="104"/>
        <v/>
      </c>
      <c r="DF92" s="145" t="str">
        <f t="shared" si="105"/>
        <v/>
      </c>
      <c r="DG92" s="81" t="str">
        <f t="shared" si="106"/>
        <v/>
      </c>
      <c r="DH92" s="81" t="str">
        <f t="shared" si="107"/>
        <v/>
      </c>
      <c r="DI92" s="81" t="str">
        <f t="shared" si="108"/>
        <v/>
      </c>
      <c r="DJ92" s="80" t="str">
        <f t="shared" si="109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97"/>
        <v>Ftime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0">IF(BB86="","",SUM(BB86,BB88,-BB89,-BB90,-BB91,BB92))</f>
        <v/>
      </c>
      <c r="BC93" s="321" t="str">
        <f t="shared" si="110"/>
        <v/>
      </c>
      <c r="BD93" s="321" t="str">
        <f t="shared" si="110"/>
        <v/>
      </c>
      <c r="BE93" s="321" t="str">
        <f t="shared" si="110"/>
        <v/>
      </c>
      <c r="BF93" s="321" t="str">
        <f t="shared" si="110"/>
        <v/>
      </c>
      <c r="BG93" s="321" t="str">
        <f t="shared" si="110"/>
        <v/>
      </c>
      <c r="BH93" s="321" t="str">
        <f t="shared" si="110"/>
        <v/>
      </c>
      <c r="BI93" s="321" t="str">
        <f t="shared" si="110"/>
        <v/>
      </c>
      <c r="BJ93" s="321" t="str">
        <f t="shared" si="110"/>
        <v/>
      </c>
      <c r="BK93" s="321" t="str">
        <f t="shared" si="110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0"/>
        <v/>
      </c>
      <c r="CP93" s="143">
        <f t="shared" si="21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0"/>
        <v/>
      </c>
      <c r="DB93" s="81" t="str">
        <f t="shared" si="101"/>
        <v/>
      </c>
      <c r="DC93" s="81" t="str">
        <f t="shared" si="102"/>
        <v/>
      </c>
      <c r="DD93" s="81" t="str">
        <f t="shared" si="103"/>
        <v/>
      </c>
      <c r="DE93" s="145" t="str">
        <f t="shared" si="104"/>
        <v/>
      </c>
      <c r="DF93" s="145" t="str">
        <f t="shared" si="105"/>
        <v/>
      </c>
      <c r="DG93" s="81" t="str">
        <f t="shared" si="106"/>
        <v/>
      </c>
      <c r="DH93" s="81" t="str">
        <f t="shared" si="107"/>
        <v/>
      </c>
      <c r="DI93" s="81" t="str">
        <f t="shared" si="108"/>
        <v/>
      </c>
      <c r="DJ93" s="80" t="str">
        <f t="shared" si="109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1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0"/>
        <v/>
      </c>
      <c r="CP94" s="143">
        <f t="shared" si="21"/>
        <v>0</v>
      </c>
      <c r="CQ94" s="144" t="str">
        <f t="shared" ref="CQ94:CV95" si="112">IF(OR(-FLOOR(((17-COUNT($C94:$S94))/2),1)+CQ$5&lt;1,-FLOOR(((17-COUNT($C94:$S94))/2),1)+CQ$5&gt;COUNT($C94:$S94)),"",LARGE($C94:$S94,-FLOOR(((17-COUNT($C94:$S94))/2),1)+CQ$5))</f>
        <v/>
      </c>
      <c r="CR94" s="81" t="str">
        <f t="shared" si="112"/>
        <v/>
      </c>
      <c r="CS94" s="81" t="str">
        <f t="shared" si="112"/>
        <v/>
      </c>
      <c r="CT94" s="81" t="str">
        <f t="shared" si="112"/>
        <v/>
      </c>
      <c r="CU94" s="145" t="str">
        <f t="shared" si="112"/>
        <v/>
      </c>
      <c r="CV94" s="145" t="str">
        <f t="shared" si="112"/>
        <v/>
      </c>
      <c r="CW94" s="81" t="str">
        <f t="shared" ref="CW94:CZ95" si="113">IF(OR(-FLOOR(((17-COUNT($C94:$S94))/2),1)+CW$5&lt;1,-FLOOR(((17-COUNT($C94:$S94))/2),1)+CW$5&gt;COUNT($C94:$S94)),"",LARGE($C94:$S94,-FLOOR(((17-COUNT($C94:$S94))/2),1)+CW$5))</f>
        <v/>
      </c>
      <c r="CX94" s="81" t="str">
        <f t="shared" si="113"/>
        <v/>
      </c>
      <c r="CY94" s="81" t="str">
        <f t="shared" si="113"/>
        <v/>
      </c>
      <c r="CZ94" s="1367" t="str">
        <f t="shared" si="113"/>
        <v/>
      </c>
      <c r="DA94" s="144" t="str">
        <f t="shared" ref="DA94:DA101" si="114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5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16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17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18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19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0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1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2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3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1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0"/>
        <v/>
      </c>
      <c r="CP95" s="143">
        <f t="shared" si="21"/>
        <v>0</v>
      </c>
      <c r="CQ95" s="144" t="str">
        <f t="shared" si="112"/>
        <v/>
      </c>
      <c r="CR95" s="81" t="str">
        <f t="shared" si="112"/>
        <v/>
      </c>
      <c r="CS95" s="81" t="str">
        <f t="shared" si="112"/>
        <v/>
      </c>
      <c r="CT95" s="81" t="str">
        <f t="shared" si="112"/>
        <v/>
      </c>
      <c r="CU95" s="145" t="str">
        <f t="shared" si="112"/>
        <v/>
      </c>
      <c r="CV95" s="145" t="str">
        <f t="shared" si="112"/>
        <v/>
      </c>
      <c r="CW95" s="81" t="str">
        <f t="shared" si="113"/>
        <v/>
      </c>
      <c r="CX95" s="81" t="str">
        <f t="shared" si="113"/>
        <v/>
      </c>
      <c r="CY95" s="81" t="str">
        <f t="shared" si="113"/>
        <v/>
      </c>
      <c r="CZ95" s="1367" t="str">
        <f t="shared" si="113"/>
        <v/>
      </c>
      <c r="DA95" s="144" t="str">
        <f t="shared" si="114"/>
        <v/>
      </c>
      <c r="DB95" s="81" t="str">
        <f t="shared" si="115"/>
        <v/>
      </c>
      <c r="DC95" s="81" t="str">
        <f t="shared" si="116"/>
        <v/>
      </c>
      <c r="DD95" s="81" t="str">
        <f t="shared" si="117"/>
        <v/>
      </c>
      <c r="DE95" s="145" t="str">
        <f t="shared" si="118"/>
        <v/>
      </c>
      <c r="DF95" s="145" t="str">
        <f t="shared" si="119"/>
        <v/>
      </c>
      <c r="DG95" s="81" t="str">
        <f t="shared" si="120"/>
        <v/>
      </c>
      <c r="DH95" s="81" t="str">
        <f t="shared" si="121"/>
        <v/>
      </c>
      <c r="DI95" s="81" t="str">
        <f t="shared" si="122"/>
        <v/>
      </c>
      <c r="DJ95" s="80" t="str">
        <f t="shared" si="123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1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0"/>
        <v/>
      </c>
      <c r="CP96" s="143">
        <f t="shared" si="21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4"/>
        <v/>
      </c>
      <c r="DB96" s="81" t="str">
        <f t="shared" si="115"/>
        <v/>
      </c>
      <c r="DC96" s="81" t="str">
        <f t="shared" si="116"/>
        <v/>
      </c>
      <c r="DD96" s="81" t="str">
        <f t="shared" si="117"/>
        <v/>
      </c>
      <c r="DE96" s="145" t="str">
        <f t="shared" si="118"/>
        <v/>
      </c>
      <c r="DF96" s="145" t="str">
        <f t="shared" si="119"/>
        <v/>
      </c>
      <c r="DG96" s="81" t="str">
        <f t="shared" si="120"/>
        <v/>
      </c>
      <c r="DH96" s="81" t="str">
        <f t="shared" si="121"/>
        <v/>
      </c>
      <c r="DI96" s="81" t="str">
        <f t="shared" si="122"/>
        <v/>
      </c>
      <c r="DJ96" s="80" t="str">
        <f t="shared" si="123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1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0"/>
        <v/>
      </c>
      <c r="CP97" s="143">
        <f t="shared" si="21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4"/>
        <v/>
      </c>
      <c r="DB97" s="81" t="str">
        <f t="shared" si="115"/>
        <v/>
      </c>
      <c r="DC97" s="81" t="str">
        <f t="shared" si="116"/>
        <v/>
      </c>
      <c r="DD97" s="81" t="str">
        <f t="shared" si="117"/>
        <v/>
      </c>
      <c r="DE97" s="145" t="str">
        <f t="shared" si="118"/>
        <v/>
      </c>
      <c r="DF97" s="145" t="str">
        <f t="shared" si="119"/>
        <v/>
      </c>
      <c r="DG97" s="81" t="str">
        <f t="shared" si="120"/>
        <v/>
      </c>
      <c r="DH97" s="81" t="str">
        <f t="shared" si="121"/>
        <v/>
      </c>
      <c r="DI97" s="81" t="str">
        <f t="shared" si="122"/>
        <v/>
      </c>
      <c r="DJ97" s="80" t="str">
        <f t="shared" si="123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1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0"/>
        <v/>
      </c>
      <c r="CP98" s="143">
        <f t="shared" si="21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4"/>
        <v/>
      </c>
      <c r="DB98" s="81" t="str">
        <f t="shared" si="115"/>
        <v/>
      </c>
      <c r="DC98" s="81" t="str">
        <f t="shared" si="116"/>
        <v/>
      </c>
      <c r="DD98" s="81" t="str">
        <f t="shared" si="117"/>
        <v/>
      </c>
      <c r="DE98" s="145" t="str">
        <f t="shared" si="118"/>
        <v/>
      </c>
      <c r="DF98" s="145" t="str">
        <f t="shared" si="119"/>
        <v/>
      </c>
      <c r="DG98" s="81" t="str">
        <f t="shared" si="120"/>
        <v/>
      </c>
      <c r="DH98" s="81" t="str">
        <f t="shared" si="121"/>
        <v/>
      </c>
      <c r="DI98" s="81" t="str">
        <f t="shared" si="122"/>
        <v/>
      </c>
      <c r="DJ98" s="80" t="str">
        <f t="shared" si="123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1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0"/>
        <v/>
      </c>
      <c r="CP99" s="143">
        <f t="shared" si="21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4"/>
        <v/>
      </c>
      <c r="DB99" s="81" t="str">
        <f t="shared" si="115"/>
        <v/>
      </c>
      <c r="DC99" s="81" t="str">
        <f t="shared" si="116"/>
        <v/>
      </c>
      <c r="DD99" s="81" t="str">
        <f t="shared" si="117"/>
        <v/>
      </c>
      <c r="DE99" s="145" t="str">
        <f t="shared" si="118"/>
        <v/>
      </c>
      <c r="DF99" s="145" t="str">
        <f t="shared" si="119"/>
        <v/>
      </c>
      <c r="DG99" s="81" t="str">
        <f t="shared" si="120"/>
        <v/>
      </c>
      <c r="DH99" s="81" t="str">
        <f t="shared" si="121"/>
        <v/>
      </c>
      <c r="DI99" s="81" t="str">
        <f t="shared" si="122"/>
        <v/>
      </c>
      <c r="DJ99" s="80" t="str">
        <f t="shared" si="123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1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0"/>
        <v/>
      </c>
      <c r="CP100" s="143">
        <f t="shared" si="21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4"/>
        <v/>
      </c>
      <c r="DB100" s="81" t="str">
        <f t="shared" si="115"/>
        <v/>
      </c>
      <c r="DC100" s="81" t="str">
        <f t="shared" si="116"/>
        <v/>
      </c>
      <c r="DD100" s="81" t="str">
        <f t="shared" si="117"/>
        <v/>
      </c>
      <c r="DE100" s="145" t="str">
        <f t="shared" si="118"/>
        <v/>
      </c>
      <c r="DF100" s="145" t="str">
        <f t="shared" si="119"/>
        <v/>
      </c>
      <c r="DG100" s="81" t="str">
        <f t="shared" si="120"/>
        <v/>
      </c>
      <c r="DH100" s="81" t="str">
        <f t="shared" si="121"/>
        <v/>
      </c>
      <c r="DI100" s="81" t="str">
        <f t="shared" si="122"/>
        <v/>
      </c>
      <c r="DJ100" s="80" t="str">
        <f t="shared" si="123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1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4">IF(BS94="","",SUM(BS94,BS96,-BS97,-BS98,-BS99,BS100))</f>
        <v/>
      </c>
      <c r="BT101" s="321" t="str">
        <f t="shared" si="124"/>
        <v/>
      </c>
      <c r="BU101" s="321" t="str">
        <f t="shared" si="124"/>
        <v/>
      </c>
      <c r="BV101" s="321" t="str">
        <f t="shared" si="124"/>
        <v/>
      </c>
      <c r="BW101" s="321" t="str">
        <f t="shared" si="124"/>
        <v/>
      </c>
      <c r="BX101" s="321" t="str">
        <f t="shared" si="124"/>
        <v/>
      </c>
      <c r="BY101" s="321" t="str">
        <f t="shared" si="124"/>
        <v/>
      </c>
      <c r="BZ101" s="321" t="str">
        <f t="shared" si="124"/>
        <v/>
      </c>
      <c r="CA101" s="321" t="str">
        <f t="shared" si="124"/>
        <v/>
      </c>
      <c r="CB101" s="321" t="str">
        <f t="shared" si="124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0"/>
        <v/>
      </c>
      <c r="CP101" s="143">
        <f t="shared" si="21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4"/>
        <v/>
      </c>
      <c r="DB101" s="81" t="str">
        <f t="shared" si="115"/>
        <v/>
      </c>
      <c r="DC101" s="81" t="str">
        <f t="shared" si="116"/>
        <v/>
      </c>
      <c r="DD101" s="81" t="str">
        <f t="shared" si="117"/>
        <v/>
      </c>
      <c r="DE101" s="145" t="str">
        <f t="shared" si="118"/>
        <v/>
      </c>
      <c r="DF101" s="145" t="str">
        <f t="shared" si="119"/>
        <v/>
      </c>
      <c r="DG101" s="81" t="str">
        <f t="shared" si="120"/>
        <v/>
      </c>
      <c r="DH101" s="81" t="str">
        <f t="shared" si="121"/>
        <v/>
      </c>
      <c r="DI101" s="81" t="str">
        <f t="shared" si="122"/>
        <v/>
      </c>
      <c r="DJ101" s="80" t="str">
        <f t="shared" si="123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5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0"/>
        <v/>
      </c>
      <c r="CP102" s="143">
        <f t="shared" si="21"/>
        <v>0</v>
      </c>
      <c r="CQ102" s="144" t="str">
        <f t="shared" ref="CQ102:CV103" si="126">IF(OR(-FLOOR(((17-COUNT($C102:$S102))/2),1)+CQ$5&lt;1,-FLOOR(((17-COUNT($C102:$S102))/2),1)+CQ$5&gt;COUNT($C102:$S102)),"",LARGE($C102:$S102,-FLOOR(((17-COUNT($C102:$S102))/2),1)+CQ$5))</f>
        <v/>
      </c>
      <c r="CR102" s="81" t="str">
        <f t="shared" si="126"/>
        <v/>
      </c>
      <c r="CS102" s="81" t="str">
        <f t="shared" si="126"/>
        <v/>
      </c>
      <c r="CT102" s="81" t="str">
        <f t="shared" si="126"/>
        <v/>
      </c>
      <c r="CU102" s="145" t="str">
        <f t="shared" si="126"/>
        <v/>
      </c>
      <c r="CV102" s="145" t="str">
        <f t="shared" si="126"/>
        <v/>
      </c>
      <c r="CW102" s="81" t="str">
        <f t="shared" ref="CW102:CZ103" si="127">IF(OR(-FLOOR(((17-COUNT($C102:$S102))/2),1)+CW$5&lt;1,-FLOOR(((17-COUNT($C102:$S102))/2),1)+CW$5&gt;COUNT($C102:$S102)),"",LARGE($C102:$S102,-FLOOR(((17-COUNT($C102:$S102))/2),1)+CW$5))</f>
        <v/>
      </c>
      <c r="CX102" s="81" t="str">
        <f t="shared" si="127"/>
        <v/>
      </c>
      <c r="CY102" s="81" t="str">
        <f t="shared" si="127"/>
        <v/>
      </c>
      <c r="CZ102" s="1367" t="str">
        <f t="shared" si="127"/>
        <v/>
      </c>
      <c r="DA102" s="144" t="str">
        <f t="shared" ref="DA102:DA109" si="128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29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0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1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2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3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4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5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36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37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5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0"/>
        <v/>
      </c>
      <c r="CP103" s="143">
        <f t="shared" si="21"/>
        <v>0</v>
      </c>
      <c r="CQ103" s="144" t="str">
        <f t="shared" si="126"/>
        <v/>
      </c>
      <c r="CR103" s="81" t="str">
        <f t="shared" si="126"/>
        <v/>
      </c>
      <c r="CS103" s="81" t="str">
        <f t="shared" si="126"/>
        <v/>
      </c>
      <c r="CT103" s="81" t="str">
        <f t="shared" si="126"/>
        <v/>
      </c>
      <c r="CU103" s="145" t="str">
        <f t="shared" si="126"/>
        <v/>
      </c>
      <c r="CV103" s="145" t="str">
        <f t="shared" si="126"/>
        <v/>
      </c>
      <c r="CW103" s="81" t="str">
        <f t="shared" si="127"/>
        <v/>
      </c>
      <c r="CX103" s="81" t="str">
        <f t="shared" si="127"/>
        <v/>
      </c>
      <c r="CY103" s="81" t="str">
        <f t="shared" si="127"/>
        <v/>
      </c>
      <c r="CZ103" s="1367" t="str">
        <f t="shared" si="127"/>
        <v/>
      </c>
      <c r="DA103" s="144" t="str">
        <f t="shared" si="128"/>
        <v/>
      </c>
      <c r="DB103" s="81" t="str">
        <f t="shared" si="129"/>
        <v/>
      </c>
      <c r="DC103" s="81" t="str">
        <f t="shared" si="130"/>
        <v/>
      </c>
      <c r="DD103" s="81" t="str">
        <f t="shared" si="131"/>
        <v/>
      </c>
      <c r="DE103" s="145" t="str">
        <f t="shared" si="132"/>
        <v/>
      </c>
      <c r="DF103" s="145" t="str">
        <f t="shared" si="133"/>
        <v/>
      </c>
      <c r="DG103" s="81" t="str">
        <f t="shared" si="134"/>
        <v/>
      </c>
      <c r="DH103" s="81" t="str">
        <f t="shared" si="135"/>
        <v/>
      </c>
      <c r="DI103" s="81" t="str">
        <f t="shared" si="136"/>
        <v/>
      </c>
      <c r="DJ103" s="80" t="str">
        <f t="shared" si="137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5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0"/>
        <v/>
      </c>
      <c r="CP104" s="143">
        <f t="shared" si="21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28"/>
        <v/>
      </c>
      <c r="DB104" s="81" t="str">
        <f t="shared" si="129"/>
        <v/>
      </c>
      <c r="DC104" s="81" t="str">
        <f t="shared" si="130"/>
        <v/>
      </c>
      <c r="DD104" s="81" t="str">
        <f t="shared" si="131"/>
        <v/>
      </c>
      <c r="DE104" s="145" t="str">
        <f t="shared" si="132"/>
        <v/>
      </c>
      <c r="DF104" s="145" t="str">
        <f t="shared" si="133"/>
        <v/>
      </c>
      <c r="DG104" s="81" t="str">
        <f t="shared" si="134"/>
        <v/>
      </c>
      <c r="DH104" s="81" t="str">
        <f t="shared" si="135"/>
        <v/>
      </c>
      <c r="DI104" s="81" t="str">
        <f t="shared" si="136"/>
        <v/>
      </c>
      <c r="DJ104" s="80" t="str">
        <f t="shared" si="137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5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0"/>
        <v/>
      </c>
      <c r="CP105" s="143">
        <f t="shared" si="21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28"/>
        <v/>
      </c>
      <c r="DB105" s="81" t="str">
        <f t="shared" si="129"/>
        <v/>
      </c>
      <c r="DC105" s="81" t="str">
        <f t="shared" si="130"/>
        <v/>
      </c>
      <c r="DD105" s="81" t="str">
        <f t="shared" si="131"/>
        <v/>
      </c>
      <c r="DE105" s="145" t="str">
        <f t="shared" si="132"/>
        <v/>
      </c>
      <c r="DF105" s="145" t="str">
        <f t="shared" si="133"/>
        <v/>
      </c>
      <c r="DG105" s="81" t="str">
        <f t="shared" si="134"/>
        <v/>
      </c>
      <c r="DH105" s="81" t="str">
        <f t="shared" si="135"/>
        <v/>
      </c>
      <c r="DI105" s="81" t="str">
        <f t="shared" si="136"/>
        <v/>
      </c>
      <c r="DJ105" s="80" t="str">
        <f t="shared" si="137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5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0"/>
        <v/>
      </c>
      <c r="CP106" s="143">
        <f t="shared" si="21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28"/>
        <v/>
      </c>
      <c r="DB106" s="81" t="str">
        <f t="shared" si="129"/>
        <v/>
      </c>
      <c r="DC106" s="81" t="str">
        <f t="shared" si="130"/>
        <v/>
      </c>
      <c r="DD106" s="81" t="str">
        <f t="shared" si="131"/>
        <v/>
      </c>
      <c r="DE106" s="145" t="str">
        <f t="shared" si="132"/>
        <v/>
      </c>
      <c r="DF106" s="145" t="str">
        <f t="shared" si="133"/>
        <v/>
      </c>
      <c r="DG106" s="81" t="str">
        <f t="shared" si="134"/>
        <v/>
      </c>
      <c r="DH106" s="81" t="str">
        <f t="shared" si="135"/>
        <v/>
      </c>
      <c r="DI106" s="81" t="str">
        <f t="shared" si="136"/>
        <v/>
      </c>
      <c r="DJ106" s="80" t="str">
        <f t="shared" si="137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5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0"/>
        <v/>
      </c>
      <c r="CP107" s="143">
        <f t="shared" si="21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28"/>
        <v/>
      </c>
      <c r="DB107" s="81" t="str">
        <f t="shared" si="129"/>
        <v/>
      </c>
      <c r="DC107" s="81" t="str">
        <f t="shared" si="130"/>
        <v/>
      </c>
      <c r="DD107" s="81" t="str">
        <f t="shared" si="131"/>
        <v/>
      </c>
      <c r="DE107" s="145" t="str">
        <f t="shared" si="132"/>
        <v/>
      </c>
      <c r="DF107" s="145" t="str">
        <f t="shared" si="133"/>
        <v/>
      </c>
      <c r="DG107" s="81" t="str">
        <f t="shared" si="134"/>
        <v/>
      </c>
      <c r="DH107" s="81" t="str">
        <f t="shared" si="135"/>
        <v/>
      </c>
      <c r="DI107" s="81" t="str">
        <f t="shared" si="136"/>
        <v/>
      </c>
      <c r="DJ107" s="80" t="str">
        <f t="shared" si="137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5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0"/>
        <v/>
      </c>
      <c r="CP108" s="143">
        <f t="shared" si="21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28"/>
        <v/>
      </c>
      <c r="DB108" s="81" t="str">
        <f t="shared" si="129"/>
        <v/>
      </c>
      <c r="DC108" s="81" t="str">
        <f t="shared" si="130"/>
        <v/>
      </c>
      <c r="DD108" s="81" t="str">
        <f t="shared" si="131"/>
        <v/>
      </c>
      <c r="DE108" s="145" t="str">
        <f t="shared" si="132"/>
        <v/>
      </c>
      <c r="DF108" s="145" t="str">
        <f t="shared" si="133"/>
        <v/>
      </c>
      <c r="DG108" s="81" t="str">
        <f t="shared" si="134"/>
        <v/>
      </c>
      <c r="DH108" s="81" t="str">
        <f t="shared" si="135"/>
        <v/>
      </c>
      <c r="DI108" s="81" t="str">
        <f t="shared" si="136"/>
        <v/>
      </c>
      <c r="DJ108" s="80" t="str">
        <f t="shared" si="137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5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38">IF(T102="","",SUM(T102,T104,-T105,-T106,-T107,T108))</f>
        <v/>
      </c>
      <c r="U109" s="321" t="str">
        <f t="shared" si="138"/>
        <v/>
      </c>
      <c r="V109" s="321" t="str">
        <f t="shared" si="138"/>
        <v/>
      </c>
      <c r="W109" s="321" t="str">
        <f t="shared" si="138"/>
        <v/>
      </c>
      <c r="X109" s="321" t="str">
        <f t="shared" si="138"/>
        <v/>
      </c>
      <c r="Y109" s="321" t="str">
        <f t="shared" si="138"/>
        <v/>
      </c>
      <c r="Z109" s="321" t="str">
        <f t="shared" si="138"/>
        <v/>
      </c>
      <c r="AA109" s="321" t="str">
        <f t="shared" si="138"/>
        <v/>
      </c>
      <c r="AB109" s="321" t="str">
        <f t="shared" si="138"/>
        <v/>
      </c>
      <c r="AC109" s="321" t="str">
        <f t="shared" si="138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0"/>
        <v/>
      </c>
      <c r="CP109" s="143">
        <f t="shared" si="21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28"/>
        <v/>
      </c>
      <c r="DB109" s="81" t="str">
        <f t="shared" si="129"/>
        <v/>
      </c>
      <c r="DC109" s="81" t="str">
        <f t="shared" si="130"/>
        <v/>
      </c>
      <c r="DD109" s="81" t="str">
        <f t="shared" si="131"/>
        <v/>
      </c>
      <c r="DE109" s="145" t="str">
        <f t="shared" si="132"/>
        <v/>
      </c>
      <c r="DF109" s="145" t="str">
        <f t="shared" si="133"/>
        <v/>
      </c>
      <c r="DG109" s="81" t="str">
        <f t="shared" si="134"/>
        <v/>
      </c>
      <c r="DH109" s="81" t="str">
        <f t="shared" si="135"/>
        <v/>
      </c>
      <c r="DI109" s="81" t="str">
        <f t="shared" si="136"/>
        <v/>
      </c>
      <c r="DJ109" s="80" t="str">
        <f t="shared" si="137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39">$B$10</f>
        <v>Temp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0"/>
        <v/>
      </c>
      <c r="CP110" s="143">
        <f t="shared" si="21"/>
        <v>0</v>
      </c>
      <c r="CQ110" s="144" t="str">
        <f t="shared" ref="CQ110:CV111" si="140">IF(OR(-FLOOR(((17-COUNT($C110:$S110))/2),1)+CQ$5&lt;1,-FLOOR(((17-COUNT($C110:$S110))/2),1)+CQ$5&gt;COUNT($C110:$S110)),"",LARGE($C110:$S110,-FLOOR(((17-COUNT($C110:$S110))/2),1)+CQ$5))</f>
        <v/>
      </c>
      <c r="CR110" s="81" t="str">
        <f t="shared" si="140"/>
        <v/>
      </c>
      <c r="CS110" s="81" t="str">
        <f t="shared" si="140"/>
        <v/>
      </c>
      <c r="CT110" s="81" t="str">
        <f t="shared" si="140"/>
        <v/>
      </c>
      <c r="CU110" s="145" t="str">
        <f t="shared" si="140"/>
        <v/>
      </c>
      <c r="CV110" s="145" t="str">
        <f t="shared" si="140"/>
        <v/>
      </c>
      <c r="CW110" s="81" t="str">
        <f t="shared" ref="CW110:CZ111" si="141">IF(OR(-FLOOR(((17-COUNT($C110:$S110))/2),1)+CW$5&lt;1,-FLOOR(((17-COUNT($C110:$S110))/2),1)+CW$5&gt;COUNT($C110:$S110)),"",LARGE($C110:$S110,-FLOOR(((17-COUNT($C110:$S110))/2),1)+CW$5))</f>
        <v/>
      </c>
      <c r="CX110" s="81" t="str">
        <f t="shared" si="141"/>
        <v/>
      </c>
      <c r="CY110" s="81" t="str">
        <f t="shared" si="141"/>
        <v/>
      </c>
      <c r="CZ110" s="1367" t="str">
        <f t="shared" si="141"/>
        <v/>
      </c>
      <c r="DA110" s="144" t="str">
        <f t="shared" ref="DA110:DA117" si="142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3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4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5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46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47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48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49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0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1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39"/>
        <v>Temp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0"/>
        <v/>
      </c>
      <c r="CP111" s="143">
        <f t="shared" si="21"/>
        <v>0</v>
      </c>
      <c r="CQ111" s="144" t="str">
        <f t="shared" si="140"/>
        <v/>
      </c>
      <c r="CR111" s="81" t="str">
        <f t="shared" si="140"/>
        <v/>
      </c>
      <c r="CS111" s="81" t="str">
        <f t="shared" si="140"/>
        <v/>
      </c>
      <c r="CT111" s="81" t="str">
        <f t="shared" si="140"/>
        <v/>
      </c>
      <c r="CU111" s="145" t="str">
        <f t="shared" si="140"/>
        <v/>
      </c>
      <c r="CV111" s="145" t="str">
        <f t="shared" si="140"/>
        <v/>
      </c>
      <c r="CW111" s="81" t="str">
        <f t="shared" si="141"/>
        <v/>
      </c>
      <c r="CX111" s="81" t="str">
        <f t="shared" si="141"/>
        <v/>
      </c>
      <c r="CY111" s="81" t="str">
        <f t="shared" si="141"/>
        <v/>
      </c>
      <c r="CZ111" s="1367" t="str">
        <f t="shared" si="141"/>
        <v/>
      </c>
      <c r="DA111" s="144" t="str">
        <f t="shared" si="142"/>
        <v/>
      </c>
      <c r="DB111" s="81" t="str">
        <f t="shared" si="143"/>
        <v/>
      </c>
      <c r="DC111" s="81" t="str">
        <f t="shared" si="144"/>
        <v/>
      </c>
      <c r="DD111" s="81" t="str">
        <f t="shared" si="145"/>
        <v/>
      </c>
      <c r="DE111" s="145" t="str">
        <f t="shared" si="146"/>
        <v/>
      </c>
      <c r="DF111" s="145" t="str">
        <f t="shared" si="147"/>
        <v/>
      </c>
      <c r="DG111" s="81" t="str">
        <f t="shared" si="148"/>
        <v/>
      </c>
      <c r="DH111" s="81" t="str">
        <f t="shared" si="149"/>
        <v/>
      </c>
      <c r="DI111" s="81" t="str">
        <f t="shared" si="150"/>
        <v/>
      </c>
      <c r="DJ111" s="80" t="str">
        <f t="shared" si="151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39"/>
        <v>Temp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0"/>
        <v/>
      </c>
      <c r="CP112" s="143">
        <f t="shared" si="21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2"/>
        <v/>
      </c>
      <c r="DB112" s="81" t="str">
        <f t="shared" si="143"/>
        <v/>
      </c>
      <c r="DC112" s="81" t="str">
        <f t="shared" si="144"/>
        <v/>
      </c>
      <c r="DD112" s="81" t="str">
        <f t="shared" si="145"/>
        <v/>
      </c>
      <c r="DE112" s="145" t="str">
        <f t="shared" si="146"/>
        <v/>
      </c>
      <c r="DF112" s="145" t="str">
        <f t="shared" si="147"/>
        <v/>
      </c>
      <c r="DG112" s="81" t="str">
        <f t="shared" si="148"/>
        <v/>
      </c>
      <c r="DH112" s="81" t="str">
        <f t="shared" si="149"/>
        <v/>
      </c>
      <c r="DI112" s="81" t="str">
        <f t="shared" si="150"/>
        <v/>
      </c>
      <c r="DJ112" s="80" t="str">
        <f t="shared" si="151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39"/>
        <v>Temp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0"/>
        <v/>
      </c>
      <c r="CP113" s="143">
        <f t="shared" si="21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2"/>
        <v/>
      </c>
      <c r="DB113" s="81" t="str">
        <f t="shared" si="143"/>
        <v/>
      </c>
      <c r="DC113" s="81" t="str">
        <f t="shared" si="144"/>
        <v/>
      </c>
      <c r="DD113" s="81" t="str">
        <f t="shared" si="145"/>
        <v/>
      </c>
      <c r="DE113" s="145" t="str">
        <f t="shared" si="146"/>
        <v/>
      </c>
      <c r="DF113" s="145" t="str">
        <f t="shared" si="147"/>
        <v/>
      </c>
      <c r="DG113" s="81" t="str">
        <f t="shared" si="148"/>
        <v/>
      </c>
      <c r="DH113" s="81" t="str">
        <f t="shared" si="149"/>
        <v/>
      </c>
      <c r="DI113" s="81" t="str">
        <f t="shared" si="150"/>
        <v/>
      </c>
      <c r="DJ113" s="80" t="str">
        <f t="shared" si="151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39"/>
        <v>Temp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0"/>
        <v/>
      </c>
      <c r="CP114" s="143">
        <f t="shared" si="21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2"/>
        <v/>
      </c>
      <c r="DB114" s="81" t="str">
        <f t="shared" si="143"/>
        <v/>
      </c>
      <c r="DC114" s="81" t="str">
        <f t="shared" si="144"/>
        <v/>
      </c>
      <c r="DD114" s="81" t="str">
        <f t="shared" si="145"/>
        <v/>
      </c>
      <c r="DE114" s="145" t="str">
        <f t="shared" si="146"/>
        <v/>
      </c>
      <c r="DF114" s="145" t="str">
        <f t="shared" si="147"/>
        <v/>
      </c>
      <c r="DG114" s="81" t="str">
        <f t="shared" si="148"/>
        <v/>
      </c>
      <c r="DH114" s="81" t="str">
        <f t="shared" si="149"/>
        <v/>
      </c>
      <c r="DI114" s="81" t="str">
        <f t="shared" si="150"/>
        <v/>
      </c>
      <c r="DJ114" s="80" t="str">
        <f t="shared" si="151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39"/>
        <v>Temp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0"/>
        <v/>
      </c>
      <c r="CP115" s="143">
        <f t="shared" si="21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2"/>
        <v/>
      </c>
      <c r="DB115" s="81" t="str">
        <f t="shared" si="143"/>
        <v/>
      </c>
      <c r="DC115" s="81" t="str">
        <f t="shared" si="144"/>
        <v/>
      </c>
      <c r="DD115" s="81" t="str">
        <f t="shared" si="145"/>
        <v/>
      </c>
      <c r="DE115" s="145" t="str">
        <f t="shared" si="146"/>
        <v/>
      </c>
      <c r="DF115" s="145" t="str">
        <f t="shared" si="147"/>
        <v/>
      </c>
      <c r="DG115" s="81" t="str">
        <f t="shared" si="148"/>
        <v/>
      </c>
      <c r="DH115" s="81" t="str">
        <f t="shared" si="149"/>
        <v/>
      </c>
      <c r="DI115" s="81" t="str">
        <f t="shared" si="150"/>
        <v/>
      </c>
      <c r="DJ115" s="80" t="str">
        <f t="shared" si="151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39"/>
        <v>Temp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0"/>
        <v/>
      </c>
      <c r="CP116" s="143">
        <f t="shared" si="21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2"/>
        <v/>
      </c>
      <c r="DB116" s="81" t="str">
        <f t="shared" si="143"/>
        <v/>
      </c>
      <c r="DC116" s="81" t="str">
        <f t="shared" si="144"/>
        <v/>
      </c>
      <c r="DD116" s="81" t="str">
        <f t="shared" si="145"/>
        <v/>
      </c>
      <c r="DE116" s="145" t="str">
        <f t="shared" si="146"/>
        <v/>
      </c>
      <c r="DF116" s="145" t="str">
        <f t="shared" si="147"/>
        <v/>
      </c>
      <c r="DG116" s="81" t="str">
        <f t="shared" si="148"/>
        <v/>
      </c>
      <c r="DH116" s="81" t="str">
        <f t="shared" si="149"/>
        <v/>
      </c>
      <c r="DI116" s="81" t="str">
        <f t="shared" si="150"/>
        <v/>
      </c>
      <c r="DJ116" s="80" t="str">
        <f t="shared" si="151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39"/>
        <v>Temp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2">IF(AK110="","",SUM(AK110,AK112,-AK113,-AK114,-AK115,AK116))</f>
        <v/>
      </c>
      <c r="AL117" s="321" t="str">
        <f t="shared" si="152"/>
        <v/>
      </c>
      <c r="AM117" s="321" t="str">
        <f t="shared" si="152"/>
        <v/>
      </c>
      <c r="AN117" s="321" t="str">
        <f t="shared" si="152"/>
        <v/>
      </c>
      <c r="AO117" s="321" t="str">
        <f t="shared" si="152"/>
        <v/>
      </c>
      <c r="AP117" s="321" t="str">
        <f t="shared" si="152"/>
        <v/>
      </c>
      <c r="AQ117" s="321" t="str">
        <f t="shared" si="152"/>
        <v/>
      </c>
      <c r="AR117" s="321" t="str">
        <f t="shared" si="152"/>
        <v/>
      </c>
      <c r="AS117" s="321" t="str">
        <f t="shared" si="152"/>
        <v/>
      </c>
      <c r="AT117" s="321" t="str">
        <f t="shared" si="152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0"/>
        <v/>
      </c>
      <c r="CP117" s="143">
        <f t="shared" si="21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2"/>
        <v/>
      </c>
      <c r="DB117" s="81" t="str">
        <f t="shared" si="143"/>
        <v/>
      </c>
      <c r="DC117" s="81" t="str">
        <f t="shared" si="144"/>
        <v/>
      </c>
      <c r="DD117" s="81" t="str">
        <f t="shared" si="145"/>
        <v/>
      </c>
      <c r="DE117" s="145" t="str">
        <f t="shared" si="146"/>
        <v/>
      </c>
      <c r="DF117" s="145" t="str">
        <f t="shared" si="147"/>
        <v/>
      </c>
      <c r="DG117" s="81" t="str">
        <f t="shared" si="148"/>
        <v/>
      </c>
      <c r="DH117" s="81" t="str">
        <f t="shared" si="149"/>
        <v/>
      </c>
      <c r="DI117" s="81" t="str">
        <f t="shared" si="150"/>
        <v/>
      </c>
      <c r="DJ117" s="80" t="str">
        <f t="shared" si="151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3">$B$11</f>
        <v>Ftime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0"/>
        <v/>
      </c>
      <c r="CP118" s="143">
        <f t="shared" si="21"/>
        <v>0</v>
      </c>
      <c r="CQ118" s="144" t="str">
        <f t="shared" ref="CQ118:CV119" si="154">IF(OR(-FLOOR(((17-COUNT($C118:$S118))/2),1)+CQ$5&lt;1,-FLOOR(((17-COUNT($C118:$S118))/2),1)+CQ$5&gt;COUNT($C118:$S118)),"",LARGE($C118:$S118,-FLOOR(((17-COUNT($C118:$S118))/2),1)+CQ$5))</f>
        <v/>
      </c>
      <c r="CR118" s="81" t="str">
        <f t="shared" si="154"/>
        <v/>
      </c>
      <c r="CS118" s="81" t="str">
        <f t="shared" si="154"/>
        <v/>
      </c>
      <c r="CT118" s="81" t="str">
        <f t="shared" si="154"/>
        <v/>
      </c>
      <c r="CU118" s="145" t="str">
        <f t="shared" si="154"/>
        <v/>
      </c>
      <c r="CV118" s="145" t="str">
        <f t="shared" si="154"/>
        <v/>
      </c>
      <c r="CW118" s="81" t="str">
        <f t="shared" ref="CW118:CZ119" si="155">IF(OR(-FLOOR(((17-COUNT($C118:$S118))/2),1)+CW$5&lt;1,-FLOOR(((17-COUNT($C118:$S118))/2),1)+CW$5&gt;COUNT($C118:$S118)),"",LARGE($C118:$S118,-FLOOR(((17-COUNT($C118:$S118))/2),1)+CW$5))</f>
        <v/>
      </c>
      <c r="CX118" s="81" t="str">
        <f t="shared" si="155"/>
        <v/>
      </c>
      <c r="CY118" s="81" t="str">
        <f t="shared" si="155"/>
        <v/>
      </c>
      <c r="CZ118" s="1367" t="str">
        <f t="shared" si="155"/>
        <v/>
      </c>
      <c r="DA118" s="144" t="str">
        <f t="shared" ref="DA118:DA125" si="156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57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58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59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0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1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2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3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4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5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3"/>
        <v>Ftime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0"/>
        <v/>
      </c>
      <c r="CP119" s="143">
        <f t="shared" si="21"/>
        <v>0</v>
      </c>
      <c r="CQ119" s="144" t="str">
        <f t="shared" si="154"/>
        <v/>
      </c>
      <c r="CR119" s="81" t="str">
        <f t="shared" si="154"/>
        <v/>
      </c>
      <c r="CS119" s="81" t="str">
        <f t="shared" si="154"/>
        <v/>
      </c>
      <c r="CT119" s="81" t="str">
        <f t="shared" si="154"/>
        <v/>
      </c>
      <c r="CU119" s="145" t="str">
        <f t="shared" si="154"/>
        <v/>
      </c>
      <c r="CV119" s="145" t="str">
        <f t="shared" si="154"/>
        <v/>
      </c>
      <c r="CW119" s="81" t="str">
        <f t="shared" si="155"/>
        <v/>
      </c>
      <c r="CX119" s="81" t="str">
        <f t="shared" si="155"/>
        <v/>
      </c>
      <c r="CY119" s="81" t="str">
        <f t="shared" si="155"/>
        <v/>
      </c>
      <c r="CZ119" s="1367" t="str">
        <f t="shared" si="155"/>
        <v/>
      </c>
      <c r="DA119" s="144" t="str">
        <f t="shared" si="156"/>
        <v/>
      </c>
      <c r="DB119" s="81" t="str">
        <f t="shared" si="157"/>
        <v/>
      </c>
      <c r="DC119" s="81" t="str">
        <f t="shared" si="158"/>
        <v/>
      </c>
      <c r="DD119" s="81" t="str">
        <f t="shared" si="159"/>
        <v/>
      </c>
      <c r="DE119" s="145" t="str">
        <f t="shared" si="160"/>
        <v/>
      </c>
      <c r="DF119" s="145" t="str">
        <f t="shared" si="161"/>
        <v/>
      </c>
      <c r="DG119" s="81" t="str">
        <f t="shared" si="162"/>
        <v/>
      </c>
      <c r="DH119" s="81" t="str">
        <f t="shared" si="163"/>
        <v/>
      </c>
      <c r="DI119" s="81" t="str">
        <f t="shared" si="164"/>
        <v/>
      </c>
      <c r="DJ119" s="80" t="str">
        <f t="shared" si="165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3"/>
        <v>Ftime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0"/>
        <v/>
      </c>
      <c r="CP120" s="143">
        <f t="shared" si="21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56"/>
        <v/>
      </c>
      <c r="DB120" s="81" t="str">
        <f t="shared" si="157"/>
        <v/>
      </c>
      <c r="DC120" s="81" t="str">
        <f t="shared" si="158"/>
        <v/>
      </c>
      <c r="DD120" s="81" t="str">
        <f t="shared" si="159"/>
        <v/>
      </c>
      <c r="DE120" s="145" t="str">
        <f t="shared" si="160"/>
        <v/>
      </c>
      <c r="DF120" s="145" t="str">
        <f t="shared" si="161"/>
        <v/>
      </c>
      <c r="DG120" s="81" t="str">
        <f t="shared" si="162"/>
        <v/>
      </c>
      <c r="DH120" s="81" t="str">
        <f t="shared" si="163"/>
        <v/>
      </c>
      <c r="DI120" s="81" t="str">
        <f t="shared" si="164"/>
        <v/>
      </c>
      <c r="DJ120" s="80" t="str">
        <f t="shared" si="165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3"/>
        <v>Ftime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0"/>
        <v/>
      </c>
      <c r="CP121" s="143">
        <f t="shared" si="21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56"/>
        <v/>
      </c>
      <c r="DB121" s="81" t="str">
        <f t="shared" si="157"/>
        <v/>
      </c>
      <c r="DC121" s="81" t="str">
        <f t="shared" si="158"/>
        <v/>
      </c>
      <c r="DD121" s="81" t="str">
        <f t="shared" si="159"/>
        <v/>
      </c>
      <c r="DE121" s="145" t="str">
        <f t="shared" si="160"/>
        <v/>
      </c>
      <c r="DF121" s="145" t="str">
        <f t="shared" si="161"/>
        <v/>
      </c>
      <c r="DG121" s="81" t="str">
        <f t="shared" si="162"/>
        <v/>
      </c>
      <c r="DH121" s="81" t="str">
        <f t="shared" si="163"/>
        <v/>
      </c>
      <c r="DI121" s="81" t="str">
        <f t="shared" si="164"/>
        <v/>
      </c>
      <c r="DJ121" s="80" t="str">
        <f t="shared" si="165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3"/>
        <v>Ftime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0"/>
        <v/>
      </c>
      <c r="CP122" s="143">
        <f t="shared" si="21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56"/>
        <v/>
      </c>
      <c r="DB122" s="81" t="str">
        <f t="shared" si="157"/>
        <v/>
      </c>
      <c r="DC122" s="81" t="str">
        <f t="shared" si="158"/>
        <v/>
      </c>
      <c r="DD122" s="81" t="str">
        <f t="shared" si="159"/>
        <v/>
      </c>
      <c r="DE122" s="145" t="str">
        <f t="shared" si="160"/>
        <v/>
      </c>
      <c r="DF122" s="145" t="str">
        <f t="shared" si="161"/>
        <v/>
      </c>
      <c r="DG122" s="81" t="str">
        <f t="shared" si="162"/>
        <v/>
      </c>
      <c r="DH122" s="81" t="str">
        <f t="shared" si="163"/>
        <v/>
      </c>
      <c r="DI122" s="81" t="str">
        <f t="shared" si="164"/>
        <v/>
      </c>
      <c r="DJ122" s="80" t="str">
        <f t="shared" si="165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3"/>
        <v>Ftime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0"/>
        <v/>
      </c>
      <c r="CP123" s="143">
        <f t="shared" si="21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56"/>
        <v/>
      </c>
      <c r="DB123" s="81" t="str">
        <f t="shared" si="157"/>
        <v/>
      </c>
      <c r="DC123" s="81" t="str">
        <f t="shared" si="158"/>
        <v/>
      </c>
      <c r="DD123" s="81" t="str">
        <f t="shared" si="159"/>
        <v/>
      </c>
      <c r="DE123" s="145" t="str">
        <f t="shared" si="160"/>
        <v/>
      </c>
      <c r="DF123" s="145" t="str">
        <f t="shared" si="161"/>
        <v/>
      </c>
      <c r="DG123" s="81" t="str">
        <f t="shared" si="162"/>
        <v/>
      </c>
      <c r="DH123" s="81" t="str">
        <f t="shared" si="163"/>
        <v/>
      </c>
      <c r="DI123" s="81" t="str">
        <f t="shared" si="164"/>
        <v/>
      </c>
      <c r="DJ123" s="80" t="str">
        <f t="shared" si="165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3"/>
        <v>Ftime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0"/>
        <v/>
      </c>
      <c r="CP124" s="143">
        <f t="shared" si="21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56"/>
        <v/>
      </c>
      <c r="DB124" s="81" t="str">
        <f t="shared" si="157"/>
        <v/>
      </c>
      <c r="DC124" s="81" t="str">
        <f t="shared" si="158"/>
        <v/>
      </c>
      <c r="DD124" s="81" t="str">
        <f t="shared" si="159"/>
        <v/>
      </c>
      <c r="DE124" s="145" t="str">
        <f t="shared" si="160"/>
        <v/>
      </c>
      <c r="DF124" s="145" t="str">
        <f t="shared" si="161"/>
        <v/>
      </c>
      <c r="DG124" s="81" t="str">
        <f t="shared" si="162"/>
        <v/>
      </c>
      <c r="DH124" s="81" t="str">
        <f t="shared" si="163"/>
        <v/>
      </c>
      <c r="DI124" s="81" t="str">
        <f t="shared" si="164"/>
        <v/>
      </c>
      <c r="DJ124" s="80" t="str">
        <f t="shared" si="165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3"/>
        <v>Ftime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66">IF(BB118="","",SUM(BB118,BB120,-BB121,-BB122,-BB123,BB124))</f>
        <v/>
      </c>
      <c r="BC125" s="321" t="str">
        <f t="shared" si="166"/>
        <v/>
      </c>
      <c r="BD125" s="321" t="str">
        <f t="shared" si="166"/>
        <v/>
      </c>
      <c r="BE125" s="321" t="str">
        <f t="shared" si="166"/>
        <v/>
      </c>
      <c r="BF125" s="321" t="str">
        <f t="shared" si="166"/>
        <v/>
      </c>
      <c r="BG125" s="321" t="str">
        <f t="shared" si="166"/>
        <v/>
      </c>
      <c r="BH125" s="321" t="str">
        <f t="shared" si="166"/>
        <v/>
      </c>
      <c r="BI125" s="321" t="str">
        <f t="shared" si="166"/>
        <v/>
      </c>
      <c r="BJ125" s="321" t="str">
        <f t="shared" si="166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0"/>
        <v/>
      </c>
      <c r="CP125" s="143">
        <f t="shared" si="21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56"/>
        <v/>
      </c>
      <c r="DB125" s="81" t="str">
        <f t="shared" si="157"/>
        <v/>
      </c>
      <c r="DC125" s="81" t="str">
        <f t="shared" si="158"/>
        <v/>
      </c>
      <c r="DD125" s="81" t="str">
        <f t="shared" si="159"/>
        <v/>
      </c>
      <c r="DE125" s="145" t="str">
        <f t="shared" si="160"/>
        <v/>
      </c>
      <c r="DF125" s="145" t="str">
        <f t="shared" si="161"/>
        <v/>
      </c>
      <c r="DG125" s="81" t="str">
        <f t="shared" si="162"/>
        <v/>
      </c>
      <c r="DH125" s="81" t="str">
        <f t="shared" si="163"/>
        <v/>
      </c>
      <c r="DI125" s="81" t="str">
        <f t="shared" si="164"/>
        <v/>
      </c>
      <c r="DJ125" s="80" t="str">
        <f t="shared" si="165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67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0"/>
        <v/>
      </c>
      <c r="CP126" s="143">
        <f t="shared" si="21"/>
        <v>0</v>
      </c>
      <c r="CQ126" s="144" t="str">
        <f t="shared" ref="CQ126:CV127" si="168">IF(OR(-FLOOR(((17-COUNT($C126:$S126))/2),1)+CQ$5&lt;1,-FLOOR(((17-COUNT($C126:$S126))/2),1)+CQ$5&gt;COUNT($C126:$S126)),"",LARGE($C126:$S126,-FLOOR(((17-COUNT($C126:$S126))/2),1)+CQ$5))</f>
        <v/>
      </c>
      <c r="CR126" s="81" t="str">
        <f t="shared" si="168"/>
        <v/>
      </c>
      <c r="CS126" s="81" t="str">
        <f t="shared" si="168"/>
        <v/>
      </c>
      <c r="CT126" s="81" t="str">
        <f t="shared" si="168"/>
        <v/>
      </c>
      <c r="CU126" s="145" t="str">
        <f t="shared" si="168"/>
        <v/>
      </c>
      <c r="CV126" s="145" t="str">
        <f t="shared" si="168"/>
        <v/>
      </c>
      <c r="CW126" s="81" t="str">
        <f t="shared" ref="CW126:CZ127" si="169">IF(OR(-FLOOR(((17-COUNT($C126:$S126))/2),1)+CW$5&lt;1,-FLOOR(((17-COUNT($C126:$S126))/2),1)+CW$5&gt;COUNT($C126:$S126)),"",LARGE($C126:$S126,-FLOOR(((17-COUNT($C126:$S126))/2),1)+CW$5))</f>
        <v/>
      </c>
      <c r="CX126" s="81" t="str">
        <f t="shared" si="169"/>
        <v/>
      </c>
      <c r="CY126" s="81" t="str">
        <f t="shared" si="169"/>
        <v/>
      </c>
      <c r="CZ126" s="1367" t="str">
        <f t="shared" si="169"/>
        <v/>
      </c>
      <c r="DA126" s="144" t="str">
        <f t="shared" ref="DA126:DA133" si="170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1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2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3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4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5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76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77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78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79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67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0"/>
        <v/>
      </c>
      <c r="CP127" s="143">
        <f t="shared" si="21"/>
        <v>0</v>
      </c>
      <c r="CQ127" s="144" t="str">
        <f t="shared" si="168"/>
        <v/>
      </c>
      <c r="CR127" s="81" t="str">
        <f t="shared" si="168"/>
        <v/>
      </c>
      <c r="CS127" s="81" t="str">
        <f t="shared" si="168"/>
        <v/>
      </c>
      <c r="CT127" s="81" t="str">
        <f t="shared" si="168"/>
        <v/>
      </c>
      <c r="CU127" s="145" t="str">
        <f t="shared" si="168"/>
        <v/>
      </c>
      <c r="CV127" s="145" t="str">
        <f t="shared" si="168"/>
        <v/>
      </c>
      <c r="CW127" s="81" t="str">
        <f t="shared" si="169"/>
        <v/>
      </c>
      <c r="CX127" s="81" t="str">
        <f t="shared" si="169"/>
        <v/>
      </c>
      <c r="CY127" s="81" t="str">
        <f t="shared" si="169"/>
        <v/>
      </c>
      <c r="CZ127" s="1367" t="str">
        <f t="shared" si="169"/>
        <v/>
      </c>
      <c r="DA127" s="144" t="str">
        <f t="shared" si="170"/>
        <v/>
      </c>
      <c r="DB127" s="81" t="str">
        <f t="shared" si="171"/>
        <v/>
      </c>
      <c r="DC127" s="81" t="str">
        <f t="shared" si="172"/>
        <v/>
      </c>
      <c r="DD127" s="81" t="str">
        <f t="shared" si="173"/>
        <v/>
      </c>
      <c r="DE127" s="145" t="str">
        <f t="shared" si="174"/>
        <v/>
      </c>
      <c r="DF127" s="145" t="str">
        <f t="shared" si="175"/>
        <v/>
      </c>
      <c r="DG127" s="81" t="str">
        <f t="shared" si="176"/>
        <v/>
      </c>
      <c r="DH127" s="81" t="str">
        <f t="shared" si="177"/>
        <v/>
      </c>
      <c r="DI127" s="81" t="str">
        <f t="shared" si="178"/>
        <v/>
      </c>
      <c r="DJ127" s="80" t="str">
        <f t="shared" si="179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67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0"/>
        <v/>
      </c>
      <c r="CP128" s="143">
        <f t="shared" si="21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0"/>
        <v/>
      </c>
      <c r="DB128" s="81" t="str">
        <f t="shared" si="171"/>
        <v/>
      </c>
      <c r="DC128" s="81" t="str">
        <f t="shared" si="172"/>
        <v/>
      </c>
      <c r="DD128" s="81" t="str">
        <f t="shared" si="173"/>
        <v/>
      </c>
      <c r="DE128" s="145" t="str">
        <f t="shared" si="174"/>
        <v/>
      </c>
      <c r="DF128" s="145" t="str">
        <f t="shared" si="175"/>
        <v/>
      </c>
      <c r="DG128" s="81" t="str">
        <f t="shared" si="176"/>
        <v/>
      </c>
      <c r="DH128" s="81" t="str">
        <f t="shared" si="177"/>
        <v/>
      </c>
      <c r="DI128" s="81" t="str">
        <f t="shared" si="178"/>
        <v/>
      </c>
      <c r="DJ128" s="80" t="str">
        <f t="shared" si="179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67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0"/>
        <v/>
      </c>
      <c r="CP129" s="143">
        <f t="shared" si="21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0"/>
        <v/>
      </c>
      <c r="DB129" s="81" t="str">
        <f t="shared" si="171"/>
        <v/>
      </c>
      <c r="DC129" s="81" t="str">
        <f t="shared" si="172"/>
        <v/>
      </c>
      <c r="DD129" s="81" t="str">
        <f t="shared" si="173"/>
        <v/>
      </c>
      <c r="DE129" s="145" t="str">
        <f t="shared" si="174"/>
        <v/>
      </c>
      <c r="DF129" s="145" t="str">
        <f t="shared" si="175"/>
        <v/>
      </c>
      <c r="DG129" s="81" t="str">
        <f t="shared" si="176"/>
        <v/>
      </c>
      <c r="DH129" s="81" t="str">
        <f t="shared" si="177"/>
        <v/>
      </c>
      <c r="DI129" s="81" t="str">
        <f t="shared" si="178"/>
        <v/>
      </c>
      <c r="DJ129" s="80" t="str">
        <f t="shared" si="179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67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0"/>
        <v/>
      </c>
      <c r="CP130" s="143">
        <f t="shared" si="21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0"/>
        <v/>
      </c>
      <c r="DB130" s="81" t="str">
        <f t="shared" si="171"/>
        <v/>
      </c>
      <c r="DC130" s="81" t="str">
        <f t="shared" si="172"/>
        <v/>
      </c>
      <c r="DD130" s="81" t="str">
        <f t="shared" si="173"/>
        <v/>
      </c>
      <c r="DE130" s="145" t="str">
        <f t="shared" si="174"/>
        <v/>
      </c>
      <c r="DF130" s="145" t="str">
        <f t="shared" si="175"/>
        <v/>
      </c>
      <c r="DG130" s="81" t="str">
        <f t="shared" si="176"/>
        <v/>
      </c>
      <c r="DH130" s="81" t="str">
        <f t="shared" si="177"/>
        <v/>
      </c>
      <c r="DI130" s="81" t="str">
        <f t="shared" si="178"/>
        <v/>
      </c>
      <c r="DJ130" s="80" t="str">
        <f t="shared" si="179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67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0"/>
        <v/>
      </c>
      <c r="CP131" s="143">
        <f t="shared" si="21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0"/>
        <v/>
      </c>
      <c r="DB131" s="81" t="str">
        <f t="shared" si="171"/>
        <v/>
      </c>
      <c r="DC131" s="81" t="str">
        <f t="shared" si="172"/>
        <v/>
      </c>
      <c r="DD131" s="81" t="str">
        <f t="shared" si="173"/>
        <v/>
      </c>
      <c r="DE131" s="145" t="str">
        <f t="shared" si="174"/>
        <v/>
      </c>
      <c r="DF131" s="145" t="str">
        <f t="shared" si="175"/>
        <v/>
      </c>
      <c r="DG131" s="81" t="str">
        <f t="shared" si="176"/>
        <v/>
      </c>
      <c r="DH131" s="81" t="str">
        <f t="shared" si="177"/>
        <v/>
      </c>
      <c r="DI131" s="81" t="str">
        <f t="shared" si="178"/>
        <v/>
      </c>
      <c r="DJ131" s="80" t="str">
        <f t="shared" si="179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67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0"/>
        <v/>
      </c>
      <c r="CP132" s="143">
        <f t="shared" si="21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0"/>
        <v/>
      </c>
      <c r="DB132" s="81" t="str">
        <f t="shared" si="171"/>
        <v/>
      </c>
      <c r="DC132" s="81" t="str">
        <f t="shared" si="172"/>
        <v/>
      </c>
      <c r="DD132" s="81" t="str">
        <f t="shared" si="173"/>
        <v/>
      </c>
      <c r="DE132" s="145" t="str">
        <f t="shared" si="174"/>
        <v/>
      </c>
      <c r="DF132" s="145" t="str">
        <f t="shared" si="175"/>
        <v/>
      </c>
      <c r="DG132" s="81" t="str">
        <f t="shared" si="176"/>
        <v/>
      </c>
      <c r="DH132" s="81" t="str">
        <f t="shared" si="177"/>
        <v/>
      </c>
      <c r="DI132" s="81" t="str">
        <f t="shared" si="178"/>
        <v/>
      </c>
      <c r="DJ132" s="80" t="str">
        <f t="shared" si="179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67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0">IF(BW126="","",SUM(BW126,BW128,-BW129,-BW130,-BW131,BW132))</f>
        <v/>
      </c>
      <c r="BX133" s="321" t="str">
        <f t="shared" si="180"/>
        <v/>
      </c>
      <c r="BY133" s="321" t="str">
        <f t="shared" si="180"/>
        <v/>
      </c>
      <c r="BZ133" s="321" t="str">
        <f t="shared" si="180"/>
        <v/>
      </c>
      <c r="CA133" s="321" t="str">
        <f t="shared" si="180"/>
        <v/>
      </c>
      <c r="CB133" s="321" t="str">
        <f t="shared" si="180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0"/>
        <v/>
      </c>
      <c r="CP133" s="143">
        <f t="shared" si="21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0"/>
        <v/>
      </c>
      <c r="DB133" s="81" t="str">
        <f t="shared" si="171"/>
        <v/>
      </c>
      <c r="DC133" s="81" t="str">
        <f t="shared" si="172"/>
        <v/>
      </c>
      <c r="DD133" s="81" t="str">
        <f t="shared" si="173"/>
        <v/>
      </c>
      <c r="DE133" s="145" t="str">
        <f t="shared" si="174"/>
        <v/>
      </c>
      <c r="DF133" s="145" t="str">
        <f t="shared" si="175"/>
        <v/>
      </c>
      <c r="DG133" s="81" t="str">
        <f t="shared" si="176"/>
        <v/>
      </c>
      <c r="DH133" s="81" t="str">
        <f t="shared" si="177"/>
        <v/>
      </c>
      <c r="DI133" s="81" t="str">
        <f t="shared" si="178"/>
        <v/>
      </c>
      <c r="DJ133" s="80" t="str">
        <f t="shared" si="179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1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0"/>
        <v/>
      </c>
      <c r="CP134" s="143">
        <f t="shared" si="21"/>
        <v>0</v>
      </c>
      <c r="CQ134" s="144" t="str">
        <f t="shared" ref="CQ134:CV135" si="182">IF(OR(-FLOOR(((17-COUNT($C134:$S134))/2),1)+CQ$5&lt;1,-FLOOR(((17-COUNT($C134:$S134))/2),1)+CQ$5&gt;COUNT($C134:$S134)),"",LARGE($C134:$S134,-FLOOR(((17-COUNT($C134:$S134))/2),1)+CQ$5))</f>
        <v/>
      </c>
      <c r="CR134" s="81" t="str">
        <f t="shared" si="182"/>
        <v/>
      </c>
      <c r="CS134" s="81" t="str">
        <f t="shared" si="182"/>
        <v/>
      </c>
      <c r="CT134" s="81" t="str">
        <f t="shared" si="182"/>
        <v/>
      </c>
      <c r="CU134" s="145" t="str">
        <f t="shared" si="182"/>
        <v/>
      </c>
      <c r="CV134" s="145" t="str">
        <f t="shared" si="182"/>
        <v/>
      </c>
      <c r="CW134" s="81" t="str">
        <f t="shared" ref="CW134:CZ135" si="183">IF(OR(-FLOOR(((17-COUNT($C134:$S134))/2),1)+CW$5&lt;1,-FLOOR(((17-COUNT($C134:$S134))/2),1)+CW$5&gt;COUNT($C134:$S134)),"",LARGE($C134:$S134,-FLOOR(((17-COUNT($C134:$S134))/2),1)+CW$5))</f>
        <v/>
      </c>
      <c r="CX134" s="81" t="str">
        <f t="shared" si="183"/>
        <v/>
      </c>
      <c r="CY134" s="81" t="str">
        <f t="shared" si="183"/>
        <v/>
      </c>
      <c r="CZ134" s="1367" t="str">
        <f t="shared" si="183"/>
        <v/>
      </c>
      <c r="DA134" s="144" t="str">
        <f t="shared" ref="DA134:DA141" si="184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5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86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87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88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89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0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1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2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3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1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0"/>
        <v/>
      </c>
      <c r="CP135" s="143">
        <f t="shared" si="21"/>
        <v>0</v>
      </c>
      <c r="CQ135" s="144" t="str">
        <f t="shared" si="182"/>
        <v/>
      </c>
      <c r="CR135" s="81" t="str">
        <f t="shared" si="182"/>
        <v/>
      </c>
      <c r="CS135" s="81" t="str">
        <f t="shared" si="182"/>
        <v/>
      </c>
      <c r="CT135" s="81" t="str">
        <f t="shared" si="182"/>
        <v/>
      </c>
      <c r="CU135" s="145" t="str">
        <f t="shared" si="182"/>
        <v/>
      </c>
      <c r="CV135" s="145" t="str">
        <f t="shared" si="182"/>
        <v/>
      </c>
      <c r="CW135" s="81" t="str">
        <f t="shared" si="183"/>
        <v/>
      </c>
      <c r="CX135" s="81" t="str">
        <f t="shared" si="183"/>
        <v/>
      </c>
      <c r="CY135" s="81" t="str">
        <f t="shared" si="183"/>
        <v/>
      </c>
      <c r="CZ135" s="1367" t="str">
        <f t="shared" si="183"/>
        <v/>
      </c>
      <c r="DA135" s="144" t="str">
        <f t="shared" si="184"/>
        <v/>
      </c>
      <c r="DB135" s="81" t="str">
        <f t="shared" si="185"/>
        <v/>
      </c>
      <c r="DC135" s="81" t="str">
        <f t="shared" si="186"/>
        <v/>
      </c>
      <c r="DD135" s="81" t="str">
        <f t="shared" si="187"/>
        <v/>
      </c>
      <c r="DE135" s="145" t="str">
        <f t="shared" si="188"/>
        <v/>
      </c>
      <c r="DF135" s="145" t="str">
        <f t="shared" si="189"/>
        <v/>
      </c>
      <c r="DG135" s="81" t="str">
        <f t="shared" si="190"/>
        <v/>
      </c>
      <c r="DH135" s="81" t="str">
        <f t="shared" si="191"/>
        <v/>
      </c>
      <c r="DI135" s="81" t="str">
        <f t="shared" si="192"/>
        <v/>
      </c>
      <c r="DJ135" s="80" t="str">
        <f t="shared" si="193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1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0"/>
        <v/>
      </c>
      <c r="CP136" s="143">
        <f t="shared" si="21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4"/>
        <v/>
      </c>
      <c r="DB136" s="81" t="str">
        <f t="shared" si="185"/>
        <v/>
      </c>
      <c r="DC136" s="81" t="str">
        <f t="shared" si="186"/>
        <v/>
      </c>
      <c r="DD136" s="81" t="str">
        <f t="shared" si="187"/>
        <v/>
      </c>
      <c r="DE136" s="145" t="str">
        <f t="shared" si="188"/>
        <v/>
      </c>
      <c r="DF136" s="145" t="str">
        <f t="shared" si="189"/>
        <v/>
      </c>
      <c r="DG136" s="81" t="str">
        <f t="shared" si="190"/>
        <v/>
      </c>
      <c r="DH136" s="81" t="str">
        <f t="shared" si="191"/>
        <v/>
      </c>
      <c r="DI136" s="81" t="str">
        <f t="shared" si="192"/>
        <v/>
      </c>
      <c r="DJ136" s="80" t="str">
        <f t="shared" si="193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1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0"/>
        <v/>
      </c>
      <c r="CP137" s="143">
        <f t="shared" si="21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4"/>
        <v/>
      </c>
      <c r="DB137" s="81" t="str">
        <f t="shared" si="185"/>
        <v/>
      </c>
      <c r="DC137" s="81" t="str">
        <f t="shared" si="186"/>
        <v/>
      </c>
      <c r="DD137" s="81" t="str">
        <f t="shared" si="187"/>
        <v/>
      </c>
      <c r="DE137" s="145" t="str">
        <f t="shared" si="188"/>
        <v/>
      </c>
      <c r="DF137" s="145" t="str">
        <f t="shared" si="189"/>
        <v/>
      </c>
      <c r="DG137" s="81" t="str">
        <f t="shared" si="190"/>
        <v/>
      </c>
      <c r="DH137" s="81" t="str">
        <f t="shared" si="191"/>
        <v/>
      </c>
      <c r="DI137" s="81" t="str">
        <f t="shared" si="192"/>
        <v/>
      </c>
      <c r="DJ137" s="80" t="str">
        <f t="shared" si="193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1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0"/>
        <v/>
      </c>
      <c r="CP138" s="143">
        <f t="shared" si="21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4"/>
        <v/>
      </c>
      <c r="DB138" s="81" t="str">
        <f t="shared" si="185"/>
        <v/>
      </c>
      <c r="DC138" s="81" t="str">
        <f t="shared" si="186"/>
        <v/>
      </c>
      <c r="DD138" s="81" t="str">
        <f t="shared" si="187"/>
        <v/>
      </c>
      <c r="DE138" s="145" t="str">
        <f t="shared" si="188"/>
        <v/>
      </c>
      <c r="DF138" s="145" t="str">
        <f t="shared" si="189"/>
        <v/>
      </c>
      <c r="DG138" s="81" t="str">
        <f t="shared" si="190"/>
        <v/>
      </c>
      <c r="DH138" s="81" t="str">
        <f t="shared" si="191"/>
        <v/>
      </c>
      <c r="DI138" s="81" t="str">
        <f t="shared" si="192"/>
        <v/>
      </c>
      <c r="DJ138" s="80" t="str">
        <f t="shared" si="193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1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0"/>
        <v/>
      </c>
      <c r="CP139" s="143">
        <f t="shared" si="21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4"/>
        <v/>
      </c>
      <c r="DB139" s="81" t="str">
        <f t="shared" si="185"/>
        <v/>
      </c>
      <c r="DC139" s="81" t="str">
        <f t="shared" si="186"/>
        <v/>
      </c>
      <c r="DD139" s="81" t="str">
        <f t="shared" si="187"/>
        <v/>
      </c>
      <c r="DE139" s="145" t="str">
        <f t="shared" si="188"/>
        <v/>
      </c>
      <c r="DF139" s="145" t="str">
        <f t="shared" si="189"/>
        <v/>
      </c>
      <c r="DG139" s="81" t="str">
        <f t="shared" si="190"/>
        <v/>
      </c>
      <c r="DH139" s="81" t="str">
        <f t="shared" si="191"/>
        <v/>
      </c>
      <c r="DI139" s="81" t="str">
        <f t="shared" si="192"/>
        <v/>
      </c>
      <c r="DJ139" s="80" t="str">
        <f t="shared" si="193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1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0"/>
        <v/>
      </c>
      <c r="CP140" s="143">
        <f t="shared" si="21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4"/>
        <v/>
      </c>
      <c r="DB140" s="81" t="str">
        <f t="shared" si="185"/>
        <v/>
      </c>
      <c r="DC140" s="81" t="str">
        <f t="shared" si="186"/>
        <v/>
      </c>
      <c r="DD140" s="81" t="str">
        <f t="shared" si="187"/>
        <v/>
      </c>
      <c r="DE140" s="145" t="str">
        <f t="shared" si="188"/>
        <v/>
      </c>
      <c r="DF140" s="145" t="str">
        <f t="shared" si="189"/>
        <v/>
      </c>
      <c r="DG140" s="81" t="str">
        <f t="shared" si="190"/>
        <v/>
      </c>
      <c r="DH140" s="81" t="str">
        <f t="shared" si="191"/>
        <v/>
      </c>
      <c r="DI140" s="81" t="str">
        <f t="shared" si="192"/>
        <v/>
      </c>
      <c r="DJ140" s="80" t="str">
        <f t="shared" si="193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1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4">IF(T134="","",SUM(T134,T136,-T137,-T138,-T139,T140))</f>
        <v/>
      </c>
      <c r="U141" s="321" t="str">
        <f t="shared" si="194"/>
        <v/>
      </c>
      <c r="V141" s="321" t="str">
        <f t="shared" si="194"/>
        <v/>
      </c>
      <c r="W141" s="321" t="str">
        <f t="shared" si="194"/>
        <v/>
      </c>
      <c r="X141" s="321" t="str">
        <f t="shared" si="194"/>
        <v/>
      </c>
      <c r="Y141" s="321" t="str">
        <f t="shared" si="194"/>
        <v/>
      </c>
      <c r="Z141" s="321" t="str">
        <f t="shared" si="194"/>
        <v/>
      </c>
      <c r="AA141" s="321" t="str">
        <f t="shared" si="194"/>
        <v/>
      </c>
      <c r="AB141" s="321" t="str">
        <f t="shared" si="194"/>
        <v/>
      </c>
      <c r="AC141" s="321" t="str">
        <f t="shared" si="194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0"/>
        <v/>
      </c>
      <c r="CP141" s="143">
        <f t="shared" si="21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4"/>
        <v/>
      </c>
      <c r="DB141" s="81" t="str">
        <f t="shared" si="185"/>
        <v/>
      </c>
      <c r="DC141" s="81" t="str">
        <f t="shared" si="186"/>
        <v/>
      </c>
      <c r="DD141" s="81" t="str">
        <f t="shared" si="187"/>
        <v/>
      </c>
      <c r="DE141" s="145" t="str">
        <f t="shared" si="188"/>
        <v/>
      </c>
      <c r="DF141" s="145" t="str">
        <f t="shared" si="189"/>
        <v/>
      </c>
      <c r="DG141" s="81" t="str">
        <f t="shared" si="190"/>
        <v/>
      </c>
      <c r="DH141" s="81" t="str">
        <f t="shared" si="191"/>
        <v/>
      </c>
      <c r="DI141" s="81" t="str">
        <f t="shared" si="192"/>
        <v/>
      </c>
      <c r="DJ141" s="80" t="str">
        <f t="shared" si="193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5">$B$10</f>
        <v>Temp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0"/>
        <v/>
      </c>
      <c r="CP142" s="143">
        <f t="shared" si="21"/>
        <v>0</v>
      </c>
      <c r="CQ142" s="144" t="str">
        <f t="shared" ref="CQ142:CV143" si="196">IF(OR(-FLOOR(((17-COUNT($C142:$S142))/2),1)+CQ$5&lt;1,-FLOOR(((17-COUNT($C142:$S142))/2),1)+CQ$5&gt;COUNT($C142:$S142)),"",LARGE($C142:$S142,-FLOOR(((17-COUNT($C142:$S142))/2),1)+CQ$5))</f>
        <v/>
      </c>
      <c r="CR142" s="81" t="str">
        <f t="shared" si="196"/>
        <v/>
      </c>
      <c r="CS142" s="81" t="str">
        <f t="shared" si="196"/>
        <v/>
      </c>
      <c r="CT142" s="81" t="str">
        <f t="shared" si="196"/>
        <v/>
      </c>
      <c r="CU142" s="145" t="str">
        <f t="shared" si="196"/>
        <v/>
      </c>
      <c r="CV142" s="145" t="str">
        <f t="shared" si="196"/>
        <v/>
      </c>
      <c r="CW142" s="81" t="str">
        <f t="shared" ref="CW142:CZ143" si="197">IF(OR(-FLOOR(((17-COUNT($C142:$S142))/2),1)+CW$5&lt;1,-FLOOR(((17-COUNT($C142:$S142))/2),1)+CW$5&gt;COUNT($C142:$S142)),"",LARGE($C142:$S142,-FLOOR(((17-COUNT($C142:$S142))/2),1)+CW$5))</f>
        <v/>
      </c>
      <c r="CX142" s="81" t="str">
        <f t="shared" si="197"/>
        <v/>
      </c>
      <c r="CY142" s="81" t="str">
        <f t="shared" si="197"/>
        <v/>
      </c>
      <c r="CZ142" s="1367" t="str">
        <f t="shared" si="197"/>
        <v/>
      </c>
      <c r="DA142" s="144" t="str">
        <f t="shared" ref="DA142:DA149" si="198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199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0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1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2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3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4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5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06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07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5"/>
        <v>Temp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0"/>
        <v/>
      </c>
      <c r="CP143" s="143">
        <f t="shared" si="21"/>
        <v>0</v>
      </c>
      <c r="CQ143" s="144" t="str">
        <f t="shared" si="196"/>
        <v/>
      </c>
      <c r="CR143" s="81" t="str">
        <f t="shared" si="196"/>
        <v/>
      </c>
      <c r="CS143" s="81" t="str">
        <f t="shared" si="196"/>
        <v/>
      </c>
      <c r="CT143" s="81" t="str">
        <f t="shared" si="196"/>
        <v/>
      </c>
      <c r="CU143" s="145" t="str">
        <f t="shared" si="196"/>
        <v/>
      </c>
      <c r="CV143" s="145" t="str">
        <f t="shared" si="196"/>
        <v/>
      </c>
      <c r="CW143" s="81" t="str">
        <f t="shared" si="197"/>
        <v/>
      </c>
      <c r="CX143" s="81" t="str">
        <f t="shared" si="197"/>
        <v/>
      </c>
      <c r="CY143" s="81" t="str">
        <f t="shared" si="197"/>
        <v/>
      </c>
      <c r="CZ143" s="1367" t="str">
        <f t="shared" si="197"/>
        <v/>
      </c>
      <c r="DA143" s="144" t="str">
        <f t="shared" si="198"/>
        <v/>
      </c>
      <c r="DB143" s="81" t="str">
        <f t="shared" si="199"/>
        <v/>
      </c>
      <c r="DC143" s="81" t="str">
        <f t="shared" si="200"/>
        <v/>
      </c>
      <c r="DD143" s="81" t="str">
        <f t="shared" si="201"/>
        <v/>
      </c>
      <c r="DE143" s="145" t="str">
        <f t="shared" si="202"/>
        <v/>
      </c>
      <c r="DF143" s="145" t="str">
        <f t="shared" si="203"/>
        <v/>
      </c>
      <c r="DG143" s="81" t="str">
        <f t="shared" si="204"/>
        <v/>
      </c>
      <c r="DH143" s="81" t="str">
        <f t="shared" si="205"/>
        <v/>
      </c>
      <c r="DI143" s="81" t="str">
        <f t="shared" si="206"/>
        <v/>
      </c>
      <c r="DJ143" s="80" t="str">
        <f t="shared" si="207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5"/>
        <v>Temp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0"/>
        <v/>
      </c>
      <c r="CP144" s="143">
        <f t="shared" si="21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198"/>
        <v/>
      </c>
      <c r="DB144" s="81" t="str">
        <f t="shared" si="199"/>
        <v/>
      </c>
      <c r="DC144" s="81" t="str">
        <f t="shared" si="200"/>
        <v/>
      </c>
      <c r="DD144" s="81" t="str">
        <f t="shared" si="201"/>
        <v/>
      </c>
      <c r="DE144" s="145" t="str">
        <f t="shared" si="202"/>
        <v/>
      </c>
      <c r="DF144" s="145" t="str">
        <f t="shared" si="203"/>
        <v/>
      </c>
      <c r="DG144" s="81" t="str">
        <f t="shared" si="204"/>
        <v/>
      </c>
      <c r="DH144" s="81" t="str">
        <f t="shared" si="205"/>
        <v/>
      </c>
      <c r="DI144" s="81" t="str">
        <f t="shared" si="206"/>
        <v/>
      </c>
      <c r="DJ144" s="80" t="str">
        <f t="shared" si="207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5"/>
        <v>Temp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0"/>
        <v/>
      </c>
      <c r="CP145" s="143">
        <f t="shared" si="21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198"/>
        <v/>
      </c>
      <c r="DB145" s="81" t="str">
        <f t="shared" si="199"/>
        <v/>
      </c>
      <c r="DC145" s="81" t="str">
        <f t="shared" si="200"/>
        <v/>
      </c>
      <c r="DD145" s="81" t="str">
        <f t="shared" si="201"/>
        <v/>
      </c>
      <c r="DE145" s="145" t="str">
        <f t="shared" si="202"/>
        <v/>
      </c>
      <c r="DF145" s="145" t="str">
        <f t="shared" si="203"/>
        <v/>
      </c>
      <c r="DG145" s="81" t="str">
        <f t="shared" si="204"/>
        <v/>
      </c>
      <c r="DH145" s="81" t="str">
        <f t="shared" si="205"/>
        <v/>
      </c>
      <c r="DI145" s="81" t="str">
        <f t="shared" si="206"/>
        <v/>
      </c>
      <c r="DJ145" s="80" t="str">
        <f t="shared" si="207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5"/>
        <v>Temp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0"/>
        <v/>
      </c>
      <c r="CP146" s="143">
        <f t="shared" si="21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198"/>
        <v/>
      </c>
      <c r="DB146" s="81" t="str">
        <f t="shared" si="199"/>
        <v/>
      </c>
      <c r="DC146" s="81" t="str">
        <f t="shared" si="200"/>
        <v/>
      </c>
      <c r="DD146" s="81" t="str">
        <f t="shared" si="201"/>
        <v/>
      </c>
      <c r="DE146" s="145" t="str">
        <f t="shared" si="202"/>
        <v/>
      </c>
      <c r="DF146" s="145" t="str">
        <f t="shared" si="203"/>
        <v/>
      </c>
      <c r="DG146" s="81" t="str">
        <f t="shared" si="204"/>
        <v/>
      </c>
      <c r="DH146" s="81" t="str">
        <f t="shared" si="205"/>
        <v/>
      </c>
      <c r="DI146" s="81" t="str">
        <f t="shared" si="206"/>
        <v/>
      </c>
      <c r="DJ146" s="80" t="str">
        <f t="shared" si="207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5"/>
        <v>Temp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0"/>
        <v/>
      </c>
      <c r="CP147" s="143">
        <f t="shared" si="21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198"/>
        <v/>
      </c>
      <c r="DB147" s="81" t="str">
        <f t="shared" si="199"/>
        <v/>
      </c>
      <c r="DC147" s="81" t="str">
        <f t="shared" si="200"/>
        <v/>
      </c>
      <c r="DD147" s="81" t="str">
        <f t="shared" si="201"/>
        <v/>
      </c>
      <c r="DE147" s="145" t="str">
        <f t="shared" si="202"/>
        <v/>
      </c>
      <c r="DF147" s="145" t="str">
        <f t="shared" si="203"/>
        <v/>
      </c>
      <c r="DG147" s="81" t="str">
        <f t="shared" si="204"/>
        <v/>
      </c>
      <c r="DH147" s="81" t="str">
        <f t="shared" si="205"/>
        <v/>
      </c>
      <c r="DI147" s="81" t="str">
        <f t="shared" si="206"/>
        <v/>
      </c>
      <c r="DJ147" s="80" t="str">
        <f t="shared" si="207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5"/>
        <v>Temp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0"/>
        <v/>
      </c>
      <c r="CP148" s="143">
        <f t="shared" si="21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198"/>
        <v/>
      </c>
      <c r="DB148" s="81" t="str">
        <f t="shared" si="199"/>
        <v/>
      </c>
      <c r="DC148" s="81" t="str">
        <f t="shared" si="200"/>
        <v/>
      </c>
      <c r="DD148" s="81" t="str">
        <f t="shared" si="201"/>
        <v/>
      </c>
      <c r="DE148" s="145" t="str">
        <f t="shared" si="202"/>
        <v/>
      </c>
      <c r="DF148" s="145" t="str">
        <f t="shared" si="203"/>
        <v/>
      </c>
      <c r="DG148" s="81" t="str">
        <f t="shared" si="204"/>
        <v/>
      </c>
      <c r="DH148" s="81" t="str">
        <f t="shared" si="205"/>
        <v/>
      </c>
      <c r="DI148" s="81" t="str">
        <f t="shared" si="206"/>
        <v/>
      </c>
      <c r="DJ148" s="80" t="str">
        <f t="shared" si="207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5"/>
        <v>Temp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08">IF(AK142="","",SUM(AK142,AK144,-AK145,-AK146,-AK147,AK148))</f>
        <v/>
      </c>
      <c r="AL149" s="321" t="str">
        <f t="shared" si="208"/>
        <v/>
      </c>
      <c r="AM149" s="321" t="str">
        <f t="shared" si="208"/>
        <v/>
      </c>
      <c r="AN149" s="321" t="str">
        <f t="shared" si="208"/>
        <v/>
      </c>
      <c r="AO149" s="321" t="str">
        <f t="shared" si="208"/>
        <v/>
      </c>
      <c r="AP149" s="321" t="str">
        <f t="shared" si="208"/>
        <v/>
      </c>
      <c r="AQ149" s="321" t="str">
        <f t="shared" si="208"/>
        <v/>
      </c>
      <c r="AR149" s="321" t="str">
        <f t="shared" si="208"/>
        <v/>
      </c>
      <c r="AS149" s="321" t="str">
        <f t="shared" si="208"/>
        <v/>
      </c>
      <c r="AT149" s="321" t="str">
        <f t="shared" si="208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0"/>
        <v/>
      </c>
      <c r="CP149" s="143">
        <f t="shared" si="21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198"/>
        <v/>
      </c>
      <c r="DB149" s="81" t="str">
        <f t="shared" si="199"/>
        <v/>
      </c>
      <c r="DC149" s="81" t="str">
        <f t="shared" si="200"/>
        <v/>
      </c>
      <c r="DD149" s="81" t="str">
        <f t="shared" si="201"/>
        <v/>
      </c>
      <c r="DE149" s="145" t="str">
        <f t="shared" si="202"/>
        <v/>
      </c>
      <c r="DF149" s="145" t="str">
        <f t="shared" si="203"/>
        <v/>
      </c>
      <c r="DG149" s="81" t="str">
        <f t="shared" si="204"/>
        <v/>
      </c>
      <c r="DH149" s="81" t="str">
        <f t="shared" si="205"/>
        <v/>
      </c>
      <c r="DI149" s="81" t="str">
        <f t="shared" si="206"/>
        <v/>
      </c>
      <c r="DJ149" s="80" t="str">
        <f t="shared" si="207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09">$B$11</f>
        <v>Ftime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0"/>
        <v/>
      </c>
      <c r="CP150" s="143">
        <f t="shared" si="21"/>
        <v>0</v>
      </c>
      <c r="CQ150" s="144" t="str">
        <f t="shared" ref="CQ150:CV151" si="210">IF(OR(-FLOOR(((17-COUNT($C150:$S150))/2),1)+CQ$5&lt;1,-FLOOR(((17-COUNT($C150:$S150))/2),1)+CQ$5&gt;COUNT($C150:$S150)),"",LARGE($C150:$S150,-FLOOR(((17-COUNT($C150:$S150))/2),1)+CQ$5))</f>
        <v/>
      </c>
      <c r="CR150" s="81" t="str">
        <f t="shared" si="210"/>
        <v/>
      </c>
      <c r="CS150" s="81" t="str">
        <f t="shared" si="210"/>
        <v/>
      </c>
      <c r="CT150" s="81" t="str">
        <f t="shared" si="210"/>
        <v/>
      </c>
      <c r="CU150" s="145" t="str">
        <f t="shared" si="210"/>
        <v/>
      </c>
      <c r="CV150" s="145" t="str">
        <f t="shared" si="210"/>
        <v/>
      </c>
      <c r="CW150" s="81" t="str">
        <f t="shared" ref="CW150:CZ151" si="211">IF(OR(-FLOOR(((17-COUNT($C150:$S150))/2),1)+CW$5&lt;1,-FLOOR(((17-COUNT($C150:$S150))/2),1)+CW$5&gt;COUNT($C150:$S150)),"",LARGE($C150:$S150,-FLOOR(((17-COUNT($C150:$S150))/2),1)+CW$5))</f>
        <v/>
      </c>
      <c r="CX150" s="81" t="str">
        <f t="shared" si="211"/>
        <v/>
      </c>
      <c r="CY150" s="81" t="str">
        <f t="shared" si="211"/>
        <v/>
      </c>
      <c r="CZ150" s="1367" t="str">
        <f t="shared" si="211"/>
        <v/>
      </c>
      <c r="DA150" s="144" t="str">
        <f t="shared" ref="DA150:DA157" si="212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3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4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5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16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17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18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19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0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1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09"/>
        <v>Ftime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0"/>
        <v/>
      </c>
      <c r="CP151" s="143">
        <f t="shared" si="21"/>
        <v>0</v>
      </c>
      <c r="CQ151" s="144" t="str">
        <f t="shared" si="210"/>
        <v/>
      </c>
      <c r="CR151" s="81" t="str">
        <f t="shared" si="210"/>
        <v/>
      </c>
      <c r="CS151" s="81" t="str">
        <f t="shared" si="210"/>
        <v/>
      </c>
      <c r="CT151" s="81" t="str">
        <f t="shared" si="210"/>
        <v/>
      </c>
      <c r="CU151" s="145" t="str">
        <f t="shared" si="210"/>
        <v/>
      </c>
      <c r="CV151" s="145" t="str">
        <f t="shared" si="210"/>
        <v/>
      </c>
      <c r="CW151" s="81" t="str">
        <f t="shared" si="211"/>
        <v/>
      </c>
      <c r="CX151" s="81" t="str">
        <f t="shared" si="211"/>
        <v/>
      </c>
      <c r="CY151" s="81" t="str">
        <f t="shared" si="211"/>
        <v/>
      </c>
      <c r="CZ151" s="1367" t="str">
        <f t="shared" si="211"/>
        <v/>
      </c>
      <c r="DA151" s="144" t="str">
        <f t="shared" si="212"/>
        <v/>
      </c>
      <c r="DB151" s="81" t="str">
        <f t="shared" si="213"/>
        <v/>
      </c>
      <c r="DC151" s="81" t="str">
        <f t="shared" si="214"/>
        <v/>
      </c>
      <c r="DD151" s="81" t="str">
        <f t="shared" si="215"/>
        <v/>
      </c>
      <c r="DE151" s="145" t="str">
        <f t="shared" si="216"/>
        <v/>
      </c>
      <c r="DF151" s="145" t="str">
        <f t="shared" si="217"/>
        <v/>
      </c>
      <c r="DG151" s="81" t="str">
        <f t="shared" si="218"/>
        <v/>
      </c>
      <c r="DH151" s="81" t="str">
        <f t="shared" si="219"/>
        <v/>
      </c>
      <c r="DI151" s="81" t="str">
        <f t="shared" si="220"/>
        <v/>
      </c>
      <c r="DJ151" s="80" t="str">
        <f t="shared" si="221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09"/>
        <v>Ftime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0"/>
        <v/>
      </c>
      <c r="CP152" s="143">
        <f t="shared" si="21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2"/>
        <v/>
      </c>
      <c r="DB152" s="81" t="str">
        <f t="shared" si="213"/>
        <v/>
      </c>
      <c r="DC152" s="81" t="str">
        <f t="shared" si="214"/>
        <v/>
      </c>
      <c r="DD152" s="81" t="str">
        <f t="shared" si="215"/>
        <v/>
      </c>
      <c r="DE152" s="145" t="str">
        <f t="shared" si="216"/>
        <v/>
      </c>
      <c r="DF152" s="145" t="str">
        <f t="shared" si="217"/>
        <v/>
      </c>
      <c r="DG152" s="81" t="str">
        <f t="shared" si="218"/>
        <v/>
      </c>
      <c r="DH152" s="81" t="str">
        <f t="shared" si="219"/>
        <v/>
      </c>
      <c r="DI152" s="81" t="str">
        <f t="shared" si="220"/>
        <v/>
      </c>
      <c r="DJ152" s="80" t="str">
        <f t="shared" si="221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09"/>
        <v>Ftime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0"/>
        <v/>
      </c>
      <c r="CP153" s="143">
        <f t="shared" si="21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2"/>
        <v/>
      </c>
      <c r="DB153" s="81" t="str">
        <f t="shared" si="213"/>
        <v/>
      </c>
      <c r="DC153" s="81" t="str">
        <f t="shared" si="214"/>
        <v/>
      </c>
      <c r="DD153" s="81" t="str">
        <f t="shared" si="215"/>
        <v/>
      </c>
      <c r="DE153" s="145" t="str">
        <f t="shared" si="216"/>
        <v/>
      </c>
      <c r="DF153" s="145" t="str">
        <f t="shared" si="217"/>
        <v/>
      </c>
      <c r="DG153" s="81" t="str">
        <f t="shared" si="218"/>
        <v/>
      </c>
      <c r="DH153" s="81" t="str">
        <f t="shared" si="219"/>
        <v/>
      </c>
      <c r="DI153" s="81" t="str">
        <f t="shared" si="220"/>
        <v/>
      </c>
      <c r="DJ153" s="80" t="str">
        <f t="shared" si="221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09"/>
        <v>Ftime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0"/>
        <v/>
      </c>
      <c r="CP154" s="143">
        <f t="shared" si="21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2"/>
        <v/>
      </c>
      <c r="DB154" s="81" t="str">
        <f t="shared" si="213"/>
        <v/>
      </c>
      <c r="DC154" s="81" t="str">
        <f t="shared" si="214"/>
        <v/>
      </c>
      <c r="DD154" s="81" t="str">
        <f t="shared" si="215"/>
        <v/>
      </c>
      <c r="DE154" s="145" t="str">
        <f t="shared" si="216"/>
        <v/>
      </c>
      <c r="DF154" s="145" t="str">
        <f t="shared" si="217"/>
        <v/>
      </c>
      <c r="DG154" s="81" t="str">
        <f t="shared" si="218"/>
        <v/>
      </c>
      <c r="DH154" s="81" t="str">
        <f t="shared" si="219"/>
        <v/>
      </c>
      <c r="DI154" s="81" t="str">
        <f t="shared" si="220"/>
        <v/>
      </c>
      <c r="DJ154" s="80" t="str">
        <f t="shared" si="221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09"/>
        <v>Ftime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0"/>
        <v/>
      </c>
      <c r="CP155" s="143">
        <f t="shared" si="21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2"/>
        <v/>
      </c>
      <c r="DB155" s="81" t="str">
        <f t="shared" si="213"/>
        <v/>
      </c>
      <c r="DC155" s="81" t="str">
        <f t="shared" si="214"/>
        <v/>
      </c>
      <c r="DD155" s="81" t="str">
        <f t="shared" si="215"/>
        <v/>
      </c>
      <c r="DE155" s="145" t="str">
        <f t="shared" si="216"/>
        <v/>
      </c>
      <c r="DF155" s="145" t="str">
        <f t="shared" si="217"/>
        <v/>
      </c>
      <c r="DG155" s="81" t="str">
        <f t="shared" si="218"/>
        <v/>
      </c>
      <c r="DH155" s="81" t="str">
        <f t="shared" si="219"/>
        <v/>
      </c>
      <c r="DI155" s="81" t="str">
        <f t="shared" si="220"/>
        <v/>
      </c>
      <c r="DJ155" s="80" t="str">
        <f t="shared" si="221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09"/>
        <v>Ftime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0"/>
        <v/>
      </c>
      <c r="CP156" s="143">
        <f t="shared" si="21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2"/>
        <v/>
      </c>
      <c r="DB156" s="81" t="str">
        <f t="shared" si="213"/>
        <v/>
      </c>
      <c r="DC156" s="81" t="str">
        <f t="shared" si="214"/>
        <v/>
      </c>
      <c r="DD156" s="81" t="str">
        <f t="shared" si="215"/>
        <v/>
      </c>
      <c r="DE156" s="145" t="str">
        <f t="shared" si="216"/>
        <v/>
      </c>
      <c r="DF156" s="145" t="str">
        <f t="shared" si="217"/>
        <v/>
      </c>
      <c r="DG156" s="81" t="str">
        <f t="shared" si="218"/>
        <v/>
      </c>
      <c r="DH156" s="81" t="str">
        <f t="shared" si="219"/>
        <v/>
      </c>
      <c r="DI156" s="81" t="str">
        <f t="shared" si="220"/>
        <v/>
      </c>
      <c r="DJ156" s="80" t="str">
        <f t="shared" si="221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09"/>
        <v>Ftime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2">IF(BB150="","",SUM(BB150,BB152,-BB153,-BB154,-BB155,BB156))</f>
        <v/>
      </c>
      <c r="BC157" s="321" t="str">
        <f t="shared" si="222"/>
        <v/>
      </c>
      <c r="BD157" s="321" t="str">
        <f t="shared" si="222"/>
        <v/>
      </c>
      <c r="BE157" s="321" t="str">
        <f t="shared" si="222"/>
        <v/>
      </c>
      <c r="BF157" s="321" t="str">
        <f t="shared" si="222"/>
        <v/>
      </c>
      <c r="BG157" s="321" t="str">
        <f t="shared" si="222"/>
        <v/>
      </c>
      <c r="BH157" s="321" t="str">
        <f t="shared" si="222"/>
        <v/>
      </c>
      <c r="BI157" s="321" t="str">
        <f t="shared" si="222"/>
        <v/>
      </c>
      <c r="BJ157" s="321" t="str">
        <f t="shared" si="222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0"/>
        <v/>
      </c>
      <c r="CP157" s="143">
        <f t="shared" si="21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2"/>
        <v/>
      </c>
      <c r="DB157" s="81" t="str">
        <f t="shared" si="213"/>
        <v/>
      </c>
      <c r="DC157" s="81" t="str">
        <f t="shared" si="214"/>
        <v/>
      </c>
      <c r="DD157" s="81" t="str">
        <f t="shared" si="215"/>
        <v/>
      </c>
      <c r="DE157" s="145" t="str">
        <f t="shared" si="216"/>
        <v/>
      </c>
      <c r="DF157" s="145" t="str">
        <f t="shared" si="217"/>
        <v/>
      </c>
      <c r="DG157" s="81" t="str">
        <f t="shared" si="218"/>
        <v/>
      </c>
      <c r="DH157" s="81" t="str">
        <f t="shared" si="219"/>
        <v/>
      </c>
      <c r="DI157" s="81" t="str">
        <f t="shared" si="220"/>
        <v/>
      </c>
      <c r="DJ157" s="80" t="str">
        <f t="shared" si="221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3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0"/>
        <v/>
      </c>
      <c r="CP158" s="143">
        <f t="shared" si="21"/>
        <v>0</v>
      </c>
      <c r="CQ158" s="144" t="str">
        <f t="shared" ref="CQ158:CV159" si="224">IF(OR(-FLOOR(((17-COUNT($C158:$S158))/2),1)+CQ$5&lt;1,-FLOOR(((17-COUNT($C158:$S158))/2),1)+CQ$5&gt;COUNT($C158:$S158)),"",LARGE($C158:$S158,-FLOOR(((17-COUNT($C158:$S158))/2),1)+CQ$5))</f>
        <v/>
      </c>
      <c r="CR158" s="81" t="str">
        <f t="shared" si="224"/>
        <v/>
      </c>
      <c r="CS158" s="81" t="str">
        <f t="shared" si="224"/>
        <v/>
      </c>
      <c r="CT158" s="81" t="str">
        <f t="shared" si="224"/>
        <v/>
      </c>
      <c r="CU158" s="145" t="str">
        <f t="shared" si="224"/>
        <v/>
      </c>
      <c r="CV158" s="145" t="str">
        <f t="shared" si="224"/>
        <v/>
      </c>
      <c r="CW158" s="81" t="str">
        <f t="shared" ref="CW158:CZ159" si="225">IF(OR(-FLOOR(((17-COUNT($C158:$S158))/2),1)+CW$5&lt;1,-FLOOR(((17-COUNT($C158:$S158))/2),1)+CW$5&gt;COUNT($C158:$S158)),"",LARGE($C158:$S158,-FLOOR(((17-COUNT($C158:$S158))/2),1)+CW$5))</f>
        <v/>
      </c>
      <c r="CX158" s="81" t="str">
        <f t="shared" si="225"/>
        <v/>
      </c>
      <c r="CY158" s="81" t="str">
        <f t="shared" si="225"/>
        <v/>
      </c>
      <c r="CZ158" s="1367" t="str">
        <f t="shared" si="225"/>
        <v/>
      </c>
      <c r="DA158" s="144" t="str">
        <f t="shared" ref="DA158:DA165" si="226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27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28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29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0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1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2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3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4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5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3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0"/>
        <v/>
      </c>
      <c r="CP159" s="143">
        <f t="shared" si="21"/>
        <v>0</v>
      </c>
      <c r="CQ159" s="144" t="str">
        <f t="shared" si="224"/>
        <v/>
      </c>
      <c r="CR159" s="81" t="str">
        <f t="shared" si="224"/>
        <v/>
      </c>
      <c r="CS159" s="81" t="str">
        <f t="shared" si="224"/>
        <v/>
      </c>
      <c r="CT159" s="81" t="str">
        <f t="shared" si="224"/>
        <v/>
      </c>
      <c r="CU159" s="145" t="str">
        <f t="shared" si="224"/>
        <v/>
      </c>
      <c r="CV159" s="145" t="str">
        <f t="shared" si="224"/>
        <v/>
      </c>
      <c r="CW159" s="81" t="str">
        <f t="shared" si="225"/>
        <v/>
      </c>
      <c r="CX159" s="81" t="str">
        <f t="shared" si="225"/>
        <v/>
      </c>
      <c r="CY159" s="81" t="str">
        <f t="shared" si="225"/>
        <v/>
      </c>
      <c r="CZ159" s="1367" t="str">
        <f t="shared" si="225"/>
        <v/>
      </c>
      <c r="DA159" s="144" t="str">
        <f t="shared" si="226"/>
        <v/>
      </c>
      <c r="DB159" s="81" t="str">
        <f t="shared" si="227"/>
        <v/>
      </c>
      <c r="DC159" s="81" t="str">
        <f t="shared" si="228"/>
        <v/>
      </c>
      <c r="DD159" s="81" t="str">
        <f t="shared" si="229"/>
        <v/>
      </c>
      <c r="DE159" s="145" t="str">
        <f t="shared" si="230"/>
        <v/>
      </c>
      <c r="DF159" s="145" t="str">
        <f t="shared" si="231"/>
        <v/>
      </c>
      <c r="DG159" s="81" t="str">
        <f t="shared" si="232"/>
        <v/>
      </c>
      <c r="DH159" s="81" t="str">
        <f t="shared" si="233"/>
        <v/>
      </c>
      <c r="DI159" s="81" t="str">
        <f t="shared" si="234"/>
        <v/>
      </c>
      <c r="DJ159" s="80" t="str">
        <f t="shared" si="235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3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0"/>
        <v/>
      </c>
      <c r="CP160" s="143">
        <f t="shared" si="21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26"/>
        <v/>
      </c>
      <c r="DB160" s="81" t="str">
        <f t="shared" si="227"/>
        <v/>
      </c>
      <c r="DC160" s="81" t="str">
        <f t="shared" si="228"/>
        <v/>
      </c>
      <c r="DD160" s="81" t="str">
        <f t="shared" si="229"/>
        <v/>
      </c>
      <c r="DE160" s="145" t="str">
        <f t="shared" si="230"/>
        <v/>
      </c>
      <c r="DF160" s="145" t="str">
        <f t="shared" si="231"/>
        <v/>
      </c>
      <c r="DG160" s="81" t="str">
        <f t="shared" si="232"/>
        <v/>
      </c>
      <c r="DH160" s="81" t="str">
        <f t="shared" si="233"/>
        <v/>
      </c>
      <c r="DI160" s="81" t="str">
        <f t="shared" si="234"/>
        <v/>
      </c>
      <c r="DJ160" s="80" t="str">
        <f t="shared" si="235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3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0"/>
        <v/>
      </c>
      <c r="CP161" s="143">
        <f t="shared" si="21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26"/>
        <v/>
      </c>
      <c r="DB161" s="81" t="str">
        <f t="shared" si="227"/>
        <v/>
      </c>
      <c r="DC161" s="81" t="str">
        <f t="shared" si="228"/>
        <v/>
      </c>
      <c r="DD161" s="81" t="str">
        <f t="shared" si="229"/>
        <v/>
      </c>
      <c r="DE161" s="145" t="str">
        <f t="shared" si="230"/>
        <v/>
      </c>
      <c r="DF161" s="145" t="str">
        <f t="shared" si="231"/>
        <v/>
      </c>
      <c r="DG161" s="81" t="str">
        <f t="shared" si="232"/>
        <v/>
      </c>
      <c r="DH161" s="81" t="str">
        <f t="shared" si="233"/>
        <v/>
      </c>
      <c r="DI161" s="81" t="str">
        <f t="shared" si="234"/>
        <v/>
      </c>
      <c r="DJ161" s="80" t="str">
        <f t="shared" si="235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3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0"/>
        <v/>
      </c>
      <c r="CP162" s="143">
        <f t="shared" si="21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26"/>
        <v/>
      </c>
      <c r="DB162" s="81" t="str">
        <f t="shared" si="227"/>
        <v/>
      </c>
      <c r="DC162" s="81" t="str">
        <f t="shared" si="228"/>
        <v/>
      </c>
      <c r="DD162" s="81" t="str">
        <f t="shared" si="229"/>
        <v/>
      </c>
      <c r="DE162" s="145" t="str">
        <f t="shared" si="230"/>
        <v/>
      </c>
      <c r="DF162" s="145" t="str">
        <f t="shared" si="231"/>
        <v/>
      </c>
      <c r="DG162" s="81" t="str">
        <f t="shared" si="232"/>
        <v/>
      </c>
      <c r="DH162" s="81" t="str">
        <f t="shared" si="233"/>
        <v/>
      </c>
      <c r="DI162" s="81" t="str">
        <f t="shared" si="234"/>
        <v/>
      </c>
      <c r="DJ162" s="80" t="str">
        <f t="shared" si="235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3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0"/>
        <v/>
      </c>
      <c r="CP163" s="143">
        <f t="shared" si="21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26"/>
        <v/>
      </c>
      <c r="DB163" s="81" t="str">
        <f t="shared" si="227"/>
        <v/>
      </c>
      <c r="DC163" s="81" t="str">
        <f t="shared" si="228"/>
        <v/>
      </c>
      <c r="DD163" s="81" t="str">
        <f t="shared" si="229"/>
        <v/>
      </c>
      <c r="DE163" s="145" t="str">
        <f t="shared" si="230"/>
        <v/>
      </c>
      <c r="DF163" s="145" t="str">
        <f t="shared" si="231"/>
        <v/>
      </c>
      <c r="DG163" s="81" t="str">
        <f t="shared" si="232"/>
        <v/>
      </c>
      <c r="DH163" s="81" t="str">
        <f t="shared" si="233"/>
        <v/>
      </c>
      <c r="DI163" s="81" t="str">
        <f t="shared" si="234"/>
        <v/>
      </c>
      <c r="DJ163" s="80" t="str">
        <f t="shared" si="235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3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0"/>
        <v/>
      </c>
      <c r="CP164" s="143">
        <f t="shared" si="21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26"/>
        <v/>
      </c>
      <c r="DB164" s="81" t="str">
        <f t="shared" si="227"/>
        <v/>
      </c>
      <c r="DC164" s="81" t="str">
        <f t="shared" si="228"/>
        <v/>
      </c>
      <c r="DD164" s="81" t="str">
        <f t="shared" si="229"/>
        <v/>
      </c>
      <c r="DE164" s="145" t="str">
        <f t="shared" si="230"/>
        <v/>
      </c>
      <c r="DF164" s="145" t="str">
        <f t="shared" si="231"/>
        <v/>
      </c>
      <c r="DG164" s="81" t="str">
        <f t="shared" si="232"/>
        <v/>
      </c>
      <c r="DH164" s="81" t="str">
        <f t="shared" si="233"/>
        <v/>
      </c>
      <c r="DI164" s="81" t="str">
        <f t="shared" si="234"/>
        <v/>
      </c>
      <c r="DJ164" s="80" t="str">
        <f t="shared" si="235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3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 t="shared" ref="BS165:CB165" si="236">IF(BS158="","",SUM(BS158,BS160,-BS161,-BS162,-BS163,BS164))</f>
        <v/>
      </c>
      <c r="BT165" s="321" t="str">
        <f t="shared" si="236"/>
        <v/>
      </c>
      <c r="BU165" s="321" t="str">
        <f t="shared" si="236"/>
        <v/>
      </c>
      <c r="BV165" s="321" t="str">
        <f t="shared" si="236"/>
        <v/>
      </c>
      <c r="BW165" s="321" t="str">
        <f t="shared" si="236"/>
        <v/>
      </c>
      <c r="BX165" s="321" t="str">
        <f t="shared" si="236"/>
        <v/>
      </c>
      <c r="BY165" s="321" t="str">
        <f t="shared" si="236"/>
        <v/>
      </c>
      <c r="BZ165" s="321" t="str">
        <f t="shared" si="236"/>
        <v/>
      </c>
      <c r="CA165" s="321" t="str">
        <f t="shared" si="236"/>
        <v/>
      </c>
      <c r="CB165" s="321" t="str">
        <f t="shared" si="236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0"/>
        <v/>
      </c>
      <c r="CP165" s="143">
        <f t="shared" si="21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26"/>
        <v/>
      </c>
      <c r="DB165" s="81" t="str">
        <f t="shared" si="227"/>
        <v/>
      </c>
      <c r="DC165" s="81" t="str">
        <f t="shared" si="228"/>
        <v/>
      </c>
      <c r="DD165" s="81" t="str">
        <f t="shared" si="229"/>
        <v/>
      </c>
      <c r="DE165" s="145" t="str">
        <f t="shared" si="230"/>
        <v/>
      </c>
      <c r="DF165" s="145" t="str">
        <f t="shared" si="231"/>
        <v/>
      </c>
      <c r="DG165" s="81" t="str">
        <f t="shared" si="232"/>
        <v/>
      </c>
      <c r="DH165" s="81" t="str">
        <f t="shared" si="233"/>
        <v/>
      </c>
      <c r="DI165" s="81" t="str">
        <f t="shared" si="234"/>
        <v/>
      </c>
      <c r="DJ165" s="80" t="str">
        <f t="shared" si="235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0"/>
        <v/>
      </c>
      <c r="CP166" s="143">
        <f t="shared" si="21"/>
        <v>0</v>
      </c>
      <c r="CQ166" s="144" t="str">
        <f t="shared" ref="CQ166:CQ197" si="237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38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39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0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1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2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3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4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45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46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47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47"/>
        <v/>
      </c>
      <c r="DC166" s="81" t="str">
        <f t="shared" si="247"/>
        <v/>
      </c>
      <c r="DD166" s="81" t="str">
        <f t="shared" si="247"/>
        <v/>
      </c>
      <c r="DE166" s="145" t="str">
        <f t="shared" si="247"/>
        <v/>
      </c>
      <c r="DF166" s="145" t="str">
        <f t="shared" si="247"/>
        <v/>
      </c>
      <c r="DG166" s="81" t="str">
        <f t="shared" si="247"/>
        <v/>
      </c>
      <c r="DH166" s="81" t="str">
        <f t="shared" si="247"/>
        <v/>
      </c>
      <c r="DI166" s="81" t="str">
        <f t="shared" si="247"/>
        <v/>
      </c>
      <c r="DJ166" s="80" t="str">
        <f t="shared" si="247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Temp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0"/>
        <v/>
      </c>
      <c r="CP167" s="143">
        <f t="shared" si="21"/>
        <v>0</v>
      </c>
      <c r="CQ167" s="144" t="str">
        <f t="shared" si="237"/>
        <v/>
      </c>
      <c r="CR167" s="81" t="str">
        <f t="shared" si="238"/>
        <v/>
      </c>
      <c r="CS167" s="81" t="str">
        <f t="shared" si="239"/>
        <v/>
      </c>
      <c r="CT167" s="81" t="str">
        <f t="shared" si="240"/>
        <v/>
      </c>
      <c r="CU167" s="145" t="str">
        <f t="shared" si="241"/>
        <v/>
      </c>
      <c r="CV167" s="145" t="str">
        <f t="shared" si="242"/>
        <v/>
      </c>
      <c r="CW167" s="81" t="str">
        <f t="shared" si="243"/>
        <v/>
      </c>
      <c r="CX167" s="81" t="str">
        <f t="shared" si="244"/>
        <v/>
      </c>
      <c r="CY167" s="81" t="str">
        <f t="shared" si="245"/>
        <v/>
      </c>
      <c r="CZ167" s="1367" t="str">
        <f t="shared" si="246"/>
        <v/>
      </c>
      <c r="DA167" s="144" t="str">
        <f t="shared" ref="DA167:DJ167" si="248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48"/>
        <v/>
      </c>
      <c r="DC167" s="81" t="str">
        <f t="shared" si="248"/>
        <v/>
      </c>
      <c r="DD167" s="81" t="str">
        <f t="shared" si="248"/>
        <v/>
      </c>
      <c r="DE167" s="145" t="str">
        <f t="shared" si="248"/>
        <v/>
      </c>
      <c r="DF167" s="145" t="str">
        <f t="shared" si="248"/>
        <v/>
      </c>
      <c r="DG167" s="81" t="str">
        <f t="shared" si="248"/>
        <v/>
      </c>
      <c r="DH167" s="81" t="str">
        <f t="shared" si="248"/>
        <v/>
      </c>
      <c r="DI167" s="81" t="str">
        <f t="shared" si="248"/>
        <v/>
      </c>
      <c r="DJ167" s="80" t="str">
        <f t="shared" si="248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Ftime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0"/>
        <v/>
      </c>
      <c r="CP168" s="143">
        <f t="shared" si="21"/>
        <v>0</v>
      </c>
      <c r="CQ168" s="144" t="str">
        <f t="shared" si="237"/>
        <v/>
      </c>
      <c r="CR168" s="81" t="str">
        <f t="shared" si="238"/>
        <v/>
      </c>
      <c r="CS168" s="81" t="str">
        <f t="shared" si="239"/>
        <v/>
      </c>
      <c r="CT168" s="81" t="str">
        <f t="shared" si="240"/>
        <v/>
      </c>
      <c r="CU168" s="145" t="str">
        <f t="shared" si="241"/>
        <v/>
      </c>
      <c r="CV168" s="145" t="str">
        <f t="shared" si="242"/>
        <v/>
      </c>
      <c r="CW168" s="81" t="str">
        <f t="shared" si="243"/>
        <v/>
      </c>
      <c r="CX168" s="81" t="str">
        <f t="shared" si="244"/>
        <v/>
      </c>
      <c r="CY168" s="81" t="str">
        <f t="shared" si="245"/>
        <v/>
      </c>
      <c r="CZ168" s="1367" t="str">
        <f t="shared" si="246"/>
        <v/>
      </c>
      <c r="DA168" s="144" t="str">
        <f t="shared" ref="DA168:DJ168" si="249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49"/>
        <v/>
      </c>
      <c r="DC168" s="81" t="str">
        <f t="shared" si="249"/>
        <v/>
      </c>
      <c r="DD168" s="81" t="str">
        <f t="shared" si="249"/>
        <v/>
      </c>
      <c r="DE168" s="145" t="str">
        <f t="shared" si="249"/>
        <v/>
      </c>
      <c r="DF168" s="145" t="str">
        <f t="shared" si="249"/>
        <v/>
      </c>
      <c r="DG168" s="81" t="str">
        <f t="shared" si="249"/>
        <v/>
      </c>
      <c r="DH168" s="81" t="str">
        <f t="shared" si="249"/>
        <v/>
      </c>
      <c r="DI168" s="81" t="str">
        <f t="shared" si="249"/>
        <v/>
      </c>
      <c r="DJ168" s="80" t="str">
        <f t="shared" si="249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0"/>
        <v/>
      </c>
      <c r="CP169" s="143">
        <f t="shared" si="21"/>
        <v>0</v>
      </c>
      <c r="CQ169" s="144" t="str">
        <f t="shared" si="237"/>
        <v/>
      </c>
      <c r="CR169" s="81" t="str">
        <f t="shared" si="238"/>
        <v/>
      </c>
      <c r="CS169" s="81" t="str">
        <f t="shared" si="239"/>
        <v/>
      </c>
      <c r="CT169" s="81" t="str">
        <f t="shared" si="240"/>
        <v/>
      </c>
      <c r="CU169" s="145" t="str">
        <f t="shared" si="241"/>
        <v/>
      </c>
      <c r="CV169" s="145" t="str">
        <f t="shared" si="242"/>
        <v/>
      </c>
      <c r="CW169" s="81" t="str">
        <f t="shared" si="243"/>
        <v/>
      </c>
      <c r="CX169" s="81" t="str">
        <f t="shared" si="244"/>
        <v/>
      </c>
      <c r="CY169" s="81" t="str">
        <f t="shared" si="245"/>
        <v/>
      </c>
      <c r="CZ169" s="1367" t="str">
        <f t="shared" si="246"/>
        <v/>
      </c>
      <c r="DA169" s="144" t="str">
        <f t="shared" ref="DA169:DJ169" si="250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0"/>
        <v/>
      </c>
      <c r="DC169" s="81" t="str">
        <f t="shared" si="250"/>
        <v/>
      </c>
      <c r="DD169" s="81" t="str">
        <f t="shared" si="250"/>
        <v/>
      </c>
      <c r="DE169" s="145" t="str">
        <f t="shared" si="250"/>
        <v/>
      </c>
      <c r="DF169" s="145" t="str">
        <f t="shared" si="250"/>
        <v/>
      </c>
      <c r="DG169" s="81" t="str">
        <f t="shared" si="250"/>
        <v/>
      </c>
      <c r="DH169" s="81" t="str">
        <f t="shared" si="250"/>
        <v/>
      </c>
      <c r="DI169" s="81" t="str">
        <f t="shared" si="250"/>
        <v/>
      </c>
      <c r="DJ169" s="80" t="str">
        <f t="shared" si="250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0"/>
        <v/>
      </c>
      <c r="CP170" s="143">
        <f t="shared" si="21"/>
        <v>0</v>
      </c>
      <c r="CQ170" s="144" t="str">
        <f t="shared" si="237"/>
        <v/>
      </c>
      <c r="CR170" s="81" t="str">
        <f t="shared" si="238"/>
        <v/>
      </c>
      <c r="CS170" s="81" t="str">
        <f t="shared" si="239"/>
        <v/>
      </c>
      <c r="CT170" s="81" t="str">
        <f t="shared" si="240"/>
        <v/>
      </c>
      <c r="CU170" s="145" t="str">
        <f t="shared" si="241"/>
        <v/>
      </c>
      <c r="CV170" s="145" t="str">
        <f t="shared" si="242"/>
        <v/>
      </c>
      <c r="CW170" s="81" t="str">
        <f t="shared" si="243"/>
        <v/>
      </c>
      <c r="CX170" s="81" t="str">
        <f t="shared" si="244"/>
        <v/>
      </c>
      <c r="CY170" s="81" t="str">
        <f t="shared" si="245"/>
        <v/>
      </c>
      <c r="CZ170" s="1367" t="str">
        <f t="shared" si="246"/>
        <v/>
      </c>
      <c r="DA170" s="144" t="str">
        <f t="shared" ref="DA170:DJ170" si="251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1"/>
        <v/>
      </c>
      <c r="DC170" s="81" t="str">
        <f t="shared" si="251"/>
        <v/>
      </c>
      <c r="DD170" s="81" t="str">
        <f t="shared" si="251"/>
        <v/>
      </c>
      <c r="DE170" s="145" t="str">
        <f t="shared" si="251"/>
        <v/>
      </c>
      <c r="DF170" s="145" t="str">
        <f t="shared" si="251"/>
        <v/>
      </c>
      <c r="DG170" s="81" t="str">
        <f t="shared" si="251"/>
        <v/>
      </c>
      <c r="DH170" s="81" t="str">
        <f t="shared" si="251"/>
        <v/>
      </c>
      <c r="DI170" s="81" t="str">
        <f t="shared" si="251"/>
        <v/>
      </c>
      <c r="DJ170" s="80" t="str">
        <f t="shared" si="251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Temp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0"/>
        <v/>
      </c>
      <c r="CP171" s="143">
        <f t="shared" si="21"/>
        <v>0</v>
      </c>
      <c r="CQ171" s="144" t="str">
        <f t="shared" si="237"/>
        <v/>
      </c>
      <c r="CR171" s="81" t="str">
        <f t="shared" si="238"/>
        <v/>
      </c>
      <c r="CS171" s="81" t="str">
        <f t="shared" si="239"/>
        <v/>
      </c>
      <c r="CT171" s="81" t="str">
        <f t="shared" si="240"/>
        <v/>
      </c>
      <c r="CU171" s="145" t="str">
        <f t="shared" si="241"/>
        <v/>
      </c>
      <c r="CV171" s="145" t="str">
        <f t="shared" si="242"/>
        <v/>
      </c>
      <c r="CW171" s="81" t="str">
        <f t="shared" si="243"/>
        <v/>
      </c>
      <c r="CX171" s="81" t="str">
        <f t="shared" si="244"/>
        <v/>
      </c>
      <c r="CY171" s="81" t="str">
        <f t="shared" si="245"/>
        <v/>
      </c>
      <c r="CZ171" s="1367" t="str">
        <f t="shared" si="246"/>
        <v/>
      </c>
      <c r="DA171" s="144" t="str">
        <f t="shared" ref="DA171:DJ171" si="252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2"/>
        <v/>
      </c>
      <c r="DC171" s="81" t="str">
        <f t="shared" si="252"/>
        <v/>
      </c>
      <c r="DD171" s="81" t="str">
        <f t="shared" si="252"/>
        <v/>
      </c>
      <c r="DE171" s="145" t="str">
        <f t="shared" si="252"/>
        <v/>
      </c>
      <c r="DF171" s="145" t="str">
        <f t="shared" si="252"/>
        <v/>
      </c>
      <c r="DG171" s="81" t="str">
        <f t="shared" si="252"/>
        <v/>
      </c>
      <c r="DH171" s="81" t="str">
        <f t="shared" si="252"/>
        <v/>
      </c>
      <c r="DI171" s="81" t="str">
        <f t="shared" si="252"/>
        <v/>
      </c>
      <c r="DJ171" s="80" t="str">
        <f t="shared" si="252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Ftime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0"/>
        <v/>
      </c>
      <c r="CP172" s="143">
        <f t="shared" si="21"/>
        <v>0</v>
      </c>
      <c r="CQ172" s="144" t="str">
        <f t="shared" si="237"/>
        <v/>
      </c>
      <c r="CR172" s="81" t="str">
        <f t="shared" si="238"/>
        <v/>
      </c>
      <c r="CS172" s="81" t="str">
        <f t="shared" si="239"/>
        <v/>
      </c>
      <c r="CT172" s="81" t="str">
        <f t="shared" si="240"/>
        <v/>
      </c>
      <c r="CU172" s="145" t="str">
        <f t="shared" si="241"/>
        <v/>
      </c>
      <c r="CV172" s="145" t="str">
        <f t="shared" si="242"/>
        <v/>
      </c>
      <c r="CW172" s="81" t="str">
        <f t="shared" si="243"/>
        <v/>
      </c>
      <c r="CX172" s="81" t="str">
        <f t="shared" si="244"/>
        <v/>
      </c>
      <c r="CY172" s="81" t="str">
        <f t="shared" si="245"/>
        <v/>
      </c>
      <c r="CZ172" s="1367" t="str">
        <f t="shared" si="246"/>
        <v/>
      </c>
      <c r="DA172" s="144" t="str">
        <f t="shared" ref="DA172:DJ172" si="253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3"/>
        <v/>
      </c>
      <c r="DC172" s="81" t="str">
        <f t="shared" si="253"/>
        <v/>
      </c>
      <c r="DD172" s="81" t="str">
        <f t="shared" si="253"/>
        <v/>
      </c>
      <c r="DE172" s="145" t="str">
        <f t="shared" si="253"/>
        <v/>
      </c>
      <c r="DF172" s="145" t="str">
        <f t="shared" si="253"/>
        <v/>
      </c>
      <c r="DG172" s="81" t="str">
        <f t="shared" si="253"/>
        <v/>
      </c>
      <c r="DH172" s="81" t="str">
        <f t="shared" si="253"/>
        <v/>
      </c>
      <c r="DI172" s="81" t="str">
        <f t="shared" si="253"/>
        <v/>
      </c>
      <c r="DJ172" s="80" t="str">
        <f t="shared" si="253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0"/>
        <v/>
      </c>
      <c r="CP173" s="143">
        <f t="shared" si="21"/>
        <v>0</v>
      </c>
      <c r="CQ173" s="144" t="str">
        <f t="shared" si="237"/>
        <v/>
      </c>
      <c r="CR173" s="81" t="str">
        <f t="shared" si="238"/>
        <v/>
      </c>
      <c r="CS173" s="81" t="str">
        <f t="shared" si="239"/>
        <v/>
      </c>
      <c r="CT173" s="81" t="str">
        <f t="shared" si="240"/>
        <v/>
      </c>
      <c r="CU173" s="145" t="str">
        <f t="shared" si="241"/>
        <v/>
      </c>
      <c r="CV173" s="145" t="str">
        <f t="shared" si="242"/>
        <v/>
      </c>
      <c r="CW173" s="81" t="str">
        <f t="shared" si="243"/>
        <v/>
      </c>
      <c r="CX173" s="81" t="str">
        <f t="shared" si="244"/>
        <v/>
      </c>
      <c r="CY173" s="81" t="str">
        <f t="shared" si="245"/>
        <v/>
      </c>
      <c r="CZ173" s="1367" t="str">
        <f t="shared" si="246"/>
        <v/>
      </c>
      <c r="DA173" s="144" t="str">
        <f t="shared" ref="DA173:DJ173" si="254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4"/>
        <v/>
      </c>
      <c r="DC173" s="81" t="str">
        <f t="shared" si="254"/>
        <v/>
      </c>
      <c r="DD173" s="81" t="str">
        <f t="shared" si="254"/>
        <v/>
      </c>
      <c r="DE173" s="145" t="str">
        <f t="shared" si="254"/>
        <v/>
      </c>
      <c r="DF173" s="145" t="str">
        <f t="shared" si="254"/>
        <v/>
      </c>
      <c r="DG173" s="81" t="str">
        <f t="shared" si="254"/>
        <v/>
      </c>
      <c r="DH173" s="81" t="str">
        <f t="shared" si="254"/>
        <v/>
      </c>
      <c r="DI173" s="81" t="str">
        <f t="shared" si="254"/>
        <v/>
      </c>
      <c r="DJ173" s="80" t="str">
        <f t="shared" si="254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0"/>
        <v/>
      </c>
      <c r="CP174" s="143">
        <f t="shared" si="21"/>
        <v>0</v>
      </c>
      <c r="CQ174" s="144" t="str">
        <f t="shared" si="237"/>
        <v/>
      </c>
      <c r="CR174" s="81" t="str">
        <f t="shared" si="238"/>
        <v/>
      </c>
      <c r="CS174" s="81" t="str">
        <f t="shared" si="239"/>
        <v/>
      </c>
      <c r="CT174" s="81" t="str">
        <f t="shared" si="240"/>
        <v/>
      </c>
      <c r="CU174" s="145" t="str">
        <f t="shared" si="241"/>
        <v/>
      </c>
      <c r="CV174" s="145" t="str">
        <f t="shared" si="242"/>
        <v/>
      </c>
      <c r="CW174" s="81" t="str">
        <f t="shared" si="243"/>
        <v/>
      </c>
      <c r="CX174" s="81" t="str">
        <f t="shared" si="244"/>
        <v/>
      </c>
      <c r="CY174" s="81" t="str">
        <f t="shared" si="245"/>
        <v/>
      </c>
      <c r="CZ174" s="1367" t="str">
        <f t="shared" si="246"/>
        <v/>
      </c>
      <c r="DA174" s="144" t="str">
        <f t="shared" ref="DA174:DJ174" si="255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55"/>
        <v/>
      </c>
      <c r="DC174" s="81" t="str">
        <f t="shared" si="255"/>
        <v/>
      </c>
      <c r="DD174" s="81" t="str">
        <f t="shared" si="255"/>
        <v/>
      </c>
      <c r="DE174" s="145" t="str">
        <f t="shared" si="255"/>
        <v/>
      </c>
      <c r="DF174" s="145" t="str">
        <f t="shared" si="255"/>
        <v/>
      </c>
      <c r="DG174" s="81" t="str">
        <f t="shared" si="255"/>
        <v/>
      </c>
      <c r="DH174" s="81" t="str">
        <f t="shared" si="255"/>
        <v/>
      </c>
      <c r="DI174" s="81" t="str">
        <f t="shared" si="255"/>
        <v/>
      </c>
      <c r="DJ174" s="80" t="str">
        <f t="shared" si="255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Temp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0"/>
        <v/>
      </c>
      <c r="CP175" s="143">
        <f t="shared" si="21"/>
        <v>0</v>
      </c>
      <c r="CQ175" s="144" t="str">
        <f t="shared" si="237"/>
        <v/>
      </c>
      <c r="CR175" s="81" t="str">
        <f t="shared" si="238"/>
        <v/>
      </c>
      <c r="CS175" s="81" t="str">
        <f t="shared" si="239"/>
        <v/>
      </c>
      <c r="CT175" s="81" t="str">
        <f t="shared" si="240"/>
        <v/>
      </c>
      <c r="CU175" s="145" t="str">
        <f t="shared" si="241"/>
        <v/>
      </c>
      <c r="CV175" s="145" t="str">
        <f t="shared" si="242"/>
        <v/>
      </c>
      <c r="CW175" s="81" t="str">
        <f t="shared" si="243"/>
        <v/>
      </c>
      <c r="CX175" s="81" t="str">
        <f t="shared" si="244"/>
        <v/>
      </c>
      <c r="CY175" s="81" t="str">
        <f t="shared" si="245"/>
        <v/>
      </c>
      <c r="CZ175" s="1367" t="str">
        <f t="shared" si="246"/>
        <v/>
      </c>
      <c r="DA175" s="144" t="str">
        <f t="shared" ref="DA175:DJ175" si="256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56"/>
        <v/>
      </c>
      <c r="DC175" s="81" t="str">
        <f t="shared" si="256"/>
        <v/>
      </c>
      <c r="DD175" s="81" t="str">
        <f t="shared" si="256"/>
        <v/>
      </c>
      <c r="DE175" s="145" t="str">
        <f t="shared" si="256"/>
        <v/>
      </c>
      <c r="DF175" s="145" t="str">
        <f t="shared" si="256"/>
        <v/>
      </c>
      <c r="DG175" s="81" t="str">
        <f t="shared" si="256"/>
        <v/>
      </c>
      <c r="DH175" s="81" t="str">
        <f t="shared" si="256"/>
        <v/>
      </c>
      <c r="DI175" s="81" t="str">
        <f t="shared" si="256"/>
        <v/>
      </c>
      <c r="DJ175" s="80" t="str">
        <f t="shared" si="256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Ftime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0"/>
        <v/>
      </c>
      <c r="CP176" s="143">
        <f t="shared" si="21"/>
        <v>1</v>
      </c>
      <c r="CQ176" s="144" t="str">
        <f t="shared" si="237"/>
        <v/>
      </c>
      <c r="CR176" s="81" t="str">
        <f t="shared" si="238"/>
        <v/>
      </c>
      <c r="CS176" s="81" t="str">
        <f t="shared" si="239"/>
        <v/>
      </c>
      <c r="CT176" s="81" t="str">
        <f t="shared" si="240"/>
        <v/>
      </c>
      <c r="CU176" s="145" t="str">
        <f t="shared" si="241"/>
        <v/>
      </c>
      <c r="CV176" s="145" t="str">
        <f t="shared" si="242"/>
        <v/>
      </c>
      <c r="CW176" s="81" t="str">
        <f t="shared" si="243"/>
        <v/>
      </c>
      <c r="CX176" s="81" t="str">
        <f t="shared" si="244"/>
        <v/>
      </c>
      <c r="CY176" s="81" t="str">
        <f t="shared" si="245"/>
        <v/>
      </c>
      <c r="CZ176" s="1367" t="str">
        <f t="shared" si="246"/>
        <v/>
      </c>
      <c r="DA176" s="144" t="str">
        <f t="shared" ref="DA176:DJ176" si="257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57"/>
        <v/>
      </c>
      <c r="DC176" s="81" t="str">
        <f t="shared" si="257"/>
        <v/>
      </c>
      <c r="DD176" s="81" t="str">
        <f t="shared" si="257"/>
        <v/>
      </c>
      <c r="DE176" s="145" t="str">
        <f t="shared" si="257"/>
        <v/>
      </c>
      <c r="DF176" s="145" t="str">
        <f t="shared" si="257"/>
        <v/>
      </c>
      <c r="DG176" s="81" t="str">
        <f t="shared" si="257"/>
        <v/>
      </c>
      <c r="DH176" s="81" t="str">
        <f t="shared" si="257"/>
        <v/>
      </c>
      <c r="DI176" s="81" t="str">
        <f t="shared" si="257"/>
        <v/>
      </c>
      <c r="DJ176" s="80" t="str">
        <f t="shared" si="257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0"/>
        <v/>
      </c>
      <c r="CP177" s="143">
        <f t="shared" si="21"/>
        <v>0</v>
      </c>
      <c r="CQ177" s="144" t="str">
        <f t="shared" si="237"/>
        <v/>
      </c>
      <c r="CR177" s="81" t="str">
        <f t="shared" si="238"/>
        <v/>
      </c>
      <c r="CS177" s="81" t="str">
        <f t="shared" si="239"/>
        <v/>
      </c>
      <c r="CT177" s="81" t="str">
        <f t="shared" si="240"/>
        <v/>
      </c>
      <c r="CU177" s="145" t="str">
        <f t="shared" si="241"/>
        <v/>
      </c>
      <c r="CV177" s="145" t="str">
        <f t="shared" si="242"/>
        <v/>
      </c>
      <c r="CW177" s="81" t="str">
        <f t="shared" si="243"/>
        <v/>
      </c>
      <c r="CX177" s="81" t="str">
        <f t="shared" si="244"/>
        <v/>
      </c>
      <c r="CY177" s="81" t="str">
        <f t="shared" si="245"/>
        <v/>
      </c>
      <c r="CZ177" s="1367" t="str">
        <f t="shared" si="246"/>
        <v/>
      </c>
      <c r="DA177" s="144" t="str">
        <f t="shared" ref="DA177:DJ177" si="258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58"/>
        <v/>
      </c>
      <c r="DC177" s="81" t="str">
        <f t="shared" si="258"/>
        <v/>
      </c>
      <c r="DD177" s="81" t="str">
        <f t="shared" si="258"/>
        <v/>
      </c>
      <c r="DE177" s="145" t="str">
        <f t="shared" si="258"/>
        <v/>
      </c>
      <c r="DF177" s="145" t="str">
        <f t="shared" si="258"/>
        <v/>
      </c>
      <c r="DG177" s="81" t="str">
        <f t="shared" si="258"/>
        <v/>
      </c>
      <c r="DH177" s="81" t="str">
        <f t="shared" si="258"/>
        <v/>
      </c>
      <c r="DI177" s="81" t="str">
        <f t="shared" si="258"/>
        <v/>
      </c>
      <c r="DJ177" s="80" t="str">
        <f t="shared" si="258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0"/>
        <v/>
      </c>
      <c r="CP178" s="143">
        <f t="shared" si="21"/>
        <v>0</v>
      </c>
      <c r="CQ178" s="144" t="str">
        <f t="shared" si="237"/>
        <v/>
      </c>
      <c r="CR178" s="81" t="str">
        <f t="shared" si="238"/>
        <v/>
      </c>
      <c r="CS178" s="81" t="str">
        <f t="shared" si="239"/>
        <v/>
      </c>
      <c r="CT178" s="81" t="str">
        <f t="shared" si="240"/>
        <v/>
      </c>
      <c r="CU178" s="145" t="str">
        <f t="shared" si="241"/>
        <v/>
      </c>
      <c r="CV178" s="145" t="str">
        <f t="shared" si="242"/>
        <v/>
      </c>
      <c r="CW178" s="81" t="str">
        <f t="shared" si="243"/>
        <v/>
      </c>
      <c r="CX178" s="81" t="str">
        <f t="shared" si="244"/>
        <v/>
      </c>
      <c r="CY178" s="81" t="str">
        <f t="shared" si="245"/>
        <v/>
      </c>
      <c r="CZ178" s="1367" t="str">
        <f t="shared" si="246"/>
        <v/>
      </c>
      <c r="DA178" s="144" t="str">
        <f t="shared" ref="DA178:DJ178" si="259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59"/>
        <v/>
      </c>
      <c r="DC178" s="81" t="str">
        <f t="shared" si="259"/>
        <v/>
      </c>
      <c r="DD178" s="81" t="str">
        <f t="shared" si="259"/>
        <v/>
      </c>
      <c r="DE178" s="145" t="str">
        <f t="shared" si="259"/>
        <v/>
      </c>
      <c r="DF178" s="145" t="str">
        <f t="shared" si="259"/>
        <v/>
      </c>
      <c r="DG178" s="81" t="str">
        <f t="shared" si="259"/>
        <v/>
      </c>
      <c r="DH178" s="81" t="str">
        <f t="shared" si="259"/>
        <v/>
      </c>
      <c r="DI178" s="81" t="str">
        <f t="shared" si="259"/>
        <v/>
      </c>
      <c r="DJ178" s="80" t="str">
        <f t="shared" si="259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Temp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0"/>
        <v/>
      </c>
      <c r="CP179" s="143">
        <f t="shared" si="21"/>
        <v>0</v>
      </c>
      <c r="CQ179" s="144" t="str">
        <f t="shared" si="237"/>
        <v/>
      </c>
      <c r="CR179" s="81" t="str">
        <f t="shared" si="238"/>
        <v/>
      </c>
      <c r="CS179" s="81" t="str">
        <f t="shared" si="239"/>
        <v/>
      </c>
      <c r="CT179" s="81" t="str">
        <f t="shared" si="240"/>
        <v/>
      </c>
      <c r="CU179" s="145" t="str">
        <f t="shared" si="241"/>
        <v/>
      </c>
      <c r="CV179" s="145" t="str">
        <f t="shared" si="242"/>
        <v/>
      </c>
      <c r="CW179" s="81" t="str">
        <f t="shared" si="243"/>
        <v/>
      </c>
      <c r="CX179" s="81" t="str">
        <f t="shared" si="244"/>
        <v/>
      </c>
      <c r="CY179" s="81" t="str">
        <f t="shared" si="245"/>
        <v/>
      </c>
      <c r="CZ179" s="1367" t="str">
        <f t="shared" si="246"/>
        <v/>
      </c>
      <c r="DA179" s="144" t="str">
        <f t="shared" ref="DA179:DJ179" si="260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0"/>
        <v/>
      </c>
      <c r="DC179" s="81" t="str">
        <f t="shared" si="260"/>
        <v/>
      </c>
      <c r="DD179" s="81" t="str">
        <f t="shared" si="260"/>
        <v/>
      </c>
      <c r="DE179" s="145" t="str">
        <f t="shared" si="260"/>
        <v/>
      </c>
      <c r="DF179" s="145" t="str">
        <f t="shared" si="260"/>
        <v/>
      </c>
      <c r="DG179" s="81" t="str">
        <f t="shared" si="260"/>
        <v/>
      </c>
      <c r="DH179" s="81" t="str">
        <f t="shared" si="260"/>
        <v/>
      </c>
      <c r="DI179" s="81" t="str">
        <f t="shared" si="260"/>
        <v/>
      </c>
      <c r="DJ179" s="80" t="str">
        <f t="shared" si="260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Ftime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0"/>
        <v/>
      </c>
      <c r="CP180" s="143">
        <f t="shared" si="21"/>
        <v>0</v>
      </c>
      <c r="CQ180" s="144" t="str">
        <f t="shared" si="237"/>
        <v/>
      </c>
      <c r="CR180" s="81" t="str">
        <f t="shared" si="238"/>
        <v/>
      </c>
      <c r="CS180" s="81" t="str">
        <f t="shared" si="239"/>
        <v/>
      </c>
      <c r="CT180" s="81" t="str">
        <f t="shared" si="240"/>
        <v/>
      </c>
      <c r="CU180" s="145" t="str">
        <f t="shared" si="241"/>
        <v/>
      </c>
      <c r="CV180" s="145" t="str">
        <f t="shared" si="242"/>
        <v/>
      </c>
      <c r="CW180" s="81" t="str">
        <f t="shared" si="243"/>
        <v/>
      </c>
      <c r="CX180" s="81" t="str">
        <f t="shared" si="244"/>
        <v/>
      </c>
      <c r="CY180" s="81" t="str">
        <f t="shared" si="245"/>
        <v/>
      </c>
      <c r="CZ180" s="1367" t="str">
        <f t="shared" si="246"/>
        <v/>
      </c>
      <c r="DA180" s="144" t="str">
        <f t="shared" ref="DA180:DJ180" si="261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1"/>
        <v/>
      </c>
      <c r="DC180" s="81" t="str">
        <f t="shared" si="261"/>
        <v/>
      </c>
      <c r="DD180" s="81" t="str">
        <f t="shared" si="261"/>
        <v/>
      </c>
      <c r="DE180" s="145" t="str">
        <f t="shared" si="261"/>
        <v/>
      </c>
      <c r="DF180" s="145" t="str">
        <f t="shared" si="261"/>
        <v/>
      </c>
      <c r="DG180" s="81" t="str">
        <f t="shared" si="261"/>
        <v/>
      </c>
      <c r="DH180" s="81" t="str">
        <f t="shared" si="261"/>
        <v/>
      </c>
      <c r="DI180" s="81" t="str">
        <f t="shared" si="261"/>
        <v/>
      </c>
      <c r="DJ180" s="80" t="str">
        <f t="shared" si="261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0"/>
        <v/>
      </c>
      <c r="CP181" s="143">
        <f t="shared" si="21"/>
        <v>0</v>
      </c>
      <c r="CQ181" s="144" t="str">
        <f t="shared" si="237"/>
        <v/>
      </c>
      <c r="CR181" s="81" t="str">
        <f t="shared" si="238"/>
        <v/>
      </c>
      <c r="CS181" s="81" t="str">
        <f t="shared" si="239"/>
        <v/>
      </c>
      <c r="CT181" s="81" t="str">
        <f t="shared" si="240"/>
        <v/>
      </c>
      <c r="CU181" s="145" t="str">
        <f t="shared" si="241"/>
        <v/>
      </c>
      <c r="CV181" s="145" t="str">
        <f t="shared" si="242"/>
        <v/>
      </c>
      <c r="CW181" s="81" t="str">
        <f t="shared" si="243"/>
        <v/>
      </c>
      <c r="CX181" s="81" t="str">
        <f t="shared" si="244"/>
        <v/>
      </c>
      <c r="CY181" s="81" t="str">
        <f t="shared" si="245"/>
        <v/>
      </c>
      <c r="CZ181" s="1367" t="str">
        <f t="shared" si="246"/>
        <v/>
      </c>
      <c r="DA181" s="144" t="str">
        <f t="shared" ref="DA181:DJ181" si="262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2"/>
        <v/>
      </c>
      <c r="DC181" s="81" t="str">
        <f t="shared" si="262"/>
        <v/>
      </c>
      <c r="DD181" s="81" t="str">
        <f t="shared" si="262"/>
        <v/>
      </c>
      <c r="DE181" s="145" t="str">
        <f t="shared" si="262"/>
        <v/>
      </c>
      <c r="DF181" s="145" t="str">
        <f t="shared" si="262"/>
        <v/>
      </c>
      <c r="DG181" s="81" t="str">
        <f t="shared" si="262"/>
        <v/>
      </c>
      <c r="DH181" s="81" t="str">
        <f t="shared" si="262"/>
        <v/>
      </c>
      <c r="DI181" s="81" t="str">
        <f t="shared" si="262"/>
        <v/>
      </c>
      <c r="DJ181" s="80" t="str">
        <f t="shared" si="262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0"/>
        <v/>
      </c>
      <c r="CP182" s="143">
        <f t="shared" si="21"/>
        <v>0</v>
      </c>
      <c r="CQ182" s="144" t="str">
        <f t="shared" si="237"/>
        <v/>
      </c>
      <c r="CR182" s="81" t="str">
        <f t="shared" si="238"/>
        <v/>
      </c>
      <c r="CS182" s="81" t="str">
        <f t="shared" si="239"/>
        <v/>
      </c>
      <c r="CT182" s="81" t="str">
        <f t="shared" si="240"/>
        <v/>
      </c>
      <c r="CU182" s="145" t="str">
        <f t="shared" si="241"/>
        <v/>
      </c>
      <c r="CV182" s="145" t="str">
        <f t="shared" si="242"/>
        <v/>
      </c>
      <c r="CW182" s="81" t="str">
        <f t="shared" si="243"/>
        <v/>
      </c>
      <c r="CX182" s="81" t="str">
        <f t="shared" si="244"/>
        <v/>
      </c>
      <c r="CY182" s="81" t="str">
        <f t="shared" si="245"/>
        <v/>
      </c>
      <c r="CZ182" s="1367" t="str">
        <f t="shared" si="246"/>
        <v/>
      </c>
      <c r="DA182" s="144" t="str">
        <f t="shared" ref="DA182:DJ182" si="263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3"/>
        <v/>
      </c>
      <c r="DC182" s="81" t="str">
        <f t="shared" si="263"/>
        <v/>
      </c>
      <c r="DD182" s="81" t="str">
        <f t="shared" si="263"/>
        <v/>
      </c>
      <c r="DE182" s="145" t="str">
        <f t="shared" si="263"/>
        <v/>
      </c>
      <c r="DF182" s="145" t="str">
        <f t="shared" si="263"/>
        <v/>
      </c>
      <c r="DG182" s="81" t="str">
        <f t="shared" si="263"/>
        <v/>
      </c>
      <c r="DH182" s="81" t="str">
        <f t="shared" si="263"/>
        <v/>
      </c>
      <c r="DI182" s="81" t="str">
        <f t="shared" si="263"/>
        <v/>
      </c>
      <c r="DJ182" s="80" t="str">
        <f t="shared" si="263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Temp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0"/>
        <v/>
      </c>
      <c r="CP183" s="143">
        <f t="shared" si="21"/>
        <v>0</v>
      </c>
      <c r="CQ183" s="144" t="str">
        <f t="shared" si="237"/>
        <v/>
      </c>
      <c r="CR183" s="81" t="str">
        <f t="shared" si="238"/>
        <v/>
      </c>
      <c r="CS183" s="81" t="str">
        <f t="shared" si="239"/>
        <v/>
      </c>
      <c r="CT183" s="81" t="str">
        <f t="shared" si="240"/>
        <v/>
      </c>
      <c r="CU183" s="145" t="str">
        <f t="shared" si="241"/>
        <v/>
      </c>
      <c r="CV183" s="145" t="str">
        <f t="shared" si="242"/>
        <v/>
      </c>
      <c r="CW183" s="81" t="str">
        <f t="shared" si="243"/>
        <v/>
      </c>
      <c r="CX183" s="81" t="str">
        <f t="shared" si="244"/>
        <v/>
      </c>
      <c r="CY183" s="81" t="str">
        <f t="shared" si="245"/>
        <v/>
      </c>
      <c r="CZ183" s="1367" t="str">
        <f t="shared" si="246"/>
        <v/>
      </c>
      <c r="DA183" s="144" t="str">
        <f t="shared" ref="DA183:DJ183" si="264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4"/>
        <v/>
      </c>
      <c r="DC183" s="81" t="str">
        <f t="shared" si="264"/>
        <v/>
      </c>
      <c r="DD183" s="81" t="str">
        <f t="shared" si="264"/>
        <v/>
      </c>
      <c r="DE183" s="145" t="str">
        <f t="shared" si="264"/>
        <v/>
      </c>
      <c r="DF183" s="145" t="str">
        <f t="shared" si="264"/>
        <v/>
      </c>
      <c r="DG183" s="81" t="str">
        <f t="shared" si="264"/>
        <v/>
      </c>
      <c r="DH183" s="81" t="str">
        <f t="shared" si="264"/>
        <v/>
      </c>
      <c r="DI183" s="81" t="str">
        <f t="shared" si="264"/>
        <v/>
      </c>
      <c r="DJ183" s="80" t="str">
        <f t="shared" si="264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Ftime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0"/>
        <v/>
      </c>
      <c r="CP184" s="143">
        <f t="shared" si="21"/>
        <v>0</v>
      </c>
      <c r="CQ184" s="144" t="str">
        <f t="shared" si="237"/>
        <v/>
      </c>
      <c r="CR184" s="81" t="str">
        <f t="shared" si="238"/>
        <v/>
      </c>
      <c r="CS184" s="81" t="str">
        <f t="shared" si="239"/>
        <v/>
      </c>
      <c r="CT184" s="81" t="str">
        <f t="shared" si="240"/>
        <v/>
      </c>
      <c r="CU184" s="145" t="str">
        <f t="shared" si="241"/>
        <v/>
      </c>
      <c r="CV184" s="145" t="str">
        <f t="shared" si="242"/>
        <v/>
      </c>
      <c r="CW184" s="81" t="str">
        <f t="shared" si="243"/>
        <v/>
      </c>
      <c r="CX184" s="81" t="str">
        <f t="shared" si="244"/>
        <v/>
      </c>
      <c r="CY184" s="81" t="str">
        <f t="shared" si="245"/>
        <v/>
      </c>
      <c r="CZ184" s="1367" t="str">
        <f t="shared" si="246"/>
        <v/>
      </c>
      <c r="DA184" s="144" t="str">
        <f t="shared" ref="DA184:DJ184" si="265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65"/>
        <v/>
      </c>
      <c r="DC184" s="81" t="str">
        <f t="shared" si="265"/>
        <v/>
      </c>
      <c r="DD184" s="81" t="str">
        <f t="shared" si="265"/>
        <v/>
      </c>
      <c r="DE184" s="145" t="str">
        <f t="shared" si="265"/>
        <v/>
      </c>
      <c r="DF184" s="145" t="str">
        <f t="shared" si="265"/>
        <v/>
      </c>
      <c r="DG184" s="81" t="str">
        <f t="shared" si="265"/>
        <v/>
      </c>
      <c r="DH184" s="81" t="str">
        <f t="shared" si="265"/>
        <v/>
      </c>
      <c r="DI184" s="81" t="str">
        <f t="shared" si="265"/>
        <v/>
      </c>
      <c r="DJ184" s="80" t="str">
        <f t="shared" si="265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0"/>
        <v/>
      </c>
      <c r="CP185" s="143">
        <f t="shared" si="21"/>
        <v>0</v>
      </c>
      <c r="CQ185" s="144" t="str">
        <f t="shared" si="237"/>
        <v/>
      </c>
      <c r="CR185" s="81" t="str">
        <f t="shared" si="238"/>
        <v/>
      </c>
      <c r="CS185" s="81" t="str">
        <f t="shared" si="239"/>
        <v/>
      </c>
      <c r="CT185" s="81" t="str">
        <f t="shared" si="240"/>
        <v/>
      </c>
      <c r="CU185" s="145" t="str">
        <f t="shared" si="241"/>
        <v/>
      </c>
      <c r="CV185" s="145" t="str">
        <f t="shared" si="242"/>
        <v/>
      </c>
      <c r="CW185" s="81" t="str">
        <f t="shared" si="243"/>
        <v/>
      </c>
      <c r="CX185" s="81" t="str">
        <f t="shared" si="244"/>
        <v/>
      </c>
      <c r="CY185" s="81" t="str">
        <f t="shared" si="245"/>
        <v/>
      </c>
      <c r="CZ185" s="1367" t="str">
        <f t="shared" si="246"/>
        <v/>
      </c>
      <c r="DA185" s="144" t="str">
        <f t="shared" ref="DA185:DJ185" si="266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66"/>
        <v/>
      </c>
      <c r="DC185" s="81" t="str">
        <f t="shared" si="266"/>
        <v/>
      </c>
      <c r="DD185" s="81" t="str">
        <f t="shared" si="266"/>
        <v/>
      </c>
      <c r="DE185" s="145" t="str">
        <f t="shared" si="266"/>
        <v/>
      </c>
      <c r="DF185" s="145" t="str">
        <f t="shared" si="266"/>
        <v/>
      </c>
      <c r="DG185" s="81" t="str">
        <f t="shared" si="266"/>
        <v/>
      </c>
      <c r="DH185" s="81" t="str">
        <f t="shared" si="266"/>
        <v/>
      </c>
      <c r="DI185" s="81" t="str">
        <f t="shared" si="266"/>
        <v/>
      </c>
      <c r="DJ185" s="80" t="str">
        <f t="shared" si="266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0"/>
        <v/>
      </c>
      <c r="CP186" s="143">
        <f t="shared" si="21"/>
        <v>0</v>
      </c>
      <c r="CQ186" s="144" t="str">
        <f t="shared" si="237"/>
        <v/>
      </c>
      <c r="CR186" s="81" t="str">
        <f t="shared" si="238"/>
        <v/>
      </c>
      <c r="CS186" s="81" t="str">
        <f t="shared" si="239"/>
        <v/>
      </c>
      <c r="CT186" s="81" t="str">
        <f t="shared" si="240"/>
        <v/>
      </c>
      <c r="CU186" s="145" t="str">
        <f t="shared" si="241"/>
        <v/>
      </c>
      <c r="CV186" s="145" t="str">
        <f t="shared" si="242"/>
        <v/>
      </c>
      <c r="CW186" s="81" t="str">
        <f t="shared" si="243"/>
        <v/>
      </c>
      <c r="CX186" s="81" t="str">
        <f t="shared" si="244"/>
        <v/>
      </c>
      <c r="CY186" s="81" t="str">
        <f t="shared" si="245"/>
        <v/>
      </c>
      <c r="CZ186" s="1367" t="str">
        <f t="shared" si="246"/>
        <v/>
      </c>
      <c r="DA186" s="144" t="str">
        <f t="shared" ref="DA186:DJ186" si="267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67"/>
        <v/>
      </c>
      <c r="DC186" s="81" t="str">
        <f t="shared" si="267"/>
        <v/>
      </c>
      <c r="DD186" s="81" t="str">
        <f t="shared" si="267"/>
        <v/>
      </c>
      <c r="DE186" s="145" t="str">
        <f t="shared" si="267"/>
        <v/>
      </c>
      <c r="DF186" s="145" t="str">
        <f t="shared" si="267"/>
        <v/>
      </c>
      <c r="DG186" s="81" t="str">
        <f t="shared" si="267"/>
        <v/>
      </c>
      <c r="DH186" s="81" t="str">
        <f t="shared" si="267"/>
        <v/>
      </c>
      <c r="DI186" s="81" t="str">
        <f t="shared" si="267"/>
        <v/>
      </c>
      <c r="DJ186" s="80" t="str">
        <f t="shared" si="267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Temp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0"/>
        <v/>
      </c>
      <c r="CP187" s="143">
        <f t="shared" si="21"/>
        <v>0</v>
      </c>
      <c r="CQ187" s="144" t="str">
        <f t="shared" si="237"/>
        <v/>
      </c>
      <c r="CR187" s="81" t="str">
        <f t="shared" si="238"/>
        <v/>
      </c>
      <c r="CS187" s="81" t="str">
        <f t="shared" si="239"/>
        <v/>
      </c>
      <c r="CT187" s="81" t="str">
        <f t="shared" si="240"/>
        <v/>
      </c>
      <c r="CU187" s="145" t="str">
        <f t="shared" si="241"/>
        <v/>
      </c>
      <c r="CV187" s="145" t="str">
        <f t="shared" si="242"/>
        <v/>
      </c>
      <c r="CW187" s="81" t="str">
        <f t="shared" si="243"/>
        <v/>
      </c>
      <c r="CX187" s="81" t="str">
        <f t="shared" si="244"/>
        <v/>
      </c>
      <c r="CY187" s="81" t="str">
        <f t="shared" si="245"/>
        <v/>
      </c>
      <c r="CZ187" s="1367" t="str">
        <f t="shared" si="246"/>
        <v/>
      </c>
      <c r="DA187" s="144" t="str">
        <f t="shared" ref="DA187:DJ187" si="268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68"/>
        <v/>
      </c>
      <c r="DC187" s="81" t="str">
        <f t="shared" si="268"/>
        <v/>
      </c>
      <c r="DD187" s="81" t="str">
        <f t="shared" si="268"/>
        <v/>
      </c>
      <c r="DE187" s="145" t="str">
        <f t="shared" si="268"/>
        <v/>
      </c>
      <c r="DF187" s="145" t="str">
        <f t="shared" si="268"/>
        <v/>
      </c>
      <c r="DG187" s="81" t="str">
        <f t="shared" si="268"/>
        <v/>
      </c>
      <c r="DH187" s="81" t="str">
        <f t="shared" si="268"/>
        <v/>
      </c>
      <c r="DI187" s="81" t="str">
        <f t="shared" si="268"/>
        <v/>
      </c>
      <c r="DJ187" s="80" t="str">
        <f t="shared" si="268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Ftime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0"/>
        <v/>
      </c>
      <c r="CP188" s="143">
        <f t="shared" si="21"/>
        <v>0</v>
      </c>
      <c r="CQ188" s="144" t="str">
        <f t="shared" si="237"/>
        <v/>
      </c>
      <c r="CR188" s="81" t="str">
        <f t="shared" si="238"/>
        <v/>
      </c>
      <c r="CS188" s="81" t="str">
        <f t="shared" si="239"/>
        <v/>
      </c>
      <c r="CT188" s="81" t="str">
        <f t="shared" si="240"/>
        <v/>
      </c>
      <c r="CU188" s="145" t="str">
        <f t="shared" si="241"/>
        <v/>
      </c>
      <c r="CV188" s="145" t="str">
        <f t="shared" si="242"/>
        <v/>
      </c>
      <c r="CW188" s="81" t="str">
        <f t="shared" si="243"/>
        <v/>
      </c>
      <c r="CX188" s="81" t="str">
        <f t="shared" si="244"/>
        <v/>
      </c>
      <c r="CY188" s="81" t="str">
        <f t="shared" si="245"/>
        <v/>
      </c>
      <c r="CZ188" s="1367" t="str">
        <f t="shared" si="246"/>
        <v/>
      </c>
      <c r="DA188" s="144" t="str">
        <f t="shared" ref="DA188:DJ188" si="269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69"/>
        <v/>
      </c>
      <c r="DC188" s="81" t="str">
        <f t="shared" si="269"/>
        <v/>
      </c>
      <c r="DD188" s="81" t="str">
        <f t="shared" si="269"/>
        <v/>
      </c>
      <c r="DE188" s="145" t="str">
        <f t="shared" si="269"/>
        <v/>
      </c>
      <c r="DF188" s="145" t="str">
        <f t="shared" si="269"/>
        <v/>
      </c>
      <c r="DG188" s="81" t="str">
        <f t="shared" si="269"/>
        <v/>
      </c>
      <c r="DH188" s="81" t="str">
        <f t="shared" si="269"/>
        <v/>
      </c>
      <c r="DI188" s="81" t="str">
        <f t="shared" si="269"/>
        <v/>
      </c>
      <c r="DJ188" s="80" t="str">
        <f t="shared" si="269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0"/>
        <v/>
      </c>
      <c r="CP189" s="143">
        <f t="shared" si="21"/>
        <v>0</v>
      </c>
      <c r="CQ189" s="144" t="str">
        <f t="shared" si="237"/>
        <v/>
      </c>
      <c r="CR189" s="81" t="str">
        <f t="shared" si="238"/>
        <v/>
      </c>
      <c r="CS189" s="81" t="str">
        <f t="shared" si="239"/>
        <v/>
      </c>
      <c r="CT189" s="81" t="str">
        <f t="shared" si="240"/>
        <v/>
      </c>
      <c r="CU189" s="145" t="str">
        <f t="shared" si="241"/>
        <v/>
      </c>
      <c r="CV189" s="145" t="str">
        <f t="shared" si="242"/>
        <v/>
      </c>
      <c r="CW189" s="81" t="str">
        <f t="shared" si="243"/>
        <v/>
      </c>
      <c r="CX189" s="81" t="str">
        <f t="shared" si="244"/>
        <v/>
      </c>
      <c r="CY189" s="81" t="str">
        <f t="shared" si="245"/>
        <v/>
      </c>
      <c r="CZ189" s="1367" t="str">
        <f t="shared" si="246"/>
        <v/>
      </c>
      <c r="DA189" s="144" t="str">
        <f t="shared" ref="DA189:DJ189" si="270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0"/>
        <v/>
      </c>
      <c r="DC189" s="81" t="str">
        <f t="shared" si="270"/>
        <v/>
      </c>
      <c r="DD189" s="81" t="str">
        <f t="shared" si="270"/>
        <v/>
      </c>
      <c r="DE189" s="145" t="str">
        <f t="shared" si="270"/>
        <v/>
      </c>
      <c r="DF189" s="145" t="str">
        <f t="shared" si="270"/>
        <v/>
      </c>
      <c r="DG189" s="81" t="str">
        <f t="shared" si="270"/>
        <v/>
      </c>
      <c r="DH189" s="81" t="str">
        <f t="shared" si="270"/>
        <v/>
      </c>
      <c r="DI189" s="81" t="str">
        <f t="shared" si="270"/>
        <v/>
      </c>
      <c r="DJ189" s="80" t="str">
        <f t="shared" si="270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0"/>
        <v/>
      </c>
      <c r="CP190" s="143">
        <f t="shared" si="21"/>
        <v>0</v>
      </c>
      <c r="CQ190" s="144" t="str">
        <f t="shared" si="237"/>
        <v/>
      </c>
      <c r="CR190" s="81" t="str">
        <f t="shared" si="238"/>
        <v/>
      </c>
      <c r="CS190" s="81" t="str">
        <f t="shared" si="239"/>
        <v/>
      </c>
      <c r="CT190" s="81" t="str">
        <f t="shared" si="240"/>
        <v/>
      </c>
      <c r="CU190" s="145" t="str">
        <f t="shared" si="241"/>
        <v/>
      </c>
      <c r="CV190" s="145" t="str">
        <f t="shared" si="242"/>
        <v/>
      </c>
      <c r="CW190" s="81" t="str">
        <f t="shared" si="243"/>
        <v/>
      </c>
      <c r="CX190" s="81" t="str">
        <f t="shared" si="244"/>
        <v/>
      </c>
      <c r="CY190" s="81" t="str">
        <f t="shared" si="245"/>
        <v/>
      </c>
      <c r="CZ190" s="1367" t="str">
        <f t="shared" si="246"/>
        <v/>
      </c>
      <c r="DA190" s="144" t="str">
        <f t="shared" ref="DA190:DJ190" si="271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1"/>
        <v/>
      </c>
      <c r="DC190" s="81" t="str">
        <f t="shared" si="271"/>
        <v/>
      </c>
      <c r="DD190" s="81" t="str">
        <f t="shared" si="271"/>
        <v/>
      </c>
      <c r="DE190" s="145" t="str">
        <f t="shared" si="271"/>
        <v/>
      </c>
      <c r="DF190" s="145" t="str">
        <f t="shared" si="271"/>
        <v/>
      </c>
      <c r="DG190" s="81" t="str">
        <f t="shared" si="271"/>
        <v/>
      </c>
      <c r="DH190" s="81" t="str">
        <f t="shared" si="271"/>
        <v/>
      </c>
      <c r="DI190" s="81" t="str">
        <f t="shared" si="271"/>
        <v/>
      </c>
      <c r="DJ190" s="80" t="str">
        <f t="shared" si="271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Temp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0"/>
        <v/>
      </c>
      <c r="CP191" s="143">
        <f t="shared" si="21"/>
        <v>0</v>
      </c>
      <c r="CQ191" s="144" t="str">
        <f t="shared" si="237"/>
        <v/>
      </c>
      <c r="CR191" s="81" t="str">
        <f t="shared" si="238"/>
        <v/>
      </c>
      <c r="CS191" s="81" t="str">
        <f t="shared" si="239"/>
        <v/>
      </c>
      <c r="CT191" s="81" t="str">
        <f t="shared" si="240"/>
        <v/>
      </c>
      <c r="CU191" s="145" t="str">
        <f t="shared" si="241"/>
        <v/>
      </c>
      <c r="CV191" s="145" t="str">
        <f t="shared" si="242"/>
        <v/>
      </c>
      <c r="CW191" s="81" t="str">
        <f t="shared" si="243"/>
        <v/>
      </c>
      <c r="CX191" s="81" t="str">
        <f t="shared" si="244"/>
        <v/>
      </c>
      <c r="CY191" s="81" t="str">
        <f t="shared" si="245"/>
        <v/>
      </c>
      <c r="CZ191" s="1367" t="str">
        <f t="shared" si="246"/>
        <v/>
      </c>
      <c r="DA191" s="144" t="str">
        <f t="shared" ref="DA191:DJ191" si="272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2"/>
        <v/>
      </c>
      <c r="DC191" s="81" t="str">
        <f t="shared" si="272"/>
        <v/>
      </c>
      <c r="DD191" s="81" t="str">
        <f t="shared" si="272"/>
        <v/>
      </c>
      <c r="DE191" s="145" t="str">
        <f t="shared" si="272"/>
        <v/>
      </c>
      <c r="DF191" s="145" t="str">
        <f t="shared" si="272"/>
        <v/>
      </c>
      <c r="DG191" s="81" t="str">
        <f t="shared" si="272"/>
        <v/>
      </c>
      <c r="DH191" s="81" t="str">
        <f t="shared" si="272"/>
        <v/>
      </c>
      <c r="DI191" s="81" t="str">
        <f t="shared" si="272"/>
        <v/>
      </c>
      <c r="DJ191" s="80" t="str">
        <f t="shared" si="272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Ftime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0"/>
        <v/>
      </c>
      <c r="CP192" s="143">
        <f t="shared" si="21"/>
        <v>0</v>
      </c>
      <c r="CQ192" s="144" t="str">
        <f t="shared" si="237"/>
        <v/>
      </c>
      <c r="CR192" s="81" t="str">
        <f t="shared" si="238"/>
        <v/>
      </c>
      <c r="CS192" s="81" t="str">
        <f t="shared" si="239"/>
        <v/>
      </c>
      <c r="CT192" s="81" t="str">
        <f t="shared" si="240"/>
        <v/>
      </c>
      <c r="CU192" s="145" t="str">
        <f t="shared" si="241"/>
        <v/>
      </c>
      <c r="CV192" s="145" t="str">
        <f t="shared" si="242"/>
        <v/>
      </c>
      <c r="CW192" s="81" t="str">
        <f t="shared" si="243"/>
        <v/>
      </c>
      <c r="CX192" s="81" t="str">
        <f t="shared" si="244"/>
        <v/>
      </c>
      <c r="CY192" s="81" t="str">
        <f t="shared" si="245"/>
        <v/>
      </c>
      <c r="CZ192" s="1367" t="str">
        <f t="shared" si="246"/>
        <v/>
      </c>
      <c r="DA192" s="144" t="str">
        <f t="shared" ref="DA192:DJ192" si="273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3"/>
        <v/>
      </c>
      <c r="DC192" s="81" t="str">
        <f t="shared" si="273"/>
        <v/>
      </c>
      <c r="DD192" s="81" t="str">
        <f t="shared" si="273"/>
        <v/>
      </c>
      <c r="DE192" s="145" t="str">
        <f t="shared" si="273"/>
        <v/>
      </c>
      <c r="DF192" s="145" t="str">
        <f t="shared" si="273"/>
        <v/>
      </c>
      <c r="DG192" s="81" t="str">
        <f t="shared" si="273"/>
        <v/>
      </c>
      <c r="DH192" s="81" t="str">
        <f t="shared" si="273"/>
        <v/>
      </c>
      <c r="DI192" s="81" t="str">
        <f t="shared" si="273"/>
        <v/>
      </c>
      <c r="DJ192" s="80" t="str">
        <f t="shared" si="273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0"/>
        <v/>
      </c>
      <c r="CP193" s="143">
        <f t="shared" si="21"/>
        <v>0</v>
      </c>
      <c r="CQ193" s="144" t="str">
        <f t="shared" si="237"/>
        <v/>
      </c>
      <c r="CR193" s="81" t="str">
        <f t="shared" si="238"/>
        <v/>
      </c>
      <c r="CS193" s="81" t="str">
        <f t="shared" si="239"/>
        <v/>
      </c>
      <c r="CT193" s="81" t="str">
        <f t="shared" si="240"/>
        <v/>
      </c>
      <c r="CU193" s="145" t="str">
        <f t="shared" si="241"/>
        <v/>
      </c>
      <c r="CV193" s="145" t="str">
        <f t="shared" si="242"/>
        <v/>
      </c>
      <c r="CW193" s="81" t="str">
        <f t="shared" si="243"/>
        <v/>
      </c>
      <c r="CX193" s="81" t="str">
        <f t="shared" si="244"/>
        <v/>
      </c>
      <c r="CY193" s="81" t="str">
        <f t="shared" si="245"/>
        <v/>
      </c>
      <c r="CZ193" s="1367" t="str">
        <f t="shared" si="246"/>
        <v/>
      </c>
      <c r="DA193" s="144" t="str">
        <f t="shared" ref="DA193:DJ193" si="274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4"/>
        <v/>
      </c>
      <c r="DC193" s="81" t="str">
        <f t="shared" si="274"/>
        <v/>
      </c>
      <c r="DD193" s="81" t="str">
        <f t="shared" si="274"/>
        <v/>
      </c>
      <c r="DE193" s="145" t="str">
        <f t="shared" si="274"/>
        <v/>
      </c>
      <c r="DF193" s="145" t="str">
        <f t="shared" si="274"/>
        <v/>
      </c>
      <c r="DG193" s="81" t="str">
        <f t="shared" si="274"/>
        <v/>
      </c>
      <c r="DH193" s="81" t="str">
        <f t="shared" si="274"/>
        <v/>
      </c>
      <c r="DI193" s="81" t="str">
        <f t="shared" si="274"/>
        <v/>
      </c>
      <c r="DJ193" s="80" t="str">
        <f t="shared" si="274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0"/>
        <v/>
      </c>
      <c r="CP194" s="143">
        <f t="shared" si="21"/>
        <v>0</v>
      </c>
      <c r="CQ194" s="144" t="str">
        <f t="shared" si="237"/>
        <v/>
      </c>
      <c r="CR194" s="81" t="str">
        <f t="shared" si="238"/>
        <v/>
      </c>
      <c r="CS194" s="81" t="str">
        <f t="shared" si="239"/>
        <v/>
      </c>
      <c r="CT194" s="81" t="str">
        <f t="shared" si="240"/>
        <v/>
      </c>
      <c r="CU194" s="145" t="str">
        <f t="shared" si="241"/>
        <v/>
      </c>
      <c r="CV194" s="145" t="str">
        <f t="shared" si="242"/>
        <v/>
      </c>
      <c r="CW194" s="81" t="str">
        <f t="shared" si="243"/>
        <v/>
      </c>
      <c r="CX194" s="81" t="str">
        <f t="shared" si="244"/>
        <v/>
      </c>
      <c r="CY194" s="81" t="str">
        <f t="shared" si="245"/>
        <v/>
      </c>
      <c r="CZ194" s="1367" t="str">
        <f t="shared" si="246"/>
        <v/>
      </c>
      <c r="DA194" s="144" t="str">
        <f t="shared" ref="DA194:DJ194" si="275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75"/>
        <v/>
      </c>
      <c r="DC194" s="81" t="str">
        <f t="shared" si="275"/>
        <v/>
      </c>
      <c r="DD194" s="81" t="str">
        <f t="shared" si="275"/>
        <v/>
      </c>
      <c r="DE194" s="145" t="str">
        <f t="shared" si="275"/>
        <v/>
      </c>
      <c r="DF194" s="145" t="str">
        <f t="shared" si="275"/>
        <v/>
      </c>
      <c r="DG194" s="81" t="str">
        <f t="shared" si="275"/>
        <v/>
      </c>
      <c r="DH194" s="81" t="str">
        <f t="shared" si="275"/>
        <v/>
      </c>
      <c r="DI194" s="81" t="str">
        <f t="shared" si="275"/>
        <v/>
      </c>
      <c r="DJ194" s="80" t="str">
        <f t="shared" si="275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Temp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0"/>
        <v/>
      </c>
      <c r="CP195" s="143">
        <f t="shared" si="21"/>
        <v>0</v>
      </c>
      <c r="CQ195" s="144" t="str">
        <f t="shared" si="237"/>
        <v/>
      </c>
      <c r="CR195" s="81" t="str">
        <f t="shared" si="238"/>
        <v/>
      </c>
      <c r="CS195" s="81" t="str">
        <f t="shared" si="239"/>
        <v/>
      </c>
      <c r="CT195" s="81" t="str">
        <f t="shared" si="240"/>
        <v/>
      </c>
      <c r="CU195" s="145" t="str">
        <f t="shared" si="241"/>
        <v/>
      </c>
      <c r="CV195" s="145" t="str">
        <f t="shared" si="242"/>
        <v/>
      </c>
      <c r="CW195" s="81" t="str">
        <f t="shared" si="243"/>
        <v/>
      </c>
      <c r="CX195" s="81" t="str">
        <f t="shared" si="244"/>
        <v/>
      </c>
      <c r="CY195" s="81" t="str">
        <f t="shared" si="245"/>
        <v/>
      </c>
      <c r="CZ195" s="1367" t="str">
        <f t="shared" si="246"/>
        <v/>
      </c>
      <c r="DA195" s="144" t="str">
        <f t="shared" ref="DA195:DJ195" si="276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76"/>
        <v/>
      </c>
      <c r="DC195" s="81" t="str">
        <f t="shared" si="276"/>
        <v/>
      </c>
      <c r="DD195" s="81" t="str">
        <f t="shared" si="276"/>
        <v/>
      </c>
      <c r="DE195" s="145" t="str">
        <f t="shared" si="276"/>
        <v/>
      </c>
      <c r="DF195" s="145" t="str">
        <f t="shared" si="276"/>
        <v/>
      </c>
      <c r="DG195" s="81" t="str">
        <f t="shared" si="276"/>
        <v/>
      </c>
      <c r="DH195" s="81" t="str">
        <f t="shared" si="276"/>
        <v/>
      </c>
      <c r="DI195" s="81" t="str">
        <f t="shared" si="276"/>
        <v/>
      </c>
      <c r="DJ195" s="80" t="str">
        <f t="shared" si="276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Ftime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0"/>
        <v>0.125</v>
      </c>
      <c r="CP196" s="143">
        <f t="shared" si="21"/>
        <v>10</v>
      </c>
      <c r="CQ196" s="144" t="str">
        <f t="shared" si="237"/>
        <v/>
      </c>
      <c r="CR196" s="81" t="str">
        <f t="shared" si="238"/>
        <v/>
      </c>
      <c r="CS196" s="81" t="str">
        <f t="shared" si="239"/>
        <v/>
      </c>
      <c r="CT196" s="81" t="str">
        <f t="shared" si="240"/>
        <v/>
      </c>
      <c r="CU196" s="145" t="str">
        <f t="shared" si="241"/>
        <v/>
      </c>
      <c r="CV196" s="145" t="str">
        <f t="shared" si="242"/>
        <v/>
      </c>
      <c r="CW196" s="81" t="str">
        <f t="shared" si="243"/>
        <v/>
      </c>
      <c r="CX196" s="81" t="str">
        <f t="shared" si="244"/>
        <v/>
      </c>
      <c r="CY196" s="81" t="str">
        <f t="shared" si="245"/>
        <v/>
      </c>
      <c r="CZ196" s="1367" t="str">
        <f t="shared" si="246"/>
        <v/>
      </c>
      <c r="DA196" s="144">
        <f t="shared" ref="DA196:DJ196" si="277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77"/>
        <v>0</v>
      </c>
      <c r="DC196" s="81">
        <f t="shared" si="277"/>
        <v>0</v>
      </c>
      <c r="DD196" s="81">
        <f t="shared" si="277"/>
        <v>0</v>
      </c>
      <c r="DE196" s="145">
        <f t="shared" si="277"/>
        <v>0</v>
      </c>
      <c r="DF196" s="145">
        <f t="shared" si="277"/>
        <v>0</v>
      </c>
      <c r="DG196" s="81">
        <f t="shared" si="277"/>
        <v>0</v>
      </c>
      <c r="DH196" s="81">
        <f t="shared" si="277"/>
        <v>0</v>
      </c>
      <c r="DI196" s="81">
        <f t="shared" si="277"/>
        <v>1</v>
      </c>
      <c r="DJ196" s="80">
        <f t="shared" si="277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0"/>
        <v>1</v>
      </c>
      <c r="CP197" s="362">
        <f t="shared" si="21"/>
        <v>10</v>
      </c>
      <c r="CQ197" s="144" t="str">
        <f t="shared" si="237"/>
        <v/>
      </c>
      <c r="CR197" s="81" t="str">
        <f t="shared" si="238"/>
        <v/>
      </c>
      <c r="CS197" s="81" t="str">
        <f t="shared" si="239"/>
        <v/>
      </c>
      <c r="CT197" s="81" t="str">
        <f t="shared" si="240"/>
        <v/>
      </c>
      <c r="CU197" s="145" t="str">
        <f t="shared" si="241"/>
        <v/>
      </c>
      <c r="CV197" s="145" t="str">
        <f t="shared" si="242"/>
        <v/>
      </c>
      <c r="CW197" s="81" t="str">
        <f t="shared" si="243"/>
        <v/>
      </c>
      <c r="CX197" s="81" t="str">
        <f t="shared" si="244"/>
        <v/>
      </c>
      <c r="CY197" s="81" t="str">
        <f t="shared" si="245"/>
        <v/>
      </c>
      <c r="CZ197" s="1367" t="str">
        <f t="shared" si="246"/>
        <v/>
      </c>
      <c r="DA197" s="144">
        <f t="shared" ref="DA197:DJ197" si="278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78"/>
        <v>1</v>
      </c>
      <c r="DC197" s="81">
        <f t="shared" si="278"/>
        <v>1</v>
      </c>
      <c r="DD197" s="81">
        <f t="shared" si="278"/>
        <v>1</v>
      </c>
      <c r="DE197" s="145">
        <f t="shared" si="278"/>
        <v>1</v>
      </c>
      <c r="DF197" s="145">
        <f t="shared" si="278"/>
        <v>1</v>
      </c>
      <c r="DG197" s="81">
        <f t="shared" si="278"/>
        <v>1</v>
      </c>
      <c r="DH197" s="81">
        <f t="shared" si="278"/>
        <v>1</v>
      </c>
      <c r="DI197" s="81">
        <f t="shared" si="278"/>
        <v>1</v>
      </c>
      <c r="DJ197" s="80">
        <f t="shared" si="278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Temp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Ftime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79">SUM(C200:C203)</f>
        <v>100</v>
      </c>
      <c r="D204" s="395">
        <f t="shared" si="279"/>
        <v>100</v>
      </c>
      <c r="E204" s="395">
        <f t="shared" si="279"/>
        <v>100</v>
      </c>
      <c r="F204" s="395">
        <f t="shared" si="279"/>
        <v>90</v>
      </c>
      <c r="G204" s="395">
        <f t="shared" si="279"/>
        <v>100</v>
      </c>
      <c r="H204" s="395">
        <f t="shared" si="279"/>
        <v>100</v>
      </c>
      <c r="I204" s="395">
        <f t="shared" si="279"/>
        <v>100</v>
      </c>
      <c r="J204" s="395">
        <f t="shared" si="279"/>
        <v>100</v>
      </c>
      <c r="K204" s="395">
        <f t="shared" si="279"/>
        <v>100</v>
      </c>
      <c r="L204" s="395">
        <f t="shared" si="279"/>
        <v>100</v>
      </c>
      <c r="M204" s="395">
        <f t="shared" si="279"/>
        <v>0</v>
      </c>
      <c r="N204" s="395">
        <f t="shared" si="279"/>
        <v>0</v>
      </c>
      <c r="O204" s="395">
        <f t="shared" si="279"/>
        <v>0</v>
      </c>
      <c r="P204" s="395">
        <f t="shared" si="279"/>
        <v>0</v>
      </c>
      <c r="Q204" s="395">
        <f t="shared" si="279"/>
        <v>0</v>
      </c>
      <c r="R204" s="395">
        <f t="shared" si="279"/>
        <v>0</v>
      </c>
      <c r="S204" s="396">
        <f t="shared" si="279"/>
        <v>0</v>
      </c>
      <c r="T204" s="395">
        <f t="shared" si="279"/>
        <v>0</v>
      </c>
      <c r="U204" s="395">
        <f t="shared" si="279"/>
        <v>0</v>
      </c>
      <c r="V204" s="395">
        <f t="shared" si="279"/>
        <v>0</v>
      </c>
      <c r="W204" s="395">
        <f t="shared" si="279"/>
        <v>0</v>
      </c>
      <c r="X204" s="395">
        <f t="shared" si="279"/>
        <v>0</v>
      </c>
      <c r="Y204" s="395">
        <f t="shared" si="279"/>
        <v>0</v>
      </c>
      <c r="Z204" s="395">
        <f t="shared" si="279"/>
        <v>0</v>
      </c>
      <c r="AA204" s="395">
        <f t="shared" si="279"/>
        <v>0</v>
      </c>
      <c r="AB204" s="395">
        <f t="shared" si="279"/>
        <v>0</v>
      </c>
      <c r="AC204" s="395">
        <f t="shared" si="279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0">SUM(AK200:AK203)</f>
        <v>0</v>
      </c>
      <c r="AL204" s="395">
        <f t="shared" si="280"/>
        <v>0</v>
      </c>
      <c r="AM204" s="395">
        <f t="shared" si="280"/>
        <v>0</v>
      </c>
      <c r="AN204" s="395">
        <f t="shared" si="280"/>
        <v>0</v>
      </c>
      <c r="AO204" s="395">
        <f t="shared" si="280"/>
        <v>0</v>
      </c>
      <c r="AP204" s="395">
        <f t="shared" si="280"/>
        <v>0</v>
      </c>
      <c r="AQ204" s="395">
        <f t="shared" si="280"/>
        <v>0</v>
      </c>
      <c r="AR204" s="395">
        <f t="shared" si="280"/>
        <v>0</v>
      </c>
      <c r="AS204" s="395">
        <f t="shared" si="280"/>
        <v>0</v>
      </c>
      <c r="AT204" s="395">
        <f t="shared" si="280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0"/>
        <v>0</v>
      </c>
      <c r="BC204" s="395">
        <f t="shared" si="280"/>
        <v>0</v>
      </c>
      <c r="BD204" s="395">
        <f t="shared" si="280"/>
        <v>0</v>
      </c>
      <c r="BE204" s="395">
        <f t="shared" si="280"/>
        <v>0</v>
      </c>
      <c r="BF204" s="395">
        <f t="shared" si="280"/>
        <v>0</v>
      </c>
      <c r="BG204" s="395">
        <f t="shared" si="280"/>
        <v>0</v>
      </c>
      <c r="BH204" s="395">
        <f t="shared" si="280"/>
        <v>0</v>
      </c>
      <c r="BI204" s="395">
        <f t="shared" si="280"/>
        <v>0</v>
      </c>
      <c r="BJ204" s="394">
        <f t="shared" si="280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>SUM(BS200:BS203)</f>
        <v>0</v>
      </c>
      <c r="BT204" s="394">
        <f>SUM(BT200:BT203)</f>
        <v>0</v>
      </c>
      <c r="BU204" s="394">
        <f>SUM(BU200:BU203)</f>
        <v>0</v>
      </c>
      <c r="BV204" s="394">
        <f>SUM(BV200:BV203)</f>
        <v>0</v>
      </c>
      <c r="BW204" s="394"/>
      <c r="BX204" s="394"/>
      <c r="BY204" s="394">
        <f>SUM(BY200:BY203)</f>
        <v>0</v>
      </c>
      <c r="BZ204" s="394">
        <f>SUM(BZ200:BZ203)</f>
        <v>0</v>
      </c>
      <c r="CA204" s="394">
        <f>SUM(CA200:CA203)</f>
        <v>0</v>
      </c>
      <c r="CB204" s="394">
        <f>SUM(CB200:CB203)</f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1">IF(OR(C205="",C$228=0),"",C205/C$228)</f>
        <v/>
      </c>
      <c r="D206" s="407" t="str">
        <f t="shared" si="281"/>
        <v/>
      </c>
      <c r="E206" s="407" t="str">
        <f t="shared" si="281"/>
        <v/>
      </c>
      <c r="F206" s="407" t="str">
        <f t="shared" si="281"/>
        <v/>
      </c>
      <c r="G206" s="407" t="str">
        <f t="shared" si="281"/>
        <v/>
      </c>
      <c r="H206" s="407" t="str">
        <f t="shared" si="281"/>
        <v/>
      </c>
      <c r="I206" s="407" t="str">
        <f t="shared" si="281"/>
        <v/>
      </c>
      <c r="J206" s="407" t="str">
        <f t="shared" si="281"/>
        <v/>
      </c>
      <c r="K206" s="407" t="str">
        <f t="shared" si="281"/>
        <v/>
      </c>
      <c r="L206" s="407" t="str">
        <f t="shared" si="281"/>
        <v/>
      </c>
      <c r="M206" s="407" t="str">
        <f t="shared" si="281"/>
        <v/>
      </c>
      <c r="N206" s="407" t="str">
        <f t="shared" si="281"/>
        <v/>
      </c>
      <c r="O206" s="407" t="str">
        <f t="shared" si="281"/>
        <v/>
      </c>
      <c r="P206" s="407" t="str">
        <f t="shared" si="281"/>
        <v/>
      </c>
      <c r="Q206" s="407" t="str">
        <f t="shared" si="281"/>
        <v/>
      </c>
      <c r="R206" s="407" t="str">
        <f t="shared" si="281"/>
        <v/>
      </c>
      <c r="S206" s="409" t="str">
        <f t="shared" si="281"/>
        <v/>
      </c>
      <c r="T206" s="407" t="str">
        <f t="shared" si="281"/>
        <v/>
      </c>
      <c r="U206" s="407" t="str">
        <f t="shared" si="281"/>
        <v/>
      </c>
      <c r="V206" s="407" t="str">
        <f t="shared" si="281"/>
        <v/>
      </c>
      <c r="W206" s="407" t="str">
        <f t="shared" si="281"/>
        <v/>
      </c>
      <c r="X206" s="407" t="str">
        <f t="shared" si="281"/>
        <v/>
      </c>
      <c r="Y206" s="407" t="str">
        <f t="shared" si="281"/>
        <v/>
      </c>
      <c r="Z206" s="407" t="str">
        <f t="shared" si="281"/>
        <v/>
      </c>
      <c r="AA206" s="407" t="str">
        <f t="shared" si="281"/>
        <v/>
      </c>
      <c r="AB206" s="407" t="str">
        <f t="shared" si="281"/>
        <v/>
      </c>
      <c r="AC206" s="407" t="str">
        <f t="shared" si="281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2">IF(OR(AK205="",AK$228=0),"",AK205/AK$228)</f>
        <v/>
      </c>
      <c r="AL206" s="407" t="str">
        <f t="shared" si="282"/>
        <v/>
      </c>
      <c r="AM206" s="407" t="str">
        <f t="shared" si="282"/>
        <v/>
      </c>
      <c r="AN206" s="407" t="str">
        <f t="shared" si="282"/>
        <v/>
      </c>
      <c r="AO206" s="407" t="str">
        <f t="shared" si="282"/>
        <v/>
      </c>
      <c r="AP206" s="407" t="str">
        <f t="shared" si="282"/>
        <v/>
      </c>
      <c r="AQ206" s="407" t="str">
        <f t="shared" si="282"/>
        <v/>
      </c>
      <c r="AR206" s="407" t="str">
        <f t="shared" si="282"/>
        <v/>
      </c>
      <c r="AS206" s="407" t="str">
        <f t="shared" si="282"/>
        <v/>
      </c>
      <c r="AT206" s="407" t="str">
        <f t="shared" si="282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2"/>
        <v/>
      </c>
      <c r="BC206" s="407" t="str">
        <f t="shared" si="282"/>
        <v/>
      </c>
      <c r="BD206" s="407" t="str">
        <f t="shared" si="282"/>
        <v/>
      </c>
      <c r="BE206" s="407" t="str">
        <f t="shared" si="282"/>
        <v/>
      </c>
      <c r="BF206" s="407" t="str">
        <f t="shared" si="282"/>
        <v/>
      </c>
      <c r="BG206" s="407" t="str">
        <f t="shared" si="282"/>
        <v/>
      </c>
      <c r="BH206" s="407" t="str">
        <f t="shared" si="282"/>
        <v/>
      </c>
      <c r="BI206" s="407" t="str">
        <f t="shared" si="282"/>
        <v/>
      </c>
      <c r="BJ206" s="407" t="str">
        <f t="shared" si="282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>IF(OR(BS205="",BS$228=0),"",BS205/BS$228)</f>
        <v/>
      </c>
      <c r="BT206" s="407" t="str">
        <f>IF(OR(BT205="",BT$228=0),"",BT205/BT$228)</f>
        <v/>
      </c>
      <c r="BU206" s="407" t="str">
        <f>IF(OR(BU205="",BU$228=0),"",BU205/BU$228)</f>
        <v/>
      </c>
      <c r="BV206" s="407" t="str">
        <f>IF(OR(BV205="",BV$228=0),"",BV205/BV$228)</f>
        <v/>
      </c>
      <c r="BW206" s="407"/>
      <c r="BX206" s="407"/>
      <c r="BY206" s="407" t="str">
        <f>IF(OR(BY205="",BY$228=0),"",BY205/BY$228)</f>
        <v/>
      </c>
      <c r="BZ206" s="407" t="str">
        <f>IF(OR(BZ205="",BZ$228=0),"",BZ205/BZ$228)</f>
        <v/>
      </c>
      <c r="CA206" s="407" t="str">
        <f>IF(OR(CA205="",CA$228=0),"",CA205/CA$228)</f>
        <v/>
      </c>
      <c r="CB206" s="407" t="str">
        <f>IF(OR(CB205="",CB$228=0),"",CB205/CB$228)</f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Temp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Ftime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83">SUM(C207:C210)</f>
        <v>0</v>
      </c>
      <c r="D211" s="395">
        <f t="shared" si="283"/>
        <v>0</v>
      </c>
      <c r="E211" s="395">
        <f t="shared" si="283"/>
        <v>0</v>
      </c>
      <c r="F211" s="395">
        <f t="shared" si="283"/>
        <v>0</v>
      </c>
      <c r="G211" s="395">
        <f t="shared" si="283"/>
        <v>0</v>
      </c>
      <c r="H211" s="395">
        <f t="shared" si="283"/>
        <v>0</v>
      </c>
      <c r="I211" s="395">
        <f t="shared" si="283"/>
        <v>0</v>
      </c>
      <c r="J211" s="395">
        <f t="shared" si="283"/>
        <v>0</v>
      </c>
      <c r="K211" s="395">
        <f t="shared" si="283"/>
        <v>0</v>
      </c>
      <c r="L211" s="395">
        <f t="shared" si="283"/>
        <v>0</v>
      </c>
      <c r="M211" s="395">
        <f t="shared" si="283"/>
        <v>0</v>
      </c>
      <c r="N211" s="395">
        <f t="shared" si="283"/>
        <v>0</v>
      </c>
      <c r="O211" s="395">
        <f t="shared" si="283"/>
        <v>0</v>
      </c>
      <c r="P211" s="395">
        <f t="shared" si="283"/>
        <v>0</v>
      </c>
      <c r="Q211" s="395">
        <f t="shared" si="283"/>
        <v>0</v>
      </c>
      <c r="R211" s="395">
        <f t="shared" si="283"/>
        <v>0</v>
      </c>
      <c r="S211" s="396">
        <f t="shared" si="283"/>
        <v>0</v>
      </c>
      <c r="T211" s="395">
        <f t="shared" si="283"/>
        <v>0</v>
      </c>
      <c r="U211" s="395">
        <f t="shared" si="283"/>
        <v>0</v>
      </c>
      <c r="V211" s="395">
        <f t="shared" si="283"/>
        <v>0</v>
      </c>
      <c r="W211" s="395">
        <f t="shared" si="283"/>
        <v>0</v>
      </c>
      <c r="X211" s="395">
        <f t="shared" si="283"/>
        <v>0</v>
      </c>
      <c r="Y211" s="395">
        <f t="shared" si="283"/>
        <v>0</v>
      </c>
      <c r="Z211" s="395">
        <f t="shared" si="283"/>
        <v>0</v>
      </c>
      <c r="AA211" s="395">
        <f t="shared" si="283"/>
        <v>0</v>
      </c>
      <c r="AB211" s="395">
        <f t="shared" si="283"/>
        <v>0</v>
      </c>
      <c r="AC211" s="395">
        <f t="shared" si="283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84">SUM(AK207:AK210)</f>
        <v>0</v>
      </c>
      <c r="AL211" s="395">
        <f t="shared" si="284"/>
        <v>0</v>
      </c>
      <c r="AM211" s="395">
        <f t="shared" si="284"/>
        <v>0</v>
      </c>
      <c r="AN211" s="395">
        <f t="shared" si="284"/>
        <v>0</v>
      </c>
      <c r="AO211" s="395">
        <f t="shared" si="284"/>
        <v>0</v>
      </c>
      <c r="AP211" s="395">
        <f t="shared" si="284"/>
        <v>0</v>
      </c>
      <c r="AQ211" s="395">
        <f t="shared" si="284"/>
        <v>0</v>
      </c>
      <c r="AR211" s="395">
        <f t="shared" si="284"/>
        <v>0</v>
      </c>
      <c r="AS211" s="395">
        <f t="shared" si="284"/>
        <v>0</v>
      </c>
      <c r="AT211" s="395">
        <f t="shared" si="284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84"/>
        <v>0</v>
      </c>
      <c r="BC211" s="395">
        <f t="shared" si="284"/>
        <v>0</v>
      </c>
      <c r="BD211" s="395">
        <f t="shared" si="284"/>
        <v>0</v>
      </c>
      <c r="BE211" s="395">
        <f t="shared" si="284"/>
        <v>0</v>
      </c>
      <c r="BF211" s="395">
        <f t="shared" si="284"/>
        <v>0</v>
      </c>
      <c r="BG211" s="395">
        <f t="shared" si="284"/>
        <v>0</v>
      </c>
      <c r="BH211" s="395">
        <f t="shared" si="284"/>
        <v>0</v>
      </c>
      <c r="BI211" s="395">
        <f t="shared" si="284"/>
        <v>0</v>
      </c>
      <c r="BJ211" s="394">
        <f t="shared" si="284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>SUM(BS207:BS210)</f>
        <v>0</v>
      </c>
      <c r="BT211" s="394">
        <f>SUM(BT207:BT210)</f>
        <v>0</v>
      </c>
      <c r="BU211" s="394">
        <f>SUM(BU207:BU210)</f>
        <v>0</v>
      </c>
      <c r="BV211" s="394">
        <f>SUM(BV207:BV210)</f>
        <v>0</v>
      </c>
      <c r="BW211" s="394"/>
      <c r="BX211" s="394"/>
      <c r="BY211" s="394">
        <f>SUM(BY207:BY210)</f>
        <v>0</v>
      </c>
      <c r="BZ211" s="394">
        <f>SUM(BZ207:BZ210)</f>
        <v>0</v>
      </c>
      <c r="CA211" s="394">
        <f>SUM(CA207:CA210)</f>
        <v>0</v>
      </c>
      <c r="CB211" s="394">
        <f>SUM(CB207:CB210)</f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85">IF(OR(C212="",C$228=0),"",C212/C$228)</f>
        <v/>
      </c>
      <c r="D213" s="407" t="str">
        <f t="shared" si="285"/>
        <v/>
      </c>
      <c r="E213" s="407" t="str">
        <f t="shared" si="285"/>
        <v/>
      </c>
      <c r="F213" s="407" t="str">
        <f t="shared" si="285"/>
        <v/>
      </c>
      <c r="G213" s="407" t="str">
        <f t="shared" si="285"/>
        <v/>
      </c>
      <c r="H213" s="407" t="str">
        <f t="shared" si="285"/>
        <v/>
      </c>
      <c r="I213" s="407" t="str">
        <f t="shared" si="285"/>
        <v/>
      </c>
      <c r="J213" s="407" t="str">
        <f t="shared" si="285"/>
        <v/>
      </c>
      <c r="K213" s="407" t="str">
        <f t="shared" si="285"/>
        <v/>
      </c>
      <c r="L213" s="407" t="str">
        <f t="shared" si="285"/>
        <v/>
      </c>
      <c r="M213" s="407" t="str">
        <f t="shared" si="285"/>
        <v/>
      </c>
      <c r="N213" s="407" t="str">
        <f t="shared" si="285"/>
        <v/>
      </c>
      <c r="O213" s="407" t="str">
        <f t="shared" si="285"/>
        <v/>
      </c>
      <c r="P213" s="407" t="str">
        <f t="shared" si="285"/>
        <v/>
      </c>
      <c r="Q213" s="407" t="str">
        <f t="shared" si="285"/>
        <v/>
      </c>
      <c r="R213" s="407" t="str">
        <f t="shared" si="285"/>
        <v/>
      </c>
      <c r="S213" s="409" t="str">
        <f t="shared" si="285"/>
        <v/>
      </c>
      <c r="T213" s="407" t="str">
        <f t="shared" si="285"/>
        <v/>
      </c>
      <c r="U213" s="407" t="str">
        <f t="shared" si="285"/>
        <v/>
      </c>
      <c r="V213" s="407" t="str">
        <f t="shared" si="285"/>
        <v/>
      </c>
      <c r="W213" s="407" t="str">
        <f t="shared" si="285"/>
        <v/>
      </c>
      <c r="X213" s="407" t="str">
        <f t="shared" si="285"/>
        <v/>
      </c>
      <c r="Y213" s="407" t="str">
        <f t="shared" si="285"/>
        <v/>
      </c>
      <c r="Z213" s="407" t="str">
        <f t="shared" si="285"/>
        <v/>
      </c>
      <c r="AA213" s="407" t="str">
        <f t="shared" si="285"/>
        <v/>
      </c>
      <c r="AB213" s="407" t="str">
        <f t="shared" si="285"/>
        <v/>
      </c>
      <c r="AC213" s="407" t="str">
        <f t="shared" si="285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86">IF(OR(AK212="",AK$228=0),"",AK212/AK$228)</f>
        <v/>
      </c>
      <c r="AL213" s="407" t="str">
        <f t="shared" si="286"/>
        <v/>
      </c>
      <c r="AM213" s="407" t="str">
        <f t="shared" si="286"/>
        <v/>
      </c>
      <c r="AN213" s="407" t="str">
        <f t="shared" si="286"/>
        <v/>
      </c>
      <c r="AO213" s="407" t="str">
        <f t="shared" si="286"/>
        <v/>
      </c>
      <c r="AP213" s="407" t="str">
        <f t="shared" si="286"/>
        <v/>
      </c>
      <c r="AQ213" s="407" t="str">
        <f t="shared" si="286"/>
        <v/>
      </c>
      <c r="AR213" s="407" t="str">
        <f t="shared" si="286"/>
        <v/>
      </c>
      <c r="AS213" s="407" t="str">
        <f t="shared" si="286"/>
        <v/>
      </c>
      <c r="AT213" s="407" t="str">
        <f t="shared" si="286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86"/>
        <v/>
      </c>
      <c r="BC213" s="407" t="str">
        <f t="shared" si="286"/>
        <v/>
      </c>
      <c r="BD213" s="407" t="str">
        <f t="shared" si="286"/>
        <v/>
      </c>
      <c r="BE213" s="407" t="str">
        <f t="shared" si="286"/>
        <v/>
      </c>
      <c r="BF213" s="407" t="str">
        <f t="shared" si="286"/>
        <v/>
      </c>
      <c r="BG213" s="407" t="str">
        <f t="shared" si="286"/>
        <v/>
      </c>
      <c r="BH213" s="407" t="str">
        <f t="shared" si="286"/>
        <v/>
      </c>
      <c r="BI213" s="407" t="str">
        <f t="shared" si="286"/>
        <v/>
      </c>
      <c r="BJ213" s="407" t="str">
        <f t="shared" si="286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>IF(OR(BS212="",BS$228=0),"",BS212/BS$228)</f>
        <v/>
      </c>
      <c r="BT213" s="407" t="str">
        <f>IF(OR(BT212="",BT$228=0),"",BT212/BT$228)</f>
        <v/>
      </c>
      <c r="BU213" s="407" t="str">
        <f>IF(OR(BU212="",BU$228=0),"",BU212/BU$228)</f>
        <v/>
      </c>
      <c r="BV213" s="407" t="str">
        <f>IF(OR(BV212="",BV$228=0),"",BV212/BV$228)</f>
        <v/>
      </c>
      <c r="BW213" s="407"/>
      <c r="BX213" s="407"/>
      <c r="BY213" s="407" t="str">
        <f>IF(OR(BY212="",BY$228=0),"",BY212/BY$228)</f>
        <v/>
      </c>
      <c r="BZ213" s="407" t="str">
        <f>IF(OR(BZ212="",BZ$228=0),"",BZ212/BZ$228)</f>
        <v/>
      </c>
      <c r="CA213" s="407" t="str">
        <f>IF(OR(CA212="",CA$228=0),"",CA212/CA$228)</f>
        <v/>
      </c>
      <c r="CB213" s="407" t="str">
        <f>IF(OR(CB212="",CB$228=0),"",CB212/CB$228)</f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Temp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Ftime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287">SUM(C214:C217)</f>
        <v>0</v>
      </c>
      <c r="D218" s="395">
        <f t="shared" si="287"/>
        <v>0</v>
      </c>
      <c r="E218" s="395">
        <f t="shared" si="287"/>
        <v>0</v>
      </c>
      <c r="F218" s="395">
        <f t="shared" si="287"/>
        <v>0</v>
      </c>
      <c r="G218" s="395">
        <f t="shared" si="287"/>
        <v>0</v>
      </c>
      <c r="H218" s="395">
        <f t="shared" si="287"/>
        <v>0</v>
      </c>
      <c r="I218" s="395">
        <f t="shared" si="287"/>
        <v>0</v>
      </c>
      <c r="J218" s="395">
        <f t="shared" si="287"/>
        <v>0</v>
      </c>
      <c r="K218" s="395">
        <f t="shared" si="287"/>
        <v>0</v>
      </c>
      <c r="L218" s="395">
        <f t="shared" si="287"/>
        <v>0</v>
      </c>
      <c r="M218" s="395">
        <f t="shared" si="287"/>
        <v>0</v>
      </c>
      <c r="N218" s="395">
        <f t="shared" si="287"/>
        <v>0</v>
      </c>
      <c r="O218" s="395">
        <f t="shared" si="287"/>
        <v>0</v>
      </c>
      <c r="P218" s="395">
        <f t="shared" si="287"/>
        <v>0</v>
      </c>
      <c r="Q218" s="395">
        <f t="shared" si="287"/>
        <v>0</v>
      </c>
      <c r="R218" s="395">
        <f t="shared" si="287"/>
        <v>0</v>
      </c>
      <c r="S218" s="396">
        <f t="shared" si="287"/>
        <v>0</v>
      </c>
      <c r="T218" s="395">
        <f t="shared" si="287"/>
        <v>0</v>
      </c>
      <c r="U218" s="395">
        <f t="shared" si="287"/>
        <v>0</v>
      </c>
      <c r="V218" s="395">
        <f t="shared" si="287"/>
        <v>0</v>
      </c>
      <c r="W218" s="395">
        <f t="shared" si="287"/>
        <v>0</v>
      </c>
      <c r="X218" s="395">
        <f t="shared" si="287"/>
        <v>0</v>
      </c>
      <c r="Y218" s="395">
        <f t="shared" si="287"/>
        <v>0</v>
      </c>
      <c r="Z218" s="395">
        <f t="shared" si="287"/>
        <v>0</v>
      </c>
      <c r="AA218" s="395">
        <f t="shared" si="287"/>
        <v>0</v>
      </c>
      <c r="AB218" s="395">
        <f t="shared" si="287"/>
        <v>0</v>
      </c>
      <c r="AC218" s="395">
        <f t="shared" si="287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288">SUM(AK214:AK217)</f>
        <v>0</v>
      </c>
      <c r="AL218" s="395">
        <f t="shared" si="288"/>
        <v>0</v>
      </c>
      <c r="AM218" s="395">
        <f t="shared" si="288"/>
        <v>0</v>
      </c>
      <c r="AN218" s="395">
        <f t="shared" si="288"/>
        <v>0</v>
      </c>
      <c r="AO218" s="395">
        <f t="shared" si="288"/>
        <v>0</v>
      </c>
      <c r="AP218" s="395">
        <f t="shared" si="288"/>
        <v>0</v>
      </c>
      <c r="AQ218" s="395">
        <f t="shared" si="288"/>
        <v>0</v>
      </c>
      <c r="AR218" s="395">
        <f t="shared" si="288"/>
        <v>0</v>
      </c>
      <c r="AS218" s="395">
        <f t="shared" si="288"/>
        <v>0</v>
      </c>
      <c r="AT218" s="395">
        <f t="shared" si="288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288"/>
        <v>0</v>
      </c>
      <c r="BC218" s="395">
        <f t="shared" si="288"/>
        <v>0</v>
      </c>
      <c r="BD218" s="395">
        <f t="shared" si="288"/>
        <v>0</v>
      </c>
      <c r="BE218" s="395">
        <f t="shared" si="288"/>
        <v>0</v>
      </c>
      <c r="BF218" s="395">
        <f t="shared" si="288"/>
        <v>0</v>
      </c>
      <c r="BG218" s="395">
        <f t="shared" si="288"/>
        <v>0</v>
      </c>
      <c r="BH218" s="395">
        <f t="shared" si="288"/>
        <v>0</v>
      </c>
      <c r="BI218" s="395">
        <f t="shared" si="288"/>
        <v>0</v>
      </c>
      <c r="BJ218" s="394">
        <f t="shared" si="288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>SUM(BS214:BS217)</f>
        <v>0</v>
      </c>
      <c r="BT218" s="394">
        <f>SUM(BT214:BT217)</f>
        <v>0</v>
      </c>
      <c r="BU218" s="394">
        <f>SUM(BU214:BU217)</f>
        <v>0</v>
      </c>
      <c r="BV218" s="394">
        <f>SUM(BV214:BV217)</f>
        <v>0</v>
      </c>
      <c r="BW218" s="394"/>
      <c r="BX218" s="394"/>
      <c r="BY218" s="394">
        <f>SUM(BY214:BY217)</f>
        <v>0</v>
      </c>
      <c r="BZ218" s="394">
        <f>SUM(BZ214:BZ217)</f>
        <v>0</v>
      </c>
      <c r="CA218" s="394">
        <f>SUM(CA214:CA217)</f>
        <v>0</v>
      </c>
      <c r="CB218" s="394">
        <f>SUM(CB214:CB217)</f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289">IF(OR(C219="",C$228=0),"",C219/C$228)</f>
        <v/>
      </c>
      <c r="D220" s="407" t="str">
        <f t="shared" si="289"/>
        <v/>
      </c>
      <c r="E220" s="407" t="str">
        <f t="shared" si="289"/>
        <v/>
      </c>
      <c r="F220" s="407" t="str">
        <f t="shared" si="289"/>
        <v/>
      </c>
      <c r="G220" s="407" t="str">
        <f t="shared" si="289"/>
        <v/>
      </c>
      <c r="H220" s="407" t="str">
        <f t="shared" si="289"/>
        <v/>
      </c>
      <c r="I220" s="407" t="str">
        <f t="shared" si="289"/>
        <v/>
      </c>
      <c r="J220" s="407" t="str">
        <f t="shared" si="289"/>
        <v/>
      </c>
      <c r="K220" s="407" t="str">
        <f t="shared" si="289"/>
        <v/>
      </c>
      <c r="L220" s="407" t="str">
        <f t="shared" si="289"/>
        <v/>
      </c>
      <c r="M220" s="407" t="str">
        <f t="shared" si="289"/>
        <v/>
      </c>
      <c r="N220" s="407" t="str">
        <f t="shared" si="289"/>
        <v/>
      </c>
      <c r="O220" s="407" t="str">
        <f t="shared" si="289"/>
        <v/>
      </c>
      <c r="P220" s="407" t="str">
        <f t="shared" si="289"/>
        <v/>
      </c>
      <c r="Q220" s="407" t="str">
        <f t="shared" si="289"/>
        <v/>
      </c>
      <c r="R220" s="407" t="str">
        <f t="shared" si="289"/>
        <v/>
      </c>
      <c r="S220" s="409" t="str">
        <f t="shared" si="289"/>
        <v/>
      </c>
      <c r="T220" s="407" t="str">
        <f t="shared" si="289"/>
        <v/>
      </c>
      <c r="U220" s="407" t="str">
        <f t="shared" si="289"/>
        <v/>
      </c>
      <c r="V220" s="407" t="str">
        <f t="shared" si="289"/>
        <v/>
      </c>
      <c r="W220" s="407" t="str">
        <f t="shared" si="289"/>
        <v/>
      </c>
      <c r="X220" s="407" t="str">
        <f t="shared" si="289"/>
        <v/>
      </c>
      <c r="Y220" s="407" t="str">
        <f t="shared" si="289"/>
        <v/>
      </c>
      <c r="Z220" s="407" t="str">
        <f t="shared" si="289"/>
        <v/>
      </c>
      <c r="AA220" s="407" t="str">
        <f t="shared" si="289"/>
        <v/>
      </c>
      <c r="AB220" s="407" t="str">
        <f t="shared" si="289"/>
        <v/>
      </c>
      <c r="AC220" s="407" t="str">
        <f t="shared" si="289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290">IF(OR(AK219="",AK$228=0),"",AK219/AK$228)</f>
        <v/>
      </c>
      <c r="AL220" s="407" t="str">
        <f t="shared" si="290"/>
        <v/>
      </c>
      <c r="AM220" s="407" t="str">
        <f t="shared" si="290"/>
        <v/>
      </c>
      <c r="AN220" s="407" t="str">
        <f t="shared" si="290"/>
        <v/>
      </c>
      <c r="AO220" s="407" t="str">
        <f t="shared" si="290"/>
        <v/>
      </c>
      <c r="AP220" s="407" t="str">
        <f t="shared" si="290"/>
        <v/>
      </c>
      <c r="AQ220" s="407" t="str">
        <f t="shared" si="290"/>
        <v/>
      </c>
      <c r="AR220" s="407" t="str">
        <f t="shared" si="290"/>
        <v/>
      </c>
      <c r="AS220" s="407" t="str">
        <f t="shared" si="290"/>
        <v/>
      </c>
      <c r="AT220" s="407" t="str">
        <f t="shared" si="290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290"/>
        <v/>
      </c>
      <c r="BC220" s="407" t="str">
        <f t="shared" si="290"/>
        <v/>
      </c>
      <c r="BD220" s="407" t="str">
        <f t="shared" si="290"/>
        <v/>
      </c>
      <c r="BE220" s="407" t="str">
        <f t="shared" si="290"/>
        <v/>
      </c>
      <c r="BF220" s="407" t="str">
        <f t="shared" si="290"/>
        <v/>
      </c>
      <c r="BG220" s="407" t="str">
        <f t="shared" si="290"/>
        <v/>
      </c>
      <c r="BH220" s="407" t="str">
        <f t="shared" si="290"/>
        <v/>
      </c>
      <c r="BI220" s="407" t="str">
        <f t="shared" si="290"/>
        <v/>
      </c>
      <c r="BJ220" s="407" t="str">
        <f t="shared" si="290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>IF(OR(BS219="",BS$228=0),"",BS219/BS$228)</f>
        <v/>
      </c>
      <c r="BT220" s="407" t="str">
        <f>IF(OR(BT219="",BT$228=0),"",BT219/BT$228)</f>
        <v/>
      </c>
      <c r="BU220" s="407" t="str">
        <f>IF(OR(BU219="",BU$228=0),"",BU219/BU$228)</f>
        <v/>
      </c>
      <c r="BV220" s="407" t="str">
        <f>IF(OR(BV219="",BV$228=0),"",BV219/BV$228)</f>
        <v/>
      </c>
      <c r="BW220" s="407"/>
      <c r="BX220" s="407"/>
      <c r="BY220" s="407" t="str">
        <f>IF(OR(BY219="",BY$228=0),"",BY219/BY$228)</f>
        <v/>
      </c>
      <c r="BZ220" s="407" t="str">
        <f>IF(OR(BZ219="",BZ$228=0),"",BZ219/BZ$228)</f>
        <v/>
      </c>
      <c r="CA220" s="407" t="str">
        <f>IF(OR(CA219="",CA$228=0),"",CA219/CA$228)</f>
        <v/>
      </c>
      <c r="CB220" s="407" t="str">
        <f>IF(OR(CB219="",CB$228=0),"",CB219/CB$228)</f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Temp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Ftime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291">SUM(C221:C224)</f>
        <v>0</v>
      </c>
      <c r="D225" s="395">
        <f t="shared" si="291"/>
        <v>0</v>
      </c>
      <c r="E225" s="395">
        <f t="shared" si="291"/>
        <v>0</v>
      </c>
      <c r="F225" s="395">
        <f t="shared" si="291"/>
        <v>0</v>
      </c>
      <c r="G225" s="395">
        <f t="shared" si="291"/>
        <v>0</v>
      </c>
      <c r="H225" s="395">
        <f t="shared" si="291"/>
        <v>0</v>
      </c>
      <c r="I225" s="395">
        <f t="shared" si="291"/>
        <v>0</v>
      </c>
      <c r="J225" s="395">
        <f t="shared" si="291"/>
        <v>0</v>
      </c>
      <c r="K225" s="395">
        <f t="shared" si="291"/>
        <v>0</v>
      </c>
      <c r="L225" s="395">
        <f t="shared" si="291"/>
        <v>0</v>
      </c>
      <c r="M225" s="395">
        <f t="shared" si="291"/>
        <v>0</v>
      </c>
      <c r="N225" s="395">
        <f t="shared" si="291"/>
        <v>0</v>
      </c>
      <c r="O225" s="395">
        <f t="shared" si="291"/>
        <v>0</v>
      </c>
      <c r="P225" s="395">
        <f t="shared" si="291"/>
        <v>0</v>
      </c>
      <c r="Q225" s="395">
        <f t="shared" si="291"/>
        <v>0</v>
      </c>
      <c r="R225" s="395">
        <f t="shared" si="291"/>
        <v>0</v>
      </c>
      <c r="S225" s="396">
        <f t="shared" si="291"/>
        <v>0</v>
      </c>
      <c r="T225" s="395">
        <f t="shared" si="291"/>
        <v>0</v>
      </c>
      <c r="U225" s="395">
        <f t="shared" si="291"/>
        <v>0</v>
      </c>
      <c r="V225" s="395">
        <f t="shared" si="291"/>
        <v>0</v>
      </c>
      <c r="W225" s="395">
        <f t="shared" si="291"/>
        <v>0</v>
      </c>
      <c r="X225" s="395">
        <f t="shared" si="291"/>
        <v>0</v>
      </c>
      <c r="Y225" s="395">
        <f t="shared" si="291"/>
        <v>0</v>
      </c>
      <c r="Z225" s="395">
        <f t="shared" si="291"/>
        <v>0</v>
      </c>
      <c r="AA225" s="395">
        <f t="shared" si="291"/>
        <v>0</v>
      </c>
      <c r="AB225" s="395">
        <f t="shared" si="291"/>
        <v>0</v>
      </c>
      <c r="AC225" s="395">
        <f t="shared" si="291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292">SUM(AK221:AK224)</f>
        <v>0</v>
      </c>
      <c r="AL225" s="395">
        <f t="shared" si="292"/>
        <v>0</v>
      </c>
      <c r="AM225" s="395">
        <f t="shared" si="292"/>
        <v>0</v>
      </c>
      <c r="AN225" s="395">
        <f t="shared" si="292"/>
        <v>0</v>
      </c>
      <c r="AO225" s="395">
        <f t="shared" si="292"/>
        <v>0</v>
      </c>
      <c r="AP225" s="395">
        <f t="shared" si="292"/>
        <v>0</v>
      </c>
      <c r="AQ225" s="395">
        <f t="shared" si="292"/>
        <v>0</v>
      </c>
      <c r="AR225" s="395">
        <f t="shared" si="292"/>
        <v>0</v>
      </c>
      <c r="AS225" s="395">
        <f t="shared" si="292"/>
        <v>0</v>
      </c>
      <c r="AT225" s="395">
        <f t="shared" si="292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292"/>
        <v>0</v>
      </c>
      <c r="BC225" s="395">
        <f t="shared" si="292"/>
        <v>0</v>
      </c>
      <c r="BD225" s="395">
        <f t="shared" si="292"/>
        <v>0</v>
      </c>
      <c r="BE225" s="395">
        <f t="shared" si="292"/>
        <v>0</v>
      </c>
      <c r="BF225" s="395">
        <f t="shared" si="292"/>
        <v>0</v>
      </c>
      <c r="BG225" s="395">
        <f t="shared" si="292"/>
        <v>0</v>
      </c>
      <c r="BH225" s="395">
        <f t="shared" si="292"/>
        <v>0</v>
      </c>
      <c r="BI225" s="395">
        <f t="shared" si="292"/>
        <v>0</v>
      </c>
      <c r="BJ225" s="394">
        <f t="shared" si="292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>SUM(BS221:BS224)</f>
        <v>0</v>
      </c>
      <c r="BT225" s="394">
        <f>SUM(BT221:BT224)</f>
        <v>0</v>
      </c>
      <c r="BU225" s="394">
        <f>SUM(BU221:BU224)</f>
        <v>0</v>
      </c>
      <c r="BV225" s="394">
        <f>SUM(BV221:BV224)</f>
        <v>0</v>
      </c>
      <c r="BW225" s="394"/>
      <c r="BX225" s="394"/>
      <c r="BY225" s="394">
        <f>SUM(BY221:BY224)</f>
        <v>0</v>
      </c>
      <c r="BZ225" s="394">
        <f>SUM(BZ221:BZ224)</f>
        <v>0</v>
      </c>
      <c r="CA225" s="394">
        <f>SUM(CA221:CA224)</f>
        <v>0</v>
      </c>
      <c r="CB225" s="394">
        <f>SUM(CB221:CB224)</f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293">IF(OR(C226="",C$228=0),"",C226/C$228)</f>
        <v/>
      </c>
      <c r="D227" s="407" t="str">
        <f t="shared" si="293"/>
        <v/>
      </c>
      <c r="E227" s="407" t="str">
        <f t="shared" si="293"/>
        <v/>
      </c>
      <c r="F227" s="407" t="str">
        <f t="shared" si="293"/>
        <v/>
      </c>
      <c r="G227" s="407" t="str">
        <f t="shared" si="293"/>
        <v/>
      </c>
      <c r="H227" s="407" t="str">
        <f t="shared" si="293"/>
        <v/>
      </c>
      <c r="I227" s="407" t="str">
        <f t="shared" si="293"/>
        <v/>
      </c>
      <c r="J227" s="407" t="str">
        <f t="shared" si="293"/>
        <v/>
      </c>
      <c r="K227" s="407" t="str">
        <f t="shared" si="293"/>
        <v/>
      </c>
      <c r="L227" s="407" t="str">
        <f t="shared" si="293"/>
        <v/>
      </c>
      <c r="M227" s="407" t="str">
        <f t="shared" si="293"/>
        <v/>
      </c>
      <c r="N227" s="407" t="str">
        <f t="shared" si="293"/>
        <v/>
      </c>
      <c r="O227" s="407" t="str">
        <f t="shared" si="293"/>
        <v/>
      </c>
      <c r="P227" s="407" t="str">
        <f t="shared" si="293"/>
        <v/>
      </c>
      <c r="Q227" s="407" t="str">
        <f t="shared" si="293"/>
        <v/>
      </c>
      <c r="R227" s="407" t="str">
        <f t="shared" si="293"/>
        <v/>
      </c>
      <c r="S227" s="409" t="str">
        <f t="shared" si="293"/>
        <v/>
      </c>
      <c r="T227" s="407" t="str">
        <f t="shared" si="293"/>
        <v/>
      </c>
      <c r="U227" s="407" t="str">
        <f t="shared" si="293"/>
        <v/>
      </c>
      <c r="V227" s="407" t="str">
        <f t="shared" si="293"/>
        <v/>
      </c>
      <c r="W227" s="407" t="str">
        <f t="shared" si="293"/>
        <v/>
      </c>
      <c r="X227" s="407" t="str">
        <f t="shared" si="293"/>
        <v/>
      </c>
      <c r="Y227" s="407" t="str">
        <f t="shared" si="293"/>
        <v/>
      </c>
      <c r="Z227" s="407" t="str">
        <f t="shared" si="293"/>
        <v/>
      </c>
      <c r="AA227" s="407" t="str">
        <f t="shared" si="293"/>
        <v/>
      </c>
      <c r="AB227" s="407" t="str">
        <f t="shared" si="293"/>
        <v/>
      </c>
      <c r="AC227" s="407" t="str">
        <f t="shared" si="293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294">IF(OR(AK226="",AK$228=0),"",AK226/AK$228)</f>
        <v/>
      </c>
      <c r="AL227" s="407" t="str">
        <f t="shared" si="294"/>
        <v/>
      </c>
      <c r="AM227" s="407" t="str">
        <f t="shared" si="294"/>
        <v/>
      </c>
      <c r="AN227" s="407" t="str">
        <f t="shared" si="294"/>
        <v/>
      </c>
      <c r="AO227" s="407" t="str">
        <f t="shared" si="294"/>
        <v/>
      </c>
      <c r="AP227" s="407" t="str">
        <f t="shared" si="294"/>
        <v/>
      </c>
      <c r="AQ227" s="407" t="str">
        <f t="shared" si="294"/>
        <v/>
      </c>
      <c r="AR227" s="407" t="str">
        <f t="shared" si="294"/>
        <v/>
      </c>
      <c r="AS227" s="407" t="str">
        <f t="shared" si="294"/>
        <v/>
      </c>
      <c r="AT227" s="407" t="str">
        <f t="shared" si="294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294"/>
        <v/>
      </c>
      <c r="BC227" s="407" t="str">
        <f t="shared" si="294"/>
        <v/>
      </c>
      <c r="BD227" s="407" t="str">
        <f t="shared" si="294"/>
        <v/>
      </c>
      <c r="BE227" s="407" t="str">
        <f t="shared" si="294"/>
        <v/>
      </c>
      <c r="BF227" s="407" t="str">
        <f t="shared" si="294"/>
        <v/>
      </c>
      <c r="BG227" s="407" t="str">
        <f t="shared" si="294"/>
        <v/>
      </c>
      <c r="BH227" s="407" t="str">
        <f t="shared" si="294"/>
        <v/>
      </c>
      <c r="BI227" s="407" t="str">
        <f t="shared" si="294"/>
        <v/>
      </c>
      <c r="BJ227" s="407" t="str">
        <f t="shared" si="294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>IF(OR(BS226="",BS$228=0),"",BS226/BS$228)</f>
        <v/>
      </c>
      <c r="BT227" s="407" t="str">
        <f>IF(OR(BT226="",BT$228=0),"",BT226/BT$228)</f>
        <v/>
      </c>
      <c r="BU227" s="407" t="str">
        <f>IF(OR(BU226="",BU$228=0),"",BU226/BU$228)</f>
        <v/>
      </c>
      <c r="BV227" s="407" t="str">
        <f>IF(OR(BV226="",BV$228=0),"",BV226/BV$228)</f>
        <v/>
      </c>
      <c r="BW227" s="407"/>
      <c r="BX227" s="407"/>
      <c r="BY227" s="407" t="str">
        <f>IF(OR(BY226="",BY$228=0),"",BY226/BY$228)</f>
        <v/>
      </c>
      <c r="BZ227" s="407" t="str">
        <f>IF(OR(BZ226="",BZ$228=0),"",BZ226/BZ$228)</f>
        <v/>
      </c>
      <c r="CA227" s="407" t="str">
        <f>IF(OR(CA226="",CA$228=0),"",CA226/CA$228)</f>
        <v/>
      </c>
      <c r="CB227" s="407" t="str">
        <f>IF(OR(CB226="",CB$228=0),"",CB226/CB$228)</f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6"/>
      <c r="W270" s="1916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7"/>
      <c r="AH270" s="1917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6"/>
      <c r="W310" s="1916"/>
      <c r="X310" s="1050"/>
      <c r="Y310" s="1050"/>
      <c r="Z310" s="1050"/>
      <c r="AA310"/>
      <c r="AB310"/>
      <c r="AC310"/>
      <c r="AD310"/>
      <c r="AE310"/>
      <c r="AF310"/>
      <c r="AG310" s="1917"/>
      <c r="AH310" s="1917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295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295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295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295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295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295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F608" activePane="bottomRight" state="frozen"/>
      <selection pane="topRight" activeCell="AU1" sqref="AU1"/>
      <selection pane="bottomLeft" activeCell="A419" sqref="A419"/>
      <selection pane="bottomRight" activeCell="BX5" sqref="BX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Commercial farm workers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Temporary</v>
      </c>
      <c r="U3" s="465" t="str">
        <f>WB!AL3</f>
        <v>Temporary</v>
      </c>
      <c r="V3" s="465" t="str">
        <f>WB!AM3</f>
        <v>Temporary</v>
      </c>
      <c r="W3" s="465" t="str">
        <f>WB!AN3</f>
        <v>Temporary</v>
      </c>
      <c r="X3" s="465" t="str">
        <f>WB!AO3</f>
        <v>Temporary</v>
      </c>
      <c r="Y3" s="465" t="str">
        <f>WB!AP3</f>
        <v>Temporary</v>
      </c>
      <c r="Z3" s="465" t="str">
        <f>WB!AQ3</f>
        <v>Temporary</v>
      </c>
      <c r="AA3" s="465" t="str">
        <f>WB!AR3</f>
        <v>Temporary</v>
      </c>
      <c r="AB3" s="465" t="str">
        <f>WB!AS3</f>
        <v>Temporary</v>
      </c>
      <c r="AC3" s="465" t="str">
        <f>WB!AT3</f>
        <v>Temporary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Full-time</v>
      </c>
      <c r="AM3" s="465" t="str">
        <f>WB!BC3</f>
        <v>Full-time</v>
      </c>
      <c r="AN3" s="465" t="str">
        <f>WB!BD3</f>
        <v>Full-time</v>
      </c>
      <c r="AO3" s="465" t="str">
        <f>WB!BE3</f>
        <v>Full-time</v>
      </c>
      <c r="AP3" s="465" t="str">
        <f>WB!BF3</f>
        <v>Full-time</v>
      </c>
      <c r="AQ3" s="465" t="str">
        <f>WB!BG3</f>
        <v>Full-time</v>
      </c>
      <c r="AR3" s="465" t="str">
        <f>WB!BH3</f>
        <v>Full-time</v>
      </c>
      <c r="AS3" s="465" t="str">
        <f>WB!BI3</f>
        <v>Full-time</v>
      </c>
      <c r="AT3" s="465" t="str">
        <f>WB!BJ3</f>
        <v>Full-time</v>
      </c>
      <c r="AU3" s="465" t="str">
        <f>WB!BK3</f>
        <v>Full-time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1184</v>
      </c>
      <c r="BW4" s="478" t="s">
        <v>1183</v>
      </c>
      <c r="BX4" s="478" t="s">
        <v>1195</v>
      </c>
      <c r="BY4" s="478" t="s">
        <v>1186</v>
      </c>
      <c r="BZ4" s="479" t="str">
        <f>WB!B9</f>
        <v>Cas</v>
      </c>
      <c r="CA4" s="480" t="str">
        <f>WB!B10</f>
        <v>Temp</v>
      </c>
      <c r="CB4" s="480" t="s">
        <v>61</v>
      </c>
      <c r="CC4" s="480" t="str">
        <f>WB!B12</f>
        <v>Man</v>
      </c>
      <c r="CD4" s="983" t="s">
        <v>1163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Temp</v>
      </c>
      <c r="DG4" s="485" t="str">
        <f>CB4</f>
        <v>M</v>
      </c>
      <c r="DH4" s="485" t="str">
        <f>CC4</f>
        <v>Man</v>
      </c>
      <c r="DI4" s="486"/>
      <c r="DJ4" s="1919" t="s">
        <v>49</v>
      </c>
      <c r="DK4" s="1919"/>
      <c r="DL4" s="1919"/>
      <c r="DM4" s="1919"/>
      <c r="DN4" s="1919"/>
      <c r="DO4" s="1919"/>
      <c r="DP4" s="1919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20" t="s">
        <v>46</v>
      </c>
      <c r="CE6" s="1920"/>
      <c r="CF6" s="982"/>
      <c r="CG6" s="982"/>
      <c r="CH6" s="982"/>
      <c r="CI6" s="982"/>
      <c r="CJ6" s="982"/>
      <c r="CK6" s="982"/>
      <c r="CL6" s="982"/>
      <c r="CM6" s="982"/>
      <c r="CN6" s="1921" t="s">
        <v>46</v>
      </c>
      <c r="CO6" s="1921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2" t="s">
        <v>47</v>
      </c>
      <c r="DD6" s="1922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0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 t="shared" ref="B16:K16" si="56">SUM(B859:B864,B886)</f>
        <v>0</v>
      </c>
      <c r="C16" s="528">
        <f t="shared" si="56"/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si="56"/>
        <v>0</v>
      </c>
      <c r="H16" s="528">
        <f t="shared" si="56"/>
        <v>0</v>
      </c>
      <c r="I16" s="528">
        <f t="shared" si="56"/>
        <v>0</v>
      </c>
      <c r="J16" s="528">
        <f t="shared" si="56"/>
        <v>0</v>
      </c>
      <c r="K16" s="528">
        <f t="shared" si="56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7">SUM(U859:U864,U886)</f>
        <v>0</v>
      </c>
      <c r="V16" s="528">
        <f t="shared" si="57"/>
        <v>0</v>
      </c>
      <c r="W16" s="528">
        <f t="shared" si="57"/>
        <v>0</v>
      </c>
      <c r="X16" s="528">
        <f t="shared" si="57"/>
        <v>0</v>
      </c>
      <c r="Y16" s="528">
        <f t="shared" si="57"/>
        <v>0</v>
      </c>
      <c r="Z16" s="528">
        <f t="shared" si="57"/>
        <v>0</v>
      </c>
      <c r="AA16" s="528">
        <f t="shared" si="57"/>
        <v>0</v>
      </c>
      <c r="AB16" s="528">
        <f t="shared" si="57"/>
        <v>0</v>
      </c>
      <c r="AC16" s="528">
        <f t="shared" si="57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8">SUM(AM859:AM864,AM886)</f>
        <v>0</v>
      </c>
      <c r="AN16" s="528">
        <f t="shared" si="58"/>
        <v>0</v>
      </c>
      <c r="AO16" s="528">
        <f t="shared" si="58"/>
        <v>0</v>
      </c>
      <c r="AP16" s="528">
        <f t="shared" si="58"/>
        <v>0</v>
      </c>
      <c r="AQ16" s="528">
        <f t="shared" si="58"/>
        <v>0</v>
      </c>
      <c r="AR16" s="528">
        <f t="shared" si="58"/>
        <v>0</v>
      </c>
      <c r="AS16" s="528">
        <f t="shared" si="58"/>
        <v>0</v>
      </c>
      <c r="AT16" s="528">
        <f t="shared" si="58"/>
        <v>0</v>
      </c>
      <c r="AU16" s="528">
        <f t="shared" si="58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59">SUM(BE859:BE864,BE886)</f>
        <v>0</v>
      </c>
      <c r="BF16" s="528">
        <f t="shared" si="59"/>
        <v>0</v>
      </c>
      <c r="BG16" s="528">
        <f t="shared" si="59"/>
        <v>0</v>
      </c>
      <c r="BH16" s="528">
        <f t="shared" si="59"/>
        <v>0</v>
      </c>
      <c r="BI16" s="528">
        <f t="shared" si="59"/>
        <v>0</v>
      </c>
      <c r="BJ16" s="528">
        <f t="shared" si="59"/>
        <v>0</v>
      </c>
      <c r="BK16" s="528">
        <f t="shared" si="59"/>
        <v>0</v>
      </c>
      <c r="BL16" s="528">
        <f t="shared" si="59"/>
        <v>0</v>
      </c>
      <c r="BM16" s="528">
        <f t="shared" si="59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>SUM(BW859:BW864,BW886)</f>
        <v>0.64832311232876716</v>
      </c>
      <c r="BX16" s="528">
        <f>SUM(BX859:BX864,BX886)</f>
        <v>0.65562785305105853</v>
      </c>
      <c r="BY16" s="1369">
        <f>SUM(BY859:BY864,BY886)</f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 t="shared" ref="B17:K17" si="60">SUM(B865:B885,B887:B888)</f>
        <v>0</v>
      </c>
      <c r="C17" s="528">
        <f t="shared" si="60"/>
        <v>0</v>
      </c>
      <c r="D17" s="528">
        <f t="shared" si="60"/>
        <v>0</v>
      </c>
      <c r="E17" s="528">
        <f t="shared" si="60"/>
        <v>0</v>
      </c>
      <c r="F17" s="528">
        <f t="shared" si="60"/>
        <v>0</v>
      </c>
      <c r="G17" s="528">
        <f t="shared" si="60"/>
        <v>0</v>
      </c>
      <c r="H17" s="528">
        <f t="shared" si="60"/>
        <v>0</v>
      </c>
      <c r="I17" s="528">
        <f t="shared" si="60"/>
        <v>0</v>
      </c>
      <c r="J17" s="528">
        <f t="shared" si="60"/>
        <v>0</v>
      </c>
      <c r="K17" s="528">
        <f t="shared" si="60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1">SUM(U865:U885,U887:U888)</f>
        <v>0</v>
      </c>
      <c r="V17" s="528">
        <f t="shared" si="61"/>
        <v>0</v>
      </c>
      <c r="W17" s="528">
        <f t="shared" si="61"/>
        <v>0</v>
      </c>
      <c r="X17" s="528">
        <f t="shared" si="61"/>
        <v>0</v>
      </c>
      <c r="Y17" s="528">
        <f t="shared" si="61"/>
        <v>0</v>
      </c>
      <c r="Z17" s="528">
        <f t="shared" si="61"/>
        <v>0</v>
      </c>
      <c r="AA17" s="528">
        <f t="shared" si="61"/>
        <v>0</v>
      </c>
      <c r="AB17" s="528">
        <f t="shared" si="61"/>
        <v>0</v>
      </c>
      <c r="AC17" s="528">
        <f t="shared" si="61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2">SUM(AM865:AM885,AM887:AM888)</f>
        <v>0</v>
      </c>
      <c r="AN17" s="528">
        <f t="shared" si="62"/>
        <v>0</v>
      </c>
      <c r="AO17" s="528">
        <f t="shared" si="62"/>
        <v>0</v>
      </c>
      <c r="AP17" s="528">
        <f t="shared" si="62"/>
        <v>0</v>
      </c>
      <c r="AQ17" s="528">
        <f t="shared" si="62"/>
        <v>0</v>
      </c>
      <c r="AR17" s="528">
        <f t="shared" si="62"/>
        <v>0</v>
      </c>
      <c r="AS17" s="528">
        <f t="shared" si="62"/>
        <v>0</v>
      </c>
      <c r="AT17" s="528">
        <f t="shared" si="62"/>
        <v>0</v>
      </c>
      <c r="AU17" s="528">
        <f t="shared" si="62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3">SUM(BE865:BE885,BE887:BE888)</f>
        <v>0</v>
      </c>
      <c r="BF17" s="528">
        <f t="shared" si="63"/>
        <v>0</v>
      </c>
      <c r="BG17" s="528">
        <f t="shared" si="63"/>
        <v>0</v>
      </c>
      <c r="BH17" s="528">
        <f t="shared" si="63"/>
        <v>0</v>
      </c>
      <c r="BI17" s="528">
        <f t="shared" si="63"/>
        <v>0</v>
      </c>
      <c r="BJ17" s="528">
        <f t="shared" si="63"/>
        <v>0</v>
      </c>
      <c r="BK17" s="528">
        <f t="shared" si="63"/>
        <v>0</v>
      </c>
      <c r="BL17" s="528">
        <f t="shared" si="63"/>
        <v>0</v>
      </c>
      <c r="BM17" s="528">
        <f t="shared" si="63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>SUM(BW865:BW885,BW887:BW888)</f>
        <v>0.37046141170610214</v>
      </c>
      <c r="BX17" s="528">
        <f>SUM(BX865:BX885,BX887:BX888)</f>
        <v>0.40987233885429641</v>
      </c>
      <c r="BY17" s="1369">
        <f>SUM(BY865:BY885,BY887:BY888)</f>
        <v>0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4">SUM(B889:B895)</f>
        <v>0</v>
      </c>
      <c r="C18" s="528">
        <f t="shared" si="64"/>
        <v>0</v>
      </c>
      <c r="D18" s="528">
        <f t="shared" si="64"/>
        <v>0</v>
      </c>
      <c r="E18" s="528">
        <f t="shared" si="64"/>
        <v>0</v>
      </c>
      <c r="F18" s="528">
        <f t="shared" si="64"/>
        <v>0</v>
      </c>
      <c r="G18" s="528">
        <f t="shared" si="64"/>
        <v>0</v>
      </c>
      <c r="H18" s="528">
        <f t="shared" si="64"/>
        <v>0</v>
      </c>
      <c r="I18" s="528">
        <f t="shared" si="64"/>
        <v>0</v>
      </c>
      <c r="J18" s="528">
        <f t="shared" si="64"/>
        <v>0</v>
      </c>
      <c r="K18" s="528">
        <f t="shared" si="64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5">SUM(T889:T895)</f>
        <v>0</v>
      </c>
      <c r="U18" s="528">
        <f t="shared" si="65"/>
        <v>0</v>
      </c>
      <c r="V18" s="528">
        <f t="shared" si="65"/>
        <v>0</v>
      </c>
      <c r="W18" s="528">
        <f t="shared" si="65"/>
        <v>0</v>
      </c>
      <c r="X18" s="528">
        <f t="shared" si="65"/>
        <v>0</v>
      </c>
      <c r="Y18" s="528">
        <f t="shared" si="65"/>
        <v>0</v>
      </c>
      <c r="Z18" s="528">
        <f t="shared" si="65"/>
        <v>0</v>
      </c>
      <c r="AA18" s="528">
        <f t="shared" si="65"/>
        <v>0</v>
      </c>
      <c r="AB18" s="1166">
        <f t="shared" si="65"/>
        <v>0</v>
      </c>
      <c r="AC18" s="528">
        <f t="shared" si="65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66">SUM(AL889:AL895)</f>
        <v>0</v>
      </c>
      <c r="AM18" s="528">
        <f t="shared" si="66"/>
        <v>0</v>
      </c>
      <c r="AN18" s="528">
        <f t="shared" si="66"/>
        <v>0</v>
      </c>
      <c r="AO18" s="1166">
        <f t="shared" si="66"/>
        <v>0</v>
      </c>
      <c r="AP18" s="528">
        <f t="shared" si="66"/>
        <v>0</v>
      </c>
      <c r="AQ18" s="528">
        <f t="shared" si="66"/>
        <v>0</v>
      </c>
      <c r="AR18" s="528">
        <f t="shared" si="66"/>
        <v>0</v>
      </c>
      <c r="AS18" s="528">
        <f t="shared" si="66"/>
        <v>0</v>
      </c>
      <c r="AT18" s="528">
        <f t="shared" si="66"/>
        <v>0</v>
      </c>
      <c r="AU18" s="528">
        <f t="shared" si="66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67">SUM(BD889:BD895)</f>
        <v>0</v>
      </c>
      <c r="BE18" s="1183">
        <f t="shared" si="67"/>
        <v>0</v>
      </c>
      <c r="BF18" s="1183">
        <f t="shared" si="67"/>
        <v>0</v>
      </c>
      <c r="BG18" s="1183">
        <f t="shared" si="67"/>
        <v>0</v>
      </c>
      <c r="BH18" s="1183">
        <f t="shared" si="67"/>
        <v>0</v>
      </c>
      <c r="BI18" s="1183">
        <f t="shared" si="67"/>
        <v>0</v>
      </c>
      <c r="BJ18" s="1183">
        <f t="shared" si="67"/>
        <v>0</v>
      </c>
      <c r="BK18" s="1183">
        <f t="shared" si="67"/>
        <v>0</v>
      </c>
      <c r="BL18" s="1183">
        <f t="shared" si="67"/>
        <v>0</v>
      </c>
      <c r="BM18" s="1183">
        <f t="shared" si="67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68">SUM(C896:C899)+SUM(C851:C852)</f>
        <v>0</v>
      </c>
      <c r="D19" s="528">
        <f t="shared" si="68"/>
        <v>0</v>
      </c>
      <c r="E19" s="528">
        <f t="shared" si="68"/>
        <v>0</v>
      </c>
      <c r="F19" s="528">
        <f t="shared" si="68"/>
        <v>0</v>
      </c>
      <c r="G19" s="528">
        <f t="shared" si="68"/>
        <v>0</v>
      </c>
      <c r="H19" s="528">
        <f t="shared" si="68"/>
        <v>0</v>
      </c>
      <c r="I19" s="528">
        <f t="shared" si="68"/>
        <v>0</v>
      </c>
      <c r="J19" s="528">
        <f t="shared" si="68"/>
        <v>0</v>
      </c>
      <c r="K19" s="528">
        <f t="shared" si="68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69">SUM(T896:T899)+SUM(T851:T852)</f>
        <v>0</v>
      </c>
      <c r="U19" s="528">
        <f t="shared" si="69"/>
        <v>0</v>
      </c>
      <c r="V19" s="528">
        <f t="shared" si="69"/>
        <v>0</v>
      </c>
      <c r="W19" s="528">
        <f t="shared" si="69"/>
        <v>0</v>
      </c>
      <c r="X19" s="528">
        <f t="shared" si="69"/>
        <v>0</v>
      </c>
      <c r="Y19" s="528">
        <f t="shared" si="69"/>
        <v>0</v>
      </c>
      <c r="Z19" s="528">
        <f t="shared" si="69"/>
        <v>0</v>
      </c>
      <c r="AA19" s="528">
        <f t="shared" si="69"/>
        <v>0</v>
      </c>
      <c r="AB19" s="1166">
        <f t="shared" si="69"/>
        <v>0</v>
      </c>
      <c r="AC19" s="528">
        <f t="shared" si="69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0">SUM(AL896:AL899)+SUM(AL851:AL852)</f>
        <v>0</v>
      </c>
      <c r="AM19" s="528">
        <f t="shared" si="70"/>
        <v>0</v>
      </c>
      <c r="AN19" s="528">
        <f t="shared" si="70"/>
        <v>0</v>
      </c>
      <c r="AO19" s="1166">
        <f t="shared" si="70"/>
        <v>0</v>
      </c>
      <c r="AP19" s="528">
        <f t="shared" si="70"/>
        <v>0</v>
      </c>
      <c r="AQ19" s="528">
        <f t="shared" si="70"/>
        <v>0</v>
      </c>
      <c r="AR19" s="528">
        <f t="shared" si="70"/>
        <v>0</v>
      </c>
      <c r="AS19" s="528">
        <f t="shared" si="70"/>
        <v>0</v>
      </c>
      <c r="AT19" s="528">
        <f t="shared" si="70"/>
        <v>0</v>
      </c>
      <c r="AU19" s="528">
        <f t="shared" si="70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1">SUM(BD896:BD899)+SUM(BD851:BD852)</f>
        <v>0</v>
      </c>
      <c r="BE19" s="1183">
        <f t="shared" si="71"/>
        <v>0</v>
      </c>
      <c r="BF19" s="1183">
        <f t="shared" si="71"/>
        <v>0</v>
      </c>
      <c r="BG19" s="1183">
        <f t="shared" si="71"/>
        <v>0</v>
      </c>
      <c r="BH19" s="1183">
        <f t="shared" si="71"/>
        <v>0</v>
      </c>
      <c r="BI19" s="1183">
        <f t="shared" si="71"/>
        <v>0</v>
      </c>
      <c r="BJ19" s="1183">
        <f t="shared" si="71"/>
        <v>0</v>
      </c>
      <c r="BK19" s="1183">
        <f t="shared" si="71"/>
        <v>0</v>
      </c>
      <c r="BL19" s="1183">
        <f t="shared" si="71"/>
        <v>0</v>
      </c>
      <c r="BM19" s="1183">
        <f t="shared" si="71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2">SUM(B21:B30)</f>
        <v>0</v>
      </c>
      <c r="C20" s="530">
        <f t="shared" si="72"/>
        <v>0</v>
      </c>
      <c r="D20" s="530">
        <f t="shared" si="72"/>
        <v>0</v>
      </c>
      <c r="E20" s="530">
        <f t="shared" si="72"/>
        <v>0</v>
      </c>
      <c r="F20" s="530">
        <f t="shared" si="72"/>
        <v>0</v>
      </c>
      <c r="G20" s="530">
        <f t="shared" si="72"/>
        <v>0</v>
      </c>
      <c r="H20" s="530">
        <f t="shared" si="72"/>
        <v>0</v>
      </c>
      <c r="I20" s="530">
        <f t="shared" si="72"/>
        <v>0</v>
      </c>
      <c r="J20" s="530">
        <f t="shared" si="72"/>
        <v>0</v>
      </c>
      <c r="K20" s="530">
        <f t="shared" si="72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3">SUM(T21:T30)</f>
        <v>0</v>
      </c>
      <c r="U20" s="530">
        <f t="shared" si="73"/>
        <v>0</v>
      </c>
      <c r="V20" s="530">
        <f t="shared" si="73"/>
        <v>0</v>
      </c>
      <c r="W20" s="530">
        <f t="shared" si="73"/>
        <v>0</v>
      </c>
      <c r="X20" s="530">
        <f t="shared" si="73"/>
        <v>0</v>
      </c>
      <c r="Y20" s="530">
        <f t="shared" si="73"/>
        <v>0</v>
      </c>
      <c r="Z20" s="530">
        <f t="shared" si="73"/>
        <v>0</v>
      </c>
      <c r="AA20" s="530">
        <f t="shared" si="73"/>
        <v>0</v>
      </c>
      <c r="AB20" s="1167">
        <f t="shared" si="73"/>
        <v>0</v>
      </c>
      <c r="AC20" s="530">
        <f t="shared" si="73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4">SUM(AL21:AL30)</f>
        <v>0</v>
      </c>
      <c r="AM20" s="530">
        <f t="shared" si="74"/>
        <v>0</v>
      </c>
      <c r="AN20" s="530">
        <f t="shared" si="74"/>
        <v>0</v>
      </c>
      <c r="AO20" s="1167">
        <f t="shared" si="74"/>
        <v>0</v>
      </c>
      <c r="AP20" s="530">
        <f t="shared" si="74"/>
        <v>0</v>
      </c>
      <c r="AQ20" s="530">
        <f t="shared" si="74"/>
        <v>0</v>
      </c>
      <c r="AR20" s="530">
        <f t="shared" si="74"/>
        <v>0</v>
      </c>
      <c r="AS20" s="530">
        <f t="shared" si="74"/>
        <v>0</v>
      </c>
      <c r="AT20" s="530">
        <f t="shared" si="74"/>
        <v>0</v>
      </c>
      <c r="AU20" s="530">
        <f t="shared" si="74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5">SUM(BD21:BD30)</f>
        <v>0</v>
      </c>
      <c r="BE20" s="1184">
        <f t="shared" si="75"/>
        <v>0</v>
      </c>
      <c r="BF20" s="1184">
        <f t="shared" si="75"/>
        <v>0</v>
      </c>
      <c r="BG20" s="1184">
        <f t="shared" si="75"/>
        <v>0</v>
      </c>
      <c r="BH20" s="1184">
        <f t="shared" si="75"/>
        <v>0</v>
      </c>
      <c r="BI20" s="1184">
        <f t="shared" si="75"/>
        <v>0</v>
      </c>
      <c r="BJ20" s="1184">
        <f t="shared" si="75"/>
        <v>0</v>
      </c>
      <c r="BK20" s="1184">
        <f t="shared" si="75"/>
        <v>0</v>
      </c>
      <c r="BL20" s="1184">
        <f t="shared" si="75"/>
        <v>0</v>
      </c>
      <c r="BM20" s="1184">
        <f t="shared" si="75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26016</v>
      </c>
      <c r="BW20" s="530">
        <f>SUM(BW21:BW30)</f>
        <v>31986</v>
      </c>
      <c r="BX20" s="530">
        <f>SUM(BX21:BX30)</f>
        <v>57600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76">SUM(B931:B961)</f>
        <v>0</v>
      </c>
      <c r="C21" s="538">
        <f t="shared" si="76"/>
        <v>0</v>
      </c>
      <c r="D21" s="538">
        <f t="shared" si="76"/>
        <v>0</v>
      </c>
      <c r="E21" s="538">
        <f t="shared" si="76"/>
        <v>0</v>
      </c>
      <c r="F21" s="538">
        <f t="shared" si="76"/>
        <v>0</v>
      </c>
      <c r="G21" s="538">
        <f t="shared" si="76"/>
        <v>0</v>
      </c>
      <c r="H21" s="538">
        <f t="shared" si="76"/>
        <v>0</v>
      </c>
      <c r="I21" s="538">
        <f t="shared" si="76"/>
        <v>0</v>
      </c>
      <c r="J21" s="538">
        <f t="shared" si="76"/>
        <v>0</v>
      </c>
      <c r="K21" s="538">
        <f t="shared" si="76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77">SUM(T931:T961)</f>
        <v>0</v>
      </c>
      <c r="U21" s="538">
        <f t="shared" si="77"/>
        <v>0</v>
      </c>
      <c r="V21" s="538">
        <f t="shared" si="77"/>
        <v>0</v>
      </c>
      <c r="W21" s="538">
        <f t="shared" si="77"/>
        <v>0</v>
      </c>
      <c r="X21" s="538">
        <f t="shared" si="77"/>
        <v>0</v>
      </c>
      <c r="Y21" s="538">
        <f t="shared" si="77"/>
        <v>0</v>
      </c>
      <c r="Z21" s="538">
        <f t="shared" si="77"/>
        <v>0</v>
      </c>
      <c r="AA21" s="538">
        <f t="shared" si="77"/>
        <v>0</v>
      </c>
      <c r="AB21" s="1168">
        <f t="shared" si="77"/>
        <v>0</v>
      </c>
      <c r="AC21" s="538">
        <f t="shared" si="77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78">SUM(AL931:AL961)</f>
        <v>0</v>
      </c>
      <c r="AM21" s="538">
        <f t="shared" si="78"/>
        <v>0</v>
      </c>
      <c r="AN21" s="538">
        <f t="shared" si="78"/>
        <v>0</v>
      </c>
      <c r="AO21" s="1168">
        <f t="shared" si="78"/>
        <v>0</v>
      </c>
      <c r="AP21" s="538">
        <f t="shared" si="78"/>
        <v>0</v>
      </c>
      <c r="AQ21" s="538">
        <f t="shared" si="78"/>
        <v>0</v>
      </c>
      <c r="AR21" s="538">
        <f t="shared" si="78"/>
        <v>0</v>
      </c>
      <c r="AS21" s="538">
        <f t="shared" si="78"/>
        <v>0</v>
      </c>
      <c r="AT21" s="538">
        <f t="shared" si="78"/>
        <v>0</v>
      </c>
      <c r="AU21" s="538">
        <f t="shared" si="78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79">SUM(BD931:BD961)</f>
        <v>0</v>
      </c>
      <c r="BE21" s="1185">
        <f t="shared" si="79"/>
        <v>0</v>
      </c>
      <c r="BF21" s="1185">
        <f t="shared" si="79"/>
        <v>0</v>
      </c>
      <c r="BG21" s="1185">
        <f t="shared" si="79"/>
        <v>0</v>
      </c>
      <c r="BH21" s="1185">
        <f t="shared" si="79"/>
        <v>0</v>
      </c>
      <c r="BI21" s="1185">
        <f t="shared" si="79"/>
        <v>0</v>
      </c>
      <c r="BJ21" s="1185">
        <f t="shared" si="79"/>
        <v>0</v>
      </c>
      <c r="BK21" s="1185">
        <f t="shared" si="79"/>
        <v>0</v>
      </c>
      <c r="BL21" s="1185">
        <f t="shared" si="79"/>
        <v>0</v>
      </c>
      <c r="BM21" s="1185">
        <f t="shared" si="79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0">SUM(B904:B919)</f>
        <v>0</v>
      </c>
      <c r="C22" s="538">
        <f t="shared" si="80"/>
        <v>0</v>
      </c>
      <c r="D22" s="538">
        <f t="shared" si="80"/>
        <v>0</v>
      </c>
      <c r="E22" s="538">
        <f t="shared" si="80"/>
        <v>0</v>
      </c>
      <c r="F22" s="538">
        <f t="shared" si="80"/>
        <v>0</v>
      </c>
      <c r="G22" s="538">
        <f t="shared" si="80"/>
        <v>0</v>
      </c>
      <c r="H22" s="538">
        <f t="shared" si="80"/>
        <v>0</v>
      </c>
      <c r="I22" s="538">
        <f t="shared" si="80"/>
        <v>0</v>
      </c>
      <c r="J22" s="538">
        <f t="shared" si="80"/>
        <v>0</v>
      </c>
      <c r="K22" s="538">
        <f t="shared" si="80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1">SUM(T904:T919)</f>
        <v>0</v>
      </c>
      <c r="U22" s="538">
        <f t="shared" si="81"/>
        <v>0</v>
      </c>
      <c r="V22" s="538">
        <f t="shared" si="81"/>
        <v>0</v>
      </c>
      <c r="W22" s="538">
        <f t="shared" si="81"/>
        <v>0</v>
      </c>
      <c r="X22" s="538">
        <f t="shared" si="81"/>
        <v>0</v>
      </c>
      <c r="Y22" s="538">
        <f t="shared" si="81"/>
        <v>0</v>
      </c>
      <c r="Z22" s="538">
        <f t="shared" si="81"/>
        <v>0</v>
      </c>
      <c r="AA22" s="538">
        <f t="shared" si="81"/>
        <v>0</v>
      </c>
      <c r="AB22" s="1168">
        <f t="shared" si="81"/>
        <v>0</v>
      </c>
      <c r="AC22" s="538">
        <f t="shared" si="81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2">SUM(AL904:AL919)</f>
        <v>0</v>
      </c>
      <c r="AM22" s="538">
        <f t="shared" si="82"/>
        <v>0</v>
      </c>
      <c r="AN22" s="538">
        <f t="shared" si="82"/>
        <v>0</v>
      </c>
      <c r="AO22" s="1168">
        <f t="shared" si="82"/>
        <v>0</v>
      </c>
      <c r="AP22" s="538">
        <f t="shared" si="82"/>
        <v>0</v>
      </c>
      <c r="AQ22" s="538">
        <f t="shared" si="82"/>
        <v>0</v>
      </c>
      <c r="AR22" s="538">
        <f t="shared" si="82"/>
        <v>0</v>
      </c>
      <c r="AS22" s="538">
        <f t="shared" si="82"/>
        <v>0</v>
      </c>
      <c r="AT22" s="538">
        <f t="shared" si="82"/>
        <v>0</v>
      </c>
      <c r="AU22" s="538">
        <f t="shared" si="82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3">SUM(BD904:BD919)</f>
        <v>0</v>
      </c>
      <c r="BE22" s="1185">
        <f t="shared" si="83"/>
        <v>0</v>
      </c>
      <c r="BF22" s="1185">
        <f t="shared" si="83"/>
        <v>0</v>
      </c>
      <c r="BG22" s="1185">
        <f t="shared" si="83"/>
        <v>0</v>
      </c>
      <c r="BH22" s="1185">
        <f t="shared" si="83"/>
        <v>0</v>
      </c>
      <c r="BI22" s="1185">
        <f t="shared" si="83"/>
        <v>0</v>
      </c>
      <c r="BJ22" s="1185">
        <f t="shared" si="83"/>
        <v>0</v>
      </c>
      <c r="BK22" s="1185">
        <f t="shared" si="83"/>
        <v>0</v>
      </c>
      <c r="BL22" s="1185">
        <f t="shared" si="83"/>
        <v>0</v>
      </c>
      <c r="BM22" s="1185">
        <f t="shared" si="83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4">SUM(B920:B930)</f>
        <v>0</v>
      </c>
      <c r="C23" s="538">
        <f t="shared" si="84"/>
        <v>0</v>
      </c>
      <c r="D23" s="538">
        <f t="shared" si="84"/>
        <v>0</v>
      </c>
      <c r="E23" s="538">
        <f t="shared" si="84"/>
        <v>0</v>
      </c>
      <c r="F23" s="538">
        <f t="shared" si="84"/>
        <v>0</v>
      </c>
      <c r="G23" s="538">
        <f t="shared" si="84"/>
        <v>0</v>
      </c>
      <c r="H23" s="538">
        <f t="shared" si="84"/>
        <v>0</v>
      </c>
      <c r="I23" s="538">
        <f t="shared" si="84"/>
        <v>0</v>
      </c>
      <c r="J23" s="538">
        <f t="shared" si="84"/>
        <v>0</v>
      </c>
      <c r="K23" s="538">
        <f t="shared" si="84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5">SUM(T920:T930)</f>
        <v>0</v>
      </c>
      <c r="U23" s="538">
        <f t="shared" si="85"/>
        <v>0</v>
      </c>
      <c r="V23" s="538">
        <f t="shared" si="85"/>
        <v>0</v>
      </c>
      <c r="W23" s="538">
        <f t="shared" si="85"/>
        <v>0</v>
      </c>
      <c r="X23" s="538">
        <f t="shared" si="85"/>
        <v>0</v>
      </c>
      <c r="Y23" s="538">
        <f t="shared" si="85"/>
        <v>0</v>
      </c>
      <c r="Z23" s="538">
        <f t="shared" si="85"/>
        <v>0</v>
      </c>
      <c r="AA23" s="538">
        <f t="shared" si="85"/>
        <v>0</v>
      </c>
      <c r="AB23" s="1168">
        <f t="shared" si="85"/>
        <v>0</v>
      </c>
      <c r="AC23" s="538">
        <f t="shared" si="85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86">SUM(AL920:AL930)</f>
        <v>0</v>
      </c>
      <c r="AM23" s="538">
        <f t="shared" si="86"/>
        <v>0</v>
      </c>
      <c r="AN23" s="538">
        <f t="shared" si="86"/>
        <v>0</v>
      </c>
      <c r="AO23" s="1168">
        <f t="shared" si="86"/>
        <v>0</v>
      </c>
      <c r="AP23" s="538">
        <f t="shared" si="86"/>
        <v>0</v>
      </c>
      <c r="AQ23" s="538">
        <f t="shared" si="86"/>
        <v>0</v>
      </c>
      <c r="AR23" s="538">
        <f t="shared" si="86"/>
        <v>0</v>
      </c>
      <c r="AS23" s="538">
        <f t="shared" si="86"/>
        <v>0</v>
      </c>
      <c r="AT23" s="538">
        <f t="shared" si="86"/>
        <v>0</v>
      </c>
      <c r="AU23" s="538">
        <f t="shared" si="86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87">SUM(BD920:BD930)</f>
        <v>0</v>
      </c>
      <c r="BE23" s="1185">
        <f t="shared" si="87"/>
        <v>0</v>
      </c>
      <c r="BF23" s="1185">
        <f t="shared" si="87"/>
        <v>0</v>
      </c>
      <c r="BG23" s="1185">
        <f t="shared" si="87"/>
        <v>0</v>
      </c>
      <c r="BH23" s="1185">
        <f t="shared" si="87"/>
        <v>0</v>
      </c>
      <c r="BI23" s="1185">
        <f t="shared" si="87"/>
        <v>0</v>
      </c>
      <c r="BJ23" s="1185">
        <f t="shared" si="87"/>
        <v>0</v>
      </c>
      <c r="BK23" s="1185">
        <f t="shared" si="87"/>
        <v>0</v>
      </c>
      <c r="BL23" s="1185">
        <f t="shared" si="87"/>
        <v>0</v>
      </c>
      <c r="BM23" s="1185">
        <f t="shared" si="87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88">SUM(C965:C968)</f>
        <v>0</v>
      </c>
      <c r="D24" s="538">
        <f t="shared" si="88"/>
        <v>0</v>
      </c>
      <c r="E24" s="538">
        <f t="shared" si="88"/>
        <v>0</v>
      </c>
      <c r="F24" s="538">
        <f t="shared" si="88"/>
        <v>0</v>
      </c>
      <c r="G24" s="538">
        <f t="shared" si="88"/>
        <v>0</v>
      </c>
      <c r="H24" s="538">
        <f t="shared" si="88"/>
        <v>0</v>
      </c>
      <c r="I24" s="538">
        <f t="shared" si="88"/>
        <v>0</v>
      </c>
      <c r="J24" s="538">
        <f t="shared" si="88"/>
        <v>0</v>
      </c>
      <c r="K24" s="538">
        <f t="shared" si="88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89">SUM(U965:U968)</f>
        <v>0</v>
      </c>
      <c r="V24" s="538">
        <f t="shared" si="89"/>
        <v>0</v>
      </c>
      <c r="W24" s="538">
        <f t="shared" si="89"/>
        <v>0</v>
      </c>
      <c r="X24" s="538">
        <f t="shared" si="89"/>
        <v>0</v>
      </c>
      <c r="Y24" s="538">
        <f t="shared" si="89"/>
        <v>0</v>
      </c>
      <c r="Z24" s="538">
        <f t="shared" si="89"/>
        <v>0</v>
      </c>
      <c r="AA24" s="538">
        <f t="shared" si="89"/>
        <v>0</v>
      </c>
      <c r="AB24" s="1168">
        <f t="shared" si="89"/>
        <v>0</v>
      </c>
      <c r="AC24" s="538">
        <f t="shared" si="89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0">SUM(AM965:AM968)</f>
        <v>0</v>
      </c>
      <c r="AN24" s="538">
        <f t="shared" si="90"/>
        <v>0</v>
      </c>
      <c r="AO24" s="1168">
        <f t="shared" si="90"/>
        <v>0</v>
      </c>
      <c r="AP24" s="538">
        <f t="shared" si="90"/>
        <v>0</v>
      </c>
      <c r="AQ24" s="538">
        <f t="shared" si="90"/>
        <v>0</v>
      </c>
      <c r="AR24" s="538">
        <f t="shared" si="90"/>
        <v>0</v>
      </c>
      <c r="AS24" s="538">
        <f t="shared" si="90"/>
        <v>0</v>
      </c>
      <c r="AT24" s="538">
        <f t="shared" si="90"/>
        <v>0</v>
      </c>
      <c r="AU24" s="538">
        <f t="shared" si="90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1">SUM(BE965:BE968)</f>
        <v>0</v>
      </c>
      <c r="BF24" s="1185">
        <f t="shared" si="91"/>
        <v>0</v>
      </c>
      <c r="BG24" s="1185">
        <f t="shared" si="91"/>
        <v>0</v>
      </c>
      <c r="BH24" s="1185">
        <f t="shared" si="91"/>
        <v>0</v>
      </c>
      <c r="BI24" s="1185">
        <f t="shared" si="91"/>
        <v>0</v>
      </c>
      <c r="BJ24" s="1185">
        <f t="shared" si="91"/>
        <v>0</v>
      </c>
      <c r="BK24" s="1185">
        <f t="shared" si="91"/>
        <v>0</v>
      </c>
      <c r="BL24" s="1185">
        <f t="shared" si="91"/>
        <v>0</v>
      </c>
      <c r="BM24" s="1185">
        <f t="shared" si="91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10630</v>
      </c>
      <c r="BW24" s="538">
        <f>SUM(BW965:BW968)</f>
        <v>14500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2">SUM(C969:C971)</f>
        <v>0</v>
      </c>
      <c r="D25" s="538">
        <f t="shared" si="92"/>
        <v>0</v>
      </c>
      <c r="E25" s="538">
        <f t="shared" si="92"/>
        <v>0</v>
      </c>
      <c r="F25" s="538">
        <f t="shared" si="92"/>
        <v>0</v>
      </c>
      <c r="G25" s="538">
        <f t="shared" si="92"/>
        <v>0</v>
      </c>
      <c r="H25" s="538">
        <f t="shared" si="92"/>
        <v>0</v>
      </c>
      <c r="I25" s="538">
        <f t="shared" si="92"/>
        <v>0</v>
      </c>
      <c r="J25" s="538">
        <f t="shared" si="92"/>
        <v>0</v>
      </c>
      <c r="K25" s="538">
        <f t="shared" si="92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3">SUM(U969:U971)</f>
        <v>0</v>
      </c>
      <c r="V25" s="538">
        <f t="shared" si="93"/>
        <v>0</v>
      </c>
      <c r="W25" s="538">
        <f t="shared" si="93"/>
        <v>0</v>
      </c>
      <c r="X25" s="538">
        <f t="shared" si="93"/>
        <v>0</v>
      </c>
      <c r="Y25" s="538">
        <f t="shared" si="93"/>
        <v>0</v>
      </c>
      <c r="Z25" s="538">
        <f t="shared" si="93"/>
        <v>0</v>
      </c>
      <c r="AA25" s="538">
        <f t="shared" si="93"/>
        <v>0</v>
      </c>
      <c r="AB25" s="1168">
        <f t="shared" si="93"/>
        <v>0</v>
      </c>
      <c r="AC25" s="538">
        <f t="shared" si="93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4">SUM(AM969:AM971)</f>
        <v>0</v>
      </c>
      <c r="AN25" s="538">
        <f t="shared" si="94"/>
        <v>0</v>
      </c>
      <c r="AO25" s="1168">
        <f t="shared" si="94"/>
        <v>0</v>
      </c>
      <c r="AP25" s="538">
        <f t="shared" si="94"/>
        <v>0</v>
      </c>
      <c r="AQ25" s="538">
        <f t="shared" si="94"/>
        <v>0</v>
      </c>
      <c r="AR25" s="538">
        <f t="shared" si="94"/>
        <v>0</v>
      </c>
      <c r="AS25" s="538">
        <f t="shared" si="94"/>
        <v>0</v>
      </c>
      <c r="AT25" s="538">
        <f t="shared" si="94"/>
        <v>0</v>
      </c>
      <c r="AU25" s="538">
        <f t="shared" si="94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5">SUM(BE969:BE971)</f>
        <v>0</v>
      </c>
      <c r="BF25" s="1185">
        <f t="shared" si="95"/>
        <v>0</v>
      </c>
      <c r="BG25" s="1185">
        <f t="shared" si="95"/>
        <v>0</v>
      </c>
      <c r="BH25" s="1185">
        <f t="shared" si="95"/>
        <v>0</v>
      </c>
      <c r="BI25" s="1185">
        <f t="shared" si="95"/>
        <v>0</v>
      </c>
      <c r="BJ25" s="1185">
        <f t="shared" si="95"/>
        <v>0</v>
      </c>
      <c r="BK25" s="1185">
        <f t="shared" si="95"/>
        <v>0</v>
      </c>
      <c r="BL25" s="1185">
        <f t="shared" si="95"/>
        <v>0</v>
      </c>
      <c r="BM25" s="1185">
        <f t="shared" si="95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4200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96">SUM(B972:B974)</f>
        <v>0</v>
      </c>
      <c r="C26" s="538">
        <f t="shared" si="96"/>
        <v>0</v>
      </c>
      <c r="D26" s="538">
        <f t="shared" si="96"/>
        <v>0</v>
      </c>
      <c r="E26" s="538">
        <f t="shared" si="96"/>
        <v>0</v>
      </c>
      <c r="F26" s="538">
        <f t="shared" si="96"/>
        <v>0</v>
      </c>
      <c r="G26" s="538">
        <f t="shared" si="96"/>
        <v>0</v>
      </c>
      <c r="H26" s="538">
        <f t="shared" si="96"/>
        <v>0</v>
      </c>
      <c r="I26" s="538">
        <f t="shared" si="96"/>
        <v>0</v>
      </c>
      <c r="J26" s="538">
        <f t="shared" si="96"/>
        <v>0</v>
      </c>
      <c r="K26" s="538">
        <f t="shared" si="96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97">SUM(T972:T974)</f>
        <v>0</v>
      </c>
      <c r="U26" s="538">
        <f t="shared" si="97"/>
        <v>0</v>
      </c>
      <c r="V26" s="538">
        <f t="shared" si="97"/>
        <v>0</v>
      </c>
      <c r="W26" s="538">
        <f t="shared" si="97"/>
        <v>0</v>
      </c>
      <c r="X26" s="538">
        <f t="shared" si="97"/>
        <v>0</v>
      </c>
      <c r="Y26" s="538">
        <f t="shared" si="97"/>
        <v>0</v>
      </c>
      <c r="Z26" s="538">
        <f t="shared" si="97"/>
        <v>0</v>
      </c>
      <c r="AA26" s="538">
        <f t="shared" si="97"/>
        <v>0</v>
      </c>
      <c r="AB26" s="1168">
        <f t="shared" si="97"/>
        <v>0</v>
      </c>
      <c r="AC26" s="538">
        <f t="shared" si="97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98">SUM(AL972:AL974)</f>
        <v>0</v>
      </c>
      <c r="AM26" s="538">
        <f t="shared" si="98"/>
        <v>0</v>
      </c>
      <c r="AN26" s="538">
        <f t="shared" si="98"/>
        <v>0</v>
      </c>
      <c r="AO26" s="1168">
        <f t="shared" si="98"/>
        <v>0</v>
      </c>
      <c r="AP26" s="538">
        <f t="shared" si="98"/>
        <v>0</v>
      </c>
      <c r="AQ26" s="538">
        <f t="shared" si="98"/>
        <v>0</v>
      </c>
      <c r="AR26" s="538">
        <f t="shared" si="98"/>
        <v>0</v>
      </c>
      <c r="AS26" s="538">
        <f t="shared" si="98"/>
        <v>0</v>
      </c>
      <c r="AT26" s="538">
        <f t="shared" si="98"/>
        <v>0</v>
      </c>
      <c r="AU26" s="538">
        <f t="shared" si="98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99">SUM(BD972:BD974)</f>
        <v>0</v>
      </c>
      <c r="BE26" s="1185">
        <f t="shared" si="99"/>
        <v>0</v>
      </c>
      <c r="BF26" s="1185">
        <f t="shared" si="99"/>
        <v>0</v>
      </c>
      <c r="BG26" s="1185">
        <f t="shared" si="99"/>
        <v>0</v>
      </c>
      <c r="BH26" s="1185">
        <f t="shared" si="99"/>
        <v>0</v>
      </c>
      <c r="BI26" s="1185">
        <f t="shared" si="99"/>
        <v>0</v>
      </c>
      <c r="BJ26" s="1185">
        <f t="shared" si="99"/>
        <v>0</v>
      </c>
      <c r="BK26" s="1185">
        <f t="shared" si="99"/>
        <v>0</v>
      </c>
      <c r="BL26" s="1185">
        <f t="shared" si="99"/>
        <v>0</v>
      </c>
      <c r="BM26" s="1185">
        <f t="shared" si="99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4500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0">SUM(B975:B976)</f>
        <v>0</v>
      </c>
      <c r="C27" s="538">
        <f t="shared" si="100"/>
        <v>0</v>
      </c>
      <c r="D27" s="538">
        <f t="shared" si="100"/>
        <v>0</v>
      </c>
      <c r="E27" s="538">
        <f t="shared" si="100"/>
        <v>0</v>
      </c>
      <c r="F27" s="538">
        <f t="shared" si="100"/>
        <v>0</v>
      </c>
      <c r="G27" s="538">
        <f t="shared" si="100"/>
        <v>0</v>
      </c>
      <c r="H27" s="538">
        <f t="shared" si="100"/>
        <v>0</v>
      </c>
      <c r="I27" s="538">
        <f t="shared" si="100"/>
        <v>0</v>
      </c>
      <c r="J27" s="538">
        <f t="shared" si="100"/>
        <v>0</v>
      </c>
      <c r="K27" s="538">
        <f t="shared" si="100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1">SUM(T975:T976)</f>
        <v>0</v>
      </c>
      <c r="U27" s="538">
        <f t="shared" si="101"/>
        <v>0</v>
      </c>
      <c r="V27" s="538">
        <f t="shared" si="101"/>
        <v>0</v>
      </c>
      <c r="W27" s="538">
        <f t="shared" si="101"/>
        <v>0</v>
      </c>
      <c r="X27" s="538">
        <f t="shared" si="101"/>
        <v>0</v>
      </c>
      <c r="Y27" s="538">
        <f t="shared" si="101"/>
        <v>0</v>
      </c>
      <c r="Z27" s="538">
        <f t="shared" si="101"/>
        <v>0</v>
      </c>
      <c r="AA27" s="538">
        <f t="shared" si="101"/>
        <v>0</v>
      </c>
      <c r="AB27" s="1168">
        <f t="shared" si="101"/>
        <v>0</v>
      </c>
      <c r="AC27" s="538">
        <f t="shared" si="101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2">SUM(AL975:AL976)</f>
        <v>0</v>
      </c>
      <c r="AM27" s="538">
        <f t="shared" si="102"/>
        <v>0</v>
      </c>
      <c r="AN27" s="538">
        <f t="shared" si="102"/>
        <v>0</v>
      </c>
      <c r="AO27" s="1168">
        <f t="shared" si="102"/>
        <v>0</v>
      </c>
      <c r="AP27" s="538">
        <f t="shared" si="102"/>
        <v>0</v>
      </c>
      <c r="AQ27" s="538">
        <f t="shared" si="102"/>
        <v>0</v>
      </c>
      <c r="AR27" s="538">
        <f t="shared" si="102"/>
        <v>0</v>
      </c>
      <c r="AS27" s="538">
        <f t="shared" si="102"/>
        <v>0</v>
      </c>
      <c r="AT27" s="538">
        <f t="shared" si="102"/>
        <v>0</v>
      </c>
      <c r="AU27" s="538">
        <f t="shared" si="102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3">SUM(BD975:BD976)</f>
        <v>0</v>
      </c>
      <c r="BE27" s="1185">
        <f t="shared" si="103"/>
        <v>0</v>
      </c>
      <c r="BF27" s="1185">
        <f t="shared" si="103"/>
        <v>0</v>
      </c>
      <c r="BG27" s="1185">
        <f t="shared" si="103"/>
        <v>0</v>
      </c>
      <c r="BH27" s="1185">
        <f t="shared" si="103"/>
        <v>0</v>
      </c>
      <c r="BI27" s="1185">
        <f t="shared" si="103"/>
        <v>0</v>
      </c>
      <c r="BJ27" s="1185">
        <f t="shared" si="103"/>
        <v>0</v>
      </c>
      <c r="BK27" s="1185">
        <f t="shared" si="103"/>
        <v>0</v>
      </c>
      <c r="BL27" s="1185">
        <f t="shared" si="103"/>
        <v>0</v>
      </c>
      <c r="BM27" s="1185">
        <f t="shared" si="103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27600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4">SUM(B977:B980)</f>
        <v>0</v>
      </c>
      <c r="C28" s="538">
        <f t="shared" si="104"/>
        <v>0</v>
      </c>
      <c r="D28" s="538">
        <f t="shared" si="104"/>
        <v>0</v>
      </c>
      <c r="E28" s="538">
        <f t="shared" si="104"/>
        <v>0</v>
      </c>
      <c r="F28" s="538">
        <f t="shared" si="104"/>
        <v>0</v>
      </c>
      <c r="G28" s="538">
        <f t="shared" si="104"/>
        <v>0</v>
      </c>
      <c r="H28" s="538">
        <f t="shared" si="104"/>
        <v>0</v>
      </c>
      <c r="I28" s="538">
        <f t="shared" si="104"/>
        <v>0</v>
      </c>
      <c r="J28" s="538">
        <f t="shared" si="104"/>
        <v>0</v>
      </c>
      <c r="K28" s="538">
        <f t="shared" si="104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5">SUM(T977:T980)</f>
        <v>0</v>
      </c>
      <c r="U28" s="538">
        <f t="shared" si="105"/>
        <v>0</v>
      </c>
      <c r="V28" s="538">
        <f t="shared" si="105"/>
        <v>0</v>
      </c>
      <c r="W28" s="538">
        <f t="shared" si="105"/>
        <v>0</v>
      </c>
      <c r="X28" s="538">
        <f t="shared" si="105"/>
        <v>0</v>
      </c>
      <c r="Y28" s="538">
        <f t="shared" si="105"/>
        <v>0</v>
      </c>
      <c r="Z28" s="538">
        <f t="shared" si="105"/>
        <v>0</v>
      </c>
      <c r="AA28" s="538">
        <f t="shared" si="105"/>
        <v>0</v>
      </c>
      <c r="AB28" s="1168">
        <f t="shared" si="105"/>
        <v>0</v>
      </c>
      <c r="AC28" s="538">
        <f t="shared" si="105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06">SUM(AL977:AL980)</f>
        <v>0</v>
      </c>
      <c r="AM28" s="538">
        <f t="shared" si="106"/>
        <v>0</v>
      </c>
      <c r="AN28" s="538">
        <f t="shared" si="106"/>
        <v>0</v>
      </c>
      <c r="AO28" s="1168">
        <f t="shared" si="106"/>
        <v>0</v>
      </c>
      <c r="AP28" s="538">
        <f t="shared" si="106"/>
        <v>0</v>
      </c>
      <c r="AQ28" s="538">
        <f t="shared" si="106"/>
        <v>0</v>
      </c>
      <c r="AR28" s="538">
        <f t="shared" si="106"/>
        <v>0</v>
      </c>
      <c r="AS28" s="538">
        <f t="shared" si="106"/>
        <v>0</v>
      </c>
      <c r="AT28" s="538">
        <f t="shared" si="106"/>
        <v>0</v>
      </c>
      <c r="AU28" s="538">
        <f t="shared" si="106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07">SUM(BD977:BD980)</f>
        <v>0</v>
      </c>
      <c r="BE28" s="1185">
        <f t="shared" si="107"/>
        <v>0</v>
      </c>
      <c r="BF28" s="1185">
        <f t="shared" si="107"/>
        <v>0</v>
      </c>
      <c r="BG28" s="1185">
        <f t="shared" si="107"/>
        <v>0</v>
      </c>
      <c r="BH28" s="1185">
        <f t="shared" si="107"/>
        <v>0</v>
      </c>
      <c r="BI28" s="1185">
        <f t="shared" si="107"/>
        <v>0</v>
      </c>
      <c r="BJ28" s="1185">
        <f t="shared" si="107"/>
        <v>0</v>
      </c>
      <c r="BK28" s="1185">
        <f t="shared" si="107"/>
        <v>0</v>
      </c>
      <c r="BL28" s="1185">
        <f t="shared" si="107"/>
        <v>0</v>
      </c>
      <c r="BM28" s="1185">
        <f t="shared" si="107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08">SUM(B981:B984)</f>
        <v>0</v>
      </c>
      <c r="C29" s="538">
        <f t="shared" si="108"/>
        <v>0</v>
      </c>
      <c r="D29" s="538">
        <f t="shared" si="108"/>
        <v>0</v>
      </c>
      <c r="E29" s="538">
        <f t="shared" si="108"/>
        <v>0</v>
      </c>
      <c r="F29" s="538">
        <f t="shared" si="108"/>
        <v>0</v>
      </c>
      <c r="G29" s="538">
        <f t="shared" si="108"/>
        <v>0</v>
      </c>
      <c r="H29" s="538">
        <f t="shared" si="108"/>
        <v>0</v>
      </c>
      <c r="I29" s="538">
        <f t="shared" si="108"/>
        <v>0</v>
      </c>
      <c r="J29" s="538">
        <f t="shared" si="108"/>
        <v>0</v>
      </c>
      <c r="K29" s="538">
        <f t="shared" si="108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09">SUM(T981:T984)</f>
        <v>0</v>
      </c>
      <c r="U29" s="538">
        <f t="shared" si="109"/>
        <v>0</v>
      </c>
      <c r="V29" s="538">
        <f t="shared" si="109"/>
        <v>0</v>
      </c>
      <c r="W29" s="538">
        <f t="shared" si="109"/>
        <v>0</v>
      </c>
      <c r="X29" s="538">
        <f t="shared" si="109"/>
        <v>0</v>
      </c>
      <c r="Y29" s="538">
        <f t="shared" si="109"/>
        <v>0</v>
      </c>
      <c r="Z29" s="538">
        <f t="shared" si="109"/>
        <v>0</v>
      </c>
      <c r="AA29" s="538">
        <f t="shared" si="109"/>
        <v>0</v>
      </c>
      <c r="AB29" s="1168">
        <f t="shared" si="109"/>
        <v>0</v>
      </c>
      <c r="AC29" s="538">
        <f t="shared" si="109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0">SUM(AL981:AL984)</f>
        <v>0</v>
      </c>
      <c r="AM29" s="538">
        <f t="shared" si="110"/>
        <v>0</v>
      </c>
      <c r="AN29" s="538">
        <f t="shared" si="110"/>
        <v>0</v>
      </c>
      <c r="AO29" s="1168">
        <f t="shared" si="110"/>
        <v>0</v>
      </c>
      <c r="AP29" s="538">
        <f t="shared" si="110"/>
        <v>0</v>
      </c>
      <c r="AQ29" s="538">
        <f t="shared" si="110"/>
        <v>0</v>
      </c>
      <c r="AR29" s="538">
        <f t="shared" si="110"/>
        <v>0</v>
      </c>
      <c r="AS29" s="538">
        <f t="shared" si="110"/>
        <v>0</v>
      </c>
      <c r="AT29" s="538">
        <f t="shared" si="110"/>
        <v>0</v>
      </c>
      <c r="AU29" s="538">
        <f t="shared" si="110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1">SUM(BD981:BD984)</f>
        <v>0</v>
      </c>
      <c r="BE29" s="1185">
        <f t="shared" si="111"/>
        <v>0</v>
      </c>
      <c r="BF29" s="1185">
        <f t="shared" si="111"/>
        <v>0</v>
      </c>
      <c r="BG29" s="1185">
        <f t="shared" si="111"/>
        <v>0</v>
      </c>
      <c r="BH29" s="1185">
        <f t="shared" si="111"/>
        <v>0</v>
      </c>
      <c r="BI29" s="1185">
        <f t="shared" si="111"/>
        <v>0</v>
      </c>
      <c r="BJ29" s="1185">
        <f t="shared" si="111"/>
        <v>0</v>
      </c>
      <c r="BK29" s="1185">
        <f t="shared" si="111"/>
        <v>0</v>
      </c>
      <c r="BL29" s="1185">
        <f t="shared" si="111"/>
        <v>0</v>
      </c>
      <c r="BM29" s="1185">
        <f t="shared" si="111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2"/>
        <v>0</v>
      </c>
      <c r="CF29" s="1021">
        <f t="shared" si="112"/>
        <v>0</v>
      </c>
      <c r="CG29" s="1021">
        <f t="shared" si="112"/>
        <v>0</v>
      </c>
      <c r="CH29" s="1022">
        <f t="shared" si="112"/>
        <v>0</v>
      </c>
      <c r="CI29" s="1022">
        <f t="shared" si="112"/>
        <v>0</v>
      </c>
      <c r="CJ29" s="1021">
        <f t="shared" si="112"/>
        <v>0</v>
      </c>
      <c r="CK29" s="1021">
        <f t="shared" si="112"/>
        <v>0</v>
      </c>
      <c r="CL29" s="1021">
        <f t="shared" si="112"/>
        <v>0</v>
      </c>
      <c r="CM29" s="1020">
        <f t="shared" si="112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3">SUM(B962:B964)</f>
        <v>0</v>
      </c>
      <c r="C30" s="538">
        <f t="shared" si="113"/>
        <v>0</v>
      </c>
      <c r="D30" s="538">
        <f t="shared" si="113"/>
        <v>0</v>
      </c>
      <c r="E30" s="538">
        <f t="shared" si="113"/>
        <v>0</v>
      </c>
      <c r="F30" s="538">
        <f t="shared" si="113"/>
        <v>0</v>
      </c>
      <c r="G30" s="538">
        <f t="shared" si="113"/>
        <v>0</v>
      </c>
      <c r="H30" s="538">
        <f t="shared" si="113"/>
        <v>0</v>
      </c>
      <c r="I30" s="538">
        <f t="shared" si="113"/>
        <v>0</v>
      </c>
      <c r="J30" s="538">
        <f t="shared" si="113"/>
        <v>0</v>
      </c>
      <c r="K30" s="538">
        <f t="shared" si="113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4">SUM(T962:T964)</f>
        <v>0</v>
      </c>
      <c r="U30" s="538">
        <f t="shared" si="114"/>
        <v>0</v>
      </c>
      <c r="V30" s="538">
        <f t="shared" si="114"/>
        <v>0</v>
      </c>
      <c r="W30" s="538">
        <f t="shared" si="114"/>
        <v>0</v>
      </c>
      <c r="X30" s="538">
        <f t="shared" si="114"/>
        <v>0</v>
      </c>
      <c r="Y30" s="538">
        <f t="shared" si="114"/>
        <v>0</v>
      </c>
      <c r="Z30" s="538">
        <f t="shared" si="114"/>
        <v>0</v>
      </c>
      <c r="AA30" s="538">
        <f t="shared" si="114"/>
        <v>0</v>
      </c>
      <c r="AB30" s="1168">
        <f t="shared" si="114"/>
        <v>0</v>
      </c>
      <c r="AC30" s="538">
        <f t="shared" si="114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5">SUM(AL962:AL964)</f>
        <v>0</v>
      </c>
      <c r="AM30" s="538">
        <f t="shared" si="115"/>
        <v>0</v>
      </c>
      <c r="AN30" s="538">
        <f t="shared" si="115"/>
        <v>0</v>
      </c>
      <c r="AO30" s="1168">
        <f t="shared" si="115"/>
        <v>0</v>
      </c>
      <c r="AP30" s="538">
        <f t="shared" si="115"/>
        <v>0</v>
      </c>
      <c r="AQ30" s="538">
        <f t="shared" si="115"/>
        <v>0</v>
      </c>
      <c r="AR30" s="538">
        <f t="shared" si="115"/>
        <v>0</v>
      </c>
      <c r="AS30" s="538">
        <f t="shared" si="115"/>
        <v>0</v>
      </c>
      <c r="AT30" s="538">
        <f t="shared" si="115"/>
        <v>0</v>
      </c>
      <c r="AU30" s="538">
        <f t="shared" si="115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16">SUM(BD962:BD964)</f>
        <v>0</v>
      </c>
      <c r="BE30" s="1185">
        <f t="shared" si="116"/>
        <v>0</v>
      </c>
      <c r="BF30" s="1185">
        <f t="shared" si="116"/>
        <v>0</v>
      </c>
      <c r="BG30" s="1185">
        <f t="shared" si="116"/>
        <v>0</v>
      </c>
      <c r="BH30" s="1185">
        <f t="shared" si="116"/>
        <v>0</v>
      </c>
      <c r="BI30" s="1185">
        <f t="shared" si="116"/>
        <v>0</v>
      </c>
      <c r="BJ30" s="1185">
        <f t="shared" si="116"/>
        <v>0</v>
      </c>
      <c r="BK30" s="1185">
        <f t="shared" si="116"/>
        <v>0</v>
      </c>
      <c r="BL30" s="1185">
        <f t="shared" si="116"/>
        <v>0</v>
      </c>
      <c r="BM30" s="1185">
        <f t="shared" si="116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17">IF(DE30&lt;3,"",(SUM(B30:R30)-MIN(B30:R30)-MAX(B30:R30))/(DE30-2))</f>
        <v>0</v>
      </c>
      <c r="CA30" s="532">
        <f t="shared" ref="CA30:CA93" si="118">IF(DF30&lt;3,"",(SUM(T30:AJ30)-MIN(T30:AJ30)-MAX(T30:AJ30))/(DF30-2))</f>
        <v>0</v>
      </c>
      <c r="CB30" s="532">
        <f t="shared" ref="CB30:CB93" si="119">IF(DG30&lt;3,"",(SUM(AL30:BB30)-MIN(AL30:BB30)-MAX(AL30:BB30))/(DG30-2))</f>
        <v>0</v>
      </c>
      <c r="CC30" s="532">
        <f t="shared" ref="CC30:CC93" si="120">IF(DH30&lt;3,"",(SUM(BD30:BT30)-MIN(BD30:BT30)-MAX(BD30:BT30))/(DH30-2))</f>
        <v>0</v>
      </c>
      <c r="CD30" s="1020">
        <f t="shared" si="112"/>
        <v>0</v>
      </c>
      <c r="CE30" s="1021">
        <f t="shared" si="112"/>
        <v>0</v>
      </c>
      <c r="CF30" s="1021">
        <f t="shared" si="112"/>
        <v>0</v>
      </c>
      <c r="CG30" s="1021">
        <f t="shared" si="112"/>
        <v>0</v>
      </c>
      <c r="CH30" s="1022">
        <f t="shared" si="112"/>
        <v>0</v>
      </c>
      <c r="CI30" s="1022">
        <f t="shared" si="112"/>
        <v>0</v>
      </c>
      <c r="CJ30" s="1021">
        <f t="shared" si="112"/>
        <v>0</v>
      </c>
      <c r="CK30" s="1021">
        <f t="shared" si="112"/>
        <v>0</v>
      </c>
      <c r="CL30" s="1021">
        <f t="shared" si="112"/>
        <v>0</v>
      </c>
      <c r="CM30" s="1020">
        <f t="shared" si="112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1">COUNT(B30:R30)</f>
        <v>10</v>
      </c>
      <c r="DF30" s="499">
        <f t="shared" ref="DF30:DF43" si="122">COUNT(T30:AJ30)</f>
        <v>10</v>
      </c>
      <c r="DG30" s="499">
        <f t="shared" ref="DG30:DG43" si="123">COUNT(AL30:BB30)</f>
        <v>10</v>
      </c>
      <c r="DH30" s="499">
        <f t="shared" ref="DH30:DH43" si="124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5">SUM(B32:B41)</f>
        <v>0</v>
      </c>
      <c r="C31" s="530">
        <f t="shared" si="125"/>
        <v>0</v>
      </c>
      <c r="D31" s="530">
        <f t="shared" si="125"/>
        <v>0</v>
      </c>
      <c r="E31" s="530">
        <f t="shared" si="125"/>
        <v>0</v>
      </c>
      <c r="F31" s="530">
        <f t="shared" si="125"/>
        <v>0</v>
      </c>
      <c r="G31" s="530">
        <f t="shared" si="125"/>
        <v>0</v>
      </c>
      <c r="H31" s="530">
        <f t="shared" si="125"/>
        <v>0</v>
      </c>
      <c r="I31" s="530">
        <f t="shared" si="125"/>
        <v>0</v>
      </c>
      <c r="J31" s="530">
        <f t="shared" si="125"/>
        <v>0</v>
      </c>
      <c r="K31" s="530">
        <f t="shared" si="125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26">SUM(T32:T41)</f>
        <v>0</v>
      </c>
      <c r="U31" s="530">
        <f t="shared" si="126"/>
        <v>0</v>
      </c>
      <c r="V31" s="530">
        <f t="shared" si="126"/>
        <v>0</v>
      </c>
      <c r="W31" s="530">
        <f t="shared" si="126"/>
        <v>0</v>
      </c>
      <c r="X31" s="530">
        <f t="shared" si="126"/>
        <v>0</v>
      </c>
      <c r="Y31" s="530">
        <f t="shared" si="126"/>
        <v>0</v>
      </c>
      <c r="Z31" s="530">
        <f t="shared" si="126"/>
        <v>0</v>
      </c>
      <c r="AA31" s="530">
        <f t="shared" si="126"/>
        <v>0</v>
      </c>
      <c r="AB31" s="1167">
        <f t="shared" si="126"/>
        <v>0</v>
      </c>
      <c r="AC31" s="530">
        <f t="shared" si="126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27">SUM(AL32:AL41)</f>
        <v>0</v>
      </c>
      <c r="AM31" s="530">
        <f t="shared" si="127"/>
        <v>0</v>
      </c>
      <c r="AN31" s="530">
        <f t="shared" si="127"/>
        <v>0</v>
      </c>
      <c r="AO31" s="1167">
        <f t="shared" si="127"/>
        <v>0</v>
      </c>
      <c r="AP31" s="530">
        <f t="shared" si="127"/>
        <v>0</v>
      </c>
      <c r="AQ31" s="530">
        <f t="shared" si="127"/>
        <v>0</v>
      </c>
      <c r="AR31" s="530">
        <f t="shared" si="127"/>
        <v>0</v>
      </c>
      <c r="AS31" s="530">
        <f t="shared" si="127"/>
        <v>0</v>
      </c>
      <c r="AT31" s="530">
        <f t="shared" si="127"/>
        <v>0</v>
      </c>
      <c r="AU31" s="530">
        <f t="shared" si="127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28">SUM(BD32:BD41)</f>
        <v>0</v>
      </c>
      <c r="BE31" s="1184">
        <f t="shared" si="128"/>
        <v>0</v>
      </c>
      <c r="BF31" s="1184">
        <f t="shared" si="128"/>
        <v>0</v>
      </c>
      <c r="BG31" s="1184">
        <f t="shared" si="128"/>
        <v>0</v>
      </c>
      <c r="BH31" s="1184">
        <f t="shared" si="128"/>
        <v>0</v>
      </c>
      <c r="BI31" s="1184">
        <f t="shared" si="128"/>
        <v>0</v>
      </c>
      <c r="BJ31" s="1184">
        <f t="shared" si="128"/>
        <v>0</v>
      </c>
      <c r="BK31" s="1184">
        <f t="shared" si="128"/>
        <v>0</v>
      </c>
      <c r="BL31" s="1184">
        <f t="shared" si="128"/>
        <v>0</v>
      </c>
      <c r="BM31" s="1184">
        <f t="shared" si="128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25205.920000000002</v>
      </c>
      <c r="BW31" s="530">
        <f>SUM(BW32:BW41)</f>
        <v>31483.920000000002</v>
      </c>
      <c r="BX31" s="530">
        <f>SUM(BX32:BX41)</f>
        <v>55401.919999999998</v>
      </c>
      <c r="BY31" s="530">
        <f>SUM(BY32:BY41)</f>
        <v>0</v>
      </c>
      <c r="BZ31" s="532">
        <f t="shared" si="117"/>
        <v>0</v>
      </c>
      <c r="CA31" s="532">
        <f t="shared" si="118"/>
        <v>0</v>
      </c>
      <c r="CB31" s="532">
        <f t="shared" si="119"/>
        <v>0</v>
      </c>
      <c r="CC31" s="532">
        <f t="shared" si="120"/>
        <v>0</v>
      </c>
      <c r="CD31" s="1020">
        <f t="shared" si="112"/>
        <v>0</v>
      </c>
      <c r="CE31" s="1021">
        <f t="shared" si="112"/>
        <v>0</v>
      </c>
      <c r="CF31" s="1021">
        <f t="shared" si="112"/>
        <v>0</v>
      </c>
      <c r="CG31" s="1021">
        <f t="shared" si="112"/>
        <v>0</v>
      </c>
      <c r="CH31" s="1022">
        <f t="shared" si="112"/>
        <v>0</v>
      </c>
      <c r="CI31" s="1022">
        <f t="shared" si="112"/>
        <v>0</v>
      </c>
      <c r="CJ31" s="1021">
        <f t="shared" si="112"/>
        <v>0</v>
      </c>
      <c r="CK31" s="1021">
        <f t="shared" si="112"/>
        <v>0</v>
      </c>
      <c r="CL31" s="1021">
        <f t="shared" si="112"/>
        <v>0</v>
      </c>
      <c r="CM31" s="1020">
        <f t="shared" si="112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1"/>
        <v>10</v>
      </c>
      <c r="DF31" s="499">
        <f t="shared" si="122"/>
        <v>10</v>
      </c>
      <c r="DG31" s="499">
        <f t="shared" si="123"/>
        <v>10</v>
      </c>
      <c r="DH31" s="499">
        <f t="shared" si="124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29">B988</f>
        <v>0</v>
      </c>
      <c r="C32" s="543">
        <f t="shared" si="129"/>
        <v>0</v>
      </c>
      <c r="D32" s="543">
        <f t="shared" si="129"/>
        <v>0</v>
      </c>
      <c r="E32" s="543">
        <f t="shared" si="129"/>
        <v>0</v>
      </c>
      <c r="F32" s="543">
        <f t="shared" si="129"/>
        <v>0</v>
      </c>
      <c r="G32" s="543">
        <f t="shared" si="129"/>
        <v>0</v>
      </c>
      <c r="H32" s="543">
        <f t="shared" si="129"/>
        <v>0</v>
      </c>
      <c r="I32" s="543">
        <f t="shared" si="129"/>
        <v>0</v>
      </c>
      <c r="J32" s="543">
        <f t="shared" si="129"/>
        <v>0</v>
      </c>
      <c r="K32" s="543">
        <f t="shared" si="129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0">T988</f>
        <v>0</v>
      </c>
      <c r="U32" s="543">
        <f t="shared" si="130"/>
        <v>0</v>
      </c>
      <c r="V32" s="543">
        <f t="shared" si="130"/>
        <v>0</v>
      </c>
      <c r="W32" s="543">
        <f t="shared" si="130"/>
        <v>0</v>
      </c>
      <c r="X32" s="543">
        <f t="shared" si="130"/>
        <v>0</v>
      </c>
      <c r="Y32" s="543">
        <f t="shared" si="130"/>
        <v>0</v>
      </c>
      <c r="Z32" s="543">
        <f t="shared" si="130"/>
        <v>0</v>
      </c>
      <c r="AA32" s="543">
        <f t="shared" si="130"/>
        <v>0</v>
      </c>
      <c r="AB32" s="1169">
        <f t="shared" si="130"/>
        <v>0</v>
      </c>
      <c r="AC32" s="543">
        <f t="shared" si="130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1">AL988</f>
        <v>0</v>
      </c>
      <c r="AM32" s="543">
        <f t="shared" si="131"/>
        <v>0</v>
      </c>
      <c r="AN32" s="543">
        <f t="shared" si="131"/>
        <v>0</v>
      </c>
      <c r="AO32" s="1169">
        <f t="shared" si="131"/>
        <v>0</v>
      </c>
      <c r="AP32" s="543">
        <f t="shared" si="131"/>
        <v>0</v>
      </c>
      <c r="AQ32" s="543">
        <f t="shared" si="131"/>
        <v>0</v>
      </c>
      <c r="AR32" s="543">
        <f t="shared" si="131"/>
        <v>0</v>
      </c>
      <c r="AS32" s="543">
        <f t="shared" si="131"/>
        <v>0</v>
      </c>
      <c r="AT32" s="543">
        <f t="shared" si="131"/>
        <v>0</v>
      </c>
      <c r="AU32" s="543">
        <f t="shared" si="131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2">BD988</f>
        <v>0</v>
      </c>
      <c r="BE32" s="1186">
        <f t="shared" si="132"/>
        <v>0</v>
      </c>
      <c r="BF32" s="1186">
        <f t="shared" si="132"/>
        <v>0</v>
      </c>
      <c r="BG32" s="1186">
        <f t="shared" si="132"/>
        <v>0</v>
      </c>
      <c r="BH32" s="1186">
        <f t="shared" si="132"/>
        <v>0</v>
      </c>
      <c r="BI32" s="1186">
        <f t="shared" si="132"/>
        <v>0</v>
      </c>
      <c r="BJ32" s="1186">
        <f t="shared" si="132"/>
        <v>0</v>
      </c>
      <c r="BK32" s="1186">
        <f t="shared" si="132"/>
        <v>0</v>
      </c>
      <c r="BL32" s="1186">
        <f t="shared" si="132"/>
        <v>0</v>
      </c>
      <c r="BM32" s="1186">
        <f t="shared" si="132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>BV988</f>
        <v>6340</v>
      </c>
      <c r="BW32" s="543">
        <f>BW988</f>
        <v>7060</v>
      </c>
      <c r="BX32" s="543">
        <f>BX988</f>
        <v>9960</v>
      </c>
      <c r="BY32" s="543">
        <f>BY988</f>
        <v>0</v>
      </c>
      <c r="BZ32" s="532">
        <f t="shared" si="117"/>
        <v>0</v>
      </c>
      <c r="CA32" s="532">
        <f t="shared" si="118"/>
        <v>0</v>
      </c>
      <c r="CB32" s="532">
        <f t="shared" si="119"/>
        <v>0</v>
      </c>
      <c r="CC32" s="532">
        <f t="shared" si="120"/>
        <v>0</v>
      </c>
      <c r="CD32" s="1020">
        <f t="shared" si="112"/>
        <v>0</v>
      </c>
      <c r="CE32" s="1021">
        <f t="shared" si="112"/>
        <v>0</v>
      </c>
      <c r="CF32" s="1021">
        <f t="shared" si="112"/>
        <v>0</v>
      </c>
      <c r="CG32" s="1021">
        <f t="shared" si="112"/>
        <v>0</v>
      </c>
      <c r="CH32" s="1022">
        <f t="shared" si="112"/>
        <v>0</v>
      </c>
      <c r="CI32" s="1022">
        <f t="shared" si="112"/>
        <v>0</v>
      </c>
      <c r="CJ32" s="1021">
        <f t="shared" si="112"/>
        <v>0</v>
      </c>
      <c r="CK32" s="1021">
        <f t="shared" si="112"/>
        <v>0</v>
      </c>
      <c r="CL32" s="1021">
        <f t="shared" si="112"/>
        <v>0</v>
      </c>
      <c r="CM32" s="1020">
        <f t="shared" si="112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1"/>
        <v>10</v>
      </c>
      <c r="DF32" s="499">
        <f t="shared" si="122"/>
        <v>10</v>
      </c>
      <c r="DG32" s="499">
        <f t="shared" si="123"/>
        <v>10</v>
      </c>
      <c r="DH32" s="499">
        <f t="shared" si="124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3">SUM(C989:C991)</f>
        <v>0</v>
      </c>
      <c r="D33" s="543">
        <f t="shared" si="133"/>
        <v>0</v>
      </c>
      <c r="E33" s="543">
        <f t="shared" si="133"/>
        <v>0</v>
      </c>
      <c r="F33" s="543">
        <f t="shared" si="133"/>
        <v>0</v>
      </c>
      <c r="G33" s="543">
        <f t="shared" si="133"/>
        <v>0</v>
      </c>
      <c r="H33" s="543">
        <f t="shared" si="133"/>
        <v>0</v>
      </c>
      <c r="I33" s="543">
        <f t="shared" si="133"/>
        <v>0</v>
      </c>
      <c r="J33" s="543">
        <f t="shared" si="133"/>
        <v>0</v>
      </c>
      <c r="K33" s="543">
        <f t="shared" si="133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4">SUM(U989:U991)</f>
        <v>0</v>
      </c>
      <c r="V33" s="543">
        <f t="shared" si="134"/>
        <v>0</v>
      </c>
      <c r="W33" s="543">
        <f t="shared" si="134"/>
        <v>0</v>
      </c>
      <c r="X33" s="543">
        <f t="shared" si="134"/>
        <v>0</v>
      </c>
      <c r="Y33" s="543">
        <f t="shared" si="134"/>
        <v>0</v>
      </c>
      <c r="Z33" s="543">
        <f t="shared" si="134"/>
        <v>0</v>
      </c>
      <c r="AA33" s="543">
        <f t="shared" si="134"/>
        <v>0</v>
      </c>
      <c r="AB33" s="1169">
        <f t="shared" si="134"/>
        <v>0</v>
      </c>
      <c r="AC33" s="543">
        <f t="shared" si="134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35">SUM(AM989:AM991)</f>
        <v>0</v>
      </c>
      <c r="AN33" s="543">
        <f t="shared" si="135"/>
        <v>0</v>
      </c>
      <c r="AO33" s="1169">
        <f t="shared" si="135"/>
        <v>0</v>
      </c>
      <c r="AP33" s="543">
        <f t="shared" si="135"/>
        <v>0</v>
      </c>
      <c r="AQ33" s="543">
        <f t="shared" si="135"/>
        <v>0</v>
      </c>
      <c r="AR33" s="543">
        <f t="shared" si="135"/>
        <v>0</v>
      </c>
      <c r="AS33" s="543">
        <f t="shared" si="135"/>
        <v>0</v>
      </c>
      <c r="AT33" s="543">
        <f t="shared" si="135"/>
        <v>0</v>
      </c>
      <c r="AU33" s="543">
        <f t="shared" si="135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36">SUM(BE989:BE991)</f>
        <v>0</v>
      </c>
      <c r="BF33" s="1186">
        <f t="shared" si="136"/>
        <v>0</v>
      </c>
      <c r="BG33" s="1186">
        <f t="shared" si="136"/>
        <v>0</v>
      </c>
      <c r="BH33" s="1186">
        <f t="shared" si="136"/>
        <v>0</v>
      </c>
      <c r="BI33" s="1186">
        <f t="shared" si="136"/>
        <v>0</v>
      </c>
      <c r="BJ33" s="1186">
        <f t="shared" si="136"/>
        <v>0</v>
      </c>
      <c r="BK33" s="1186">
        <f t="shared" si="136"/>
        <v>0</v>
      </c>
      <c r="BL33" s="1186">
        <f t="shared" si="136"/>
        <v>0</v>
      </c>
      <c r="BM33" s="1186">
        <f t="shared" si="136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>SUM(BV989:BV991)</f>
        <v>6535.920000000001</v>
      </c>
      <c r="BW33" s="543">
        <f>SUM(BW989:BW991)</f>
        <v>6711.920000000001</v>
      </c>
      <c r="BX33" s="543">
        <f>SUM(BX989:BX991)</f>
        <v>9008.9200000000019</v>
      </c>
      <c r="BY33" s="543">
        <f>SUM(BY989:BY991)</f>
        <v>0</v>
      </c>
      <c r="BZ33" s="532">
        <f t="shared" si="117"/>
        <v>0</v>
      </c>
      <c r="CA33" s="532">
        <f t="shared" si="118"/>
        <v>0</v>
      </c>
      <c r="CB33" s="532">
        <f t="shared" si="119"/>
        <v>0</v>
      </c>
      <c r="CC33" s="532">
        <f t="shared" si="120"/>
        <v>0</v>
      </c>
      <c r="CD33" s="1020">
        <f t="shared" si="112"/>
        <v>0</v>
      </c>
      <c r="CE33" s="1021">
        <f t="shared" si="112"/>
        <v>0</v>
      </c>
      <c r="CF33" s="1021">
        <f t="shared" si="112"/>
        <v>0</v>
      </c>
      <c r="CG33" s="1021">
        <f t="shared" si="112"/>
        <v>0</v>
      </c>
      <c r="CH33" s="1022">
        <f t="shared" si="112"/>
        <v>0</v>
      </c>
      <c r="CI33" s="1022">
        <f t="shared" si="112"/>
        <v>0</v>
      </c>
      <c r="CJ33" s="1021">
        <f t="shared" si="112"/>
        <v>0</v>
      </c>
      <c r="CK33" s="1021">
        <f t="shared" si="112"/>
        <v>0</v>
      </c>
      <c r="CL33" s="1021">
        <f t="shared" si="112"/>
        <v>0</v>
      </c>
      <c r="CM33" s="1020">
        <f t="shared" si="112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1"/>
        <v>10</v>
      </c>
      <c r="DF33" s="499">
        <f t="shared" si="122"/>
        <v>10</v>
      </c>
      <c r="DG33" s="499">
        <f t="shared" si="123"/>
        <v>10</v>
      </c>
      <c r="DH33" s="499">
        <f t="shared" si="124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37">B992</f>
        <v>0</v>
      </c>
      <c r="C34" s="543">
        <f t="shared" si="137"/>
        <v>0</v>
      </c>
      <c r="D34" s="543">
        <f t="shared" si="137"/>
        <v>0</v>
      </c>
      <c r="E34" s="543">
        <f t="shared" si="137"/>
        <v>0</v>
      </c>
      <c r="F34" s="543">
        <f t="shared" si="137"/>
        <v>0</v>
      </c>
      <c r="G34" s="543">
        <f t="shared" si="137"/>
        <v>0</v>
      </c>
      <c r="H34" s="543">
        <f t="shared" si="137"/>
        <v>0</v>
      </c>
      <c r="I34" s="543">
        <f t="shared" si="137"/>
        <v>0</v>
      </c>
      <c r="J34" s="543">
        <f t="shared" si="137"/>
        <v>0</v>
      </c>
      <c r="K34" s="543">
        <f t="shared" si="137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38">T992</f>
        <v>0</v>
      </c>
      <c r="U34" s="543">
        <f t="shared" si="138"/>
        <v>0</v>
      </c>
      <c r="V34" s="543">
        <f t="shared" si="138"/>
        <v>0</v>
      </c>
      <c r="W34" s="543">
        <f t="shared" si="138"/>
        <v>0</v>
      </c>
      <c r="X34" s="543">
        <f t="shared" si="138"/>
        <v>0</v>
      </c>
      <c r="Y34" s="543">
        <f t="shared" si="138"/>
        <v>0</v>
      </c>
      <c r="Z34" s="543">
        <f t="shared" si="138"/>
        <v>0</v>
      </c>
      <c r="AA34" s="543">
        <f t="shared" si="138"/>
        <v>0</v>
      </c>
      <c r="AB34" s="1169">
        <f t="shared" si="138"/>
        <v>0</v>
      </c>
      <c r="AC34" s="543">
        <f t="shared" si="138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39">AL992</f>
        <v>0</v>
      </c>
      <c r="AM34" s="543">
        <f t="shared" si="139"/>
        <v>0</v>
      </c>
      <c r="AN34" s="543">
        <f t="shared" si="139"/>
        <v>0</v>
      </c>
      <c r="AO34" s="1169">
        <f t="shared" si="139"/>
        <v>0</v>
      </c>
      <c r="AP34" s="543">
        <f t="shared" si="139"/>
        <v>0</v>
      </c>
      <c r="AQ34" s="543">
        <f t="shared" si="139"/>
        <v>0</v>
      </c>
      <c r="AR34" s="543">
        <f t="shared" si="139"/>
        <v>0</v>
      </c>
      <c r="AS34" s="543">
        <f t="shared" si="139"/>
        <v>0</v>
      </c>
      <c r="AT34" s="543">
        <f t="shared" si="139"/>
        <v>0</v>
      </c>
      <c r="AU34" s="543">
        <f t="shared" si="139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0">BD992</f>
        <v>0</v>
      </c>
      <c r="BE34" s="1186">
        <f t="shared" si="140"/>
        <v>0</v>
      </c>
      <c r="BF34" s="1186">
        <f t="shared" si="140"/>
        <v>0</v>
      </c>
      <c r="BG34" s="1186">
        <f t="shared" si="140"/>
        <v>0</v>
      </c>
      <c r="BH34" s="1186">
        <f t="shared" si="140"/>
        <v>0</v>
      </c>
      <c r="BI34" s="1186">
        <f t="shared" si="140"/>
        <v>0</v>
      </c>
      <c r="BJ34" s="1186">
        <f t="shared" si="140"/>
        <v>0</v>
      </c>
      <c r="BK34" s="1186">
        <f t="shared" si="140"/>
        <v>0</v>
      </c>
      <c r="BL34" s="1186">
        <f t="shared" si="140"/>
        <v>0</v>
      </c>
      <c r="BM34" s="1186">
        <f t="shared" si="140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1">BV992</f>
        <v>1100</v>
      </c>
      <c r="BW34" s="543">
        <f t="shared" si="141"/>
        <v>2156</v>
      </c>
      <c r="BX34" s="543">
        <f t="shared" si="141"/>
        <v>5277</v>
      </c>
      <c r="BY34" s="543">
        <f t="shared" si="141"/>
        <v>0</v>
      </c>
      <c r="BZ34" s="532">
        <f t="shared" si="117"/>
        <v>0</v>
      </c>
      <c r="CA34" s="532">
        <f t="shared" si="118"/>
        <v>0</v>
      </c>
      <c r="CB34" s="532">
        <f t="shared" si="119"/>
        <v>0</v>
      </c>
      <c r="CC34" s="532">
        <f t="shared" si="120"/>
        <v>0</v>
      </c>
      <c r="CD34" s="1020">
        <f t="shared" si="112"/>
        <v>0</v>
      </c>
      <c r="CE34" s="1021">
        <f t="shared" si="112"/>
        <v>0</v>
      </c>
      <c r="CF34" s="1021">
        <f t="shared" si="112"/>
        <v>0</v>
      </c>
      <c r="CG34" s="1021">
        <f t="shared" si="112"/>
        <v>0</v>
      </c>
      <c r="CH34" s="1022">
        <f t="shared" si="112"/>
        <v>0</v>
      </c>
      <c r="CI34" s="1022">
        <f t="shared" si="112"/>
        <v>0</v>
      </c>
      <c r="CJ34" s="1021">
        <f t="shared" si="112"/>
        <v>0</v>
      </c>
      <c r="CK34" s="1021">
        <f t="shared" si="112"/>
        <v>0</v>
      </c>
      <c r="CL34" s="1021">
        <f t="shared" si="112"/>
        <v>0</v>
      </c>
      <c r="CM34" s="1020">
        <f t="shared" si="112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1"/>
        <v>10</v>
      </c>
      <c r="DF34" s="499">
        <f t="shared" si="122"/>
        <v>10</v>
      </c>
      <c r="DG34" s="499">
        <f t="shared" si="123"/>
        <v>10</v>
      </c>
      <c r="DH34" s="499">
        <f t="shared" si="124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2">B993</f>
        <v>0</v>
      </c>
      <c r="C35" s="543">
        <f t="shared" si="142"/>
        <v>0</v>
      </c>
      <c r="D35" s="543">
        <f t="shared" si="142"/>
        <v>0</v>
      </c>
      <c r="E35" s="543">
        <f t="shared" si="142"/>
        <v>0</v>
      </c>
      <c r="F35" s="543">
        <f t="shared" si="142"/>
        <v>0</v>
      </c>
      <c r="G35" s="543">
        <f t="shared" si="142"/>
        <v>0</v>
      </c>
      <c r="H35" s="543">
        <f t="shared" si="142"/>
        <v>0</v>
      </c>
      <c r="I35" s="543">
        <f t="shared" si="142"/>
        <v>0</v>
      </c>
      <c r="J35" s="543">
        <f t="shared" si="142"/>
        <v>0</v>
      </c>
      <c r="K35" s="543">
        <f t="shared" si="142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3">T993</f>
        <v>0</v>
      </c>
      <c r="U35" s="543">
        <f t="shared" si="143"/>
        <v>0</v>
      </c>
      <c r="V35" s="543">
        <f t="shared" si="143"/>
        <v>0</v>
      </c>
      <c r="W35" s="543">
        <f t="shared" si="143"/>
        <v>0</v>
      </c>
      <c r="X35" s="543">
        <f t="shared" si="143"/>
        <v>0</v>
      </c>
      <c r="Y35" s="543">
        <f t="shared" si="143"/>
        <v>0</v>
      </c>
      <c r="Z35" s="543">
        <f t="shared" si="143"/>
        <v>0</v>
      </c>
      <c r="AA35" s="543">
        <f t="shared" si="143"/>
        <v>0</v>
      </c>
      <c r="AB35" s="1169">
        <f t="shared" si="143"/>
        <v>0</v>
      </c>
      <c r="AC35" s="543">
        <f t="shared" si="143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44">AL993</f>
        <v>0</v>
      </c>
      <c r="AM35" s="543">
        <f t="shared" si="144"/>
        <v>0</v>
      </c>
      <c r="AN35" s="543">
        <f t="shared" si="144"/>
        <v>0</v>
      </c>
      <c r="AO35" s="1169">
        <f t="shared" si="144"/>
        <v>0</v>
      </c>
      <c r="AP35" s="543">
        <f t="shared" si="144"/>
        <v>0</v>
      </c>
      <c r="AQ35" s="543">
        <f t="shared" si="144"/>
        <v>0</v>
      </c>
      <c r="AR35" s="543">
        <f t="shared" si="144"/>
        <v>0</v>
      </c>
      <c r="AS35" s="543">
        <f t="shared" si="144"/>
        <v>0</v>
      </c>
      <c r="AT35" s="543">
        <f t="shared" si="144"/>
        <v>0</v>
      </c>
      <c r="AU35" s="543">
        <f t="shared" si="144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0"/>
        <v>0</v>
      </c>
      <c r="BE35" s="1186">
        <f t="shared" si="140"/>
        <v>0</v>
      </c>
      <c r="BF35" s="1186">
        <f t="shared" si="140"/>
        <v>0</v>
      </c>
      <c r="BG35" s="1186">
        <f t="shared" si="140"/>
        <v>0</v>
      </c>
      <c r="BH35" s="1186">
        <f t="shared" si="140"/>
        <v>0</v>
      </c>
      <c r="BI35" s="1186">
        <f t="shared" si="140"/>
        <v>0</v>
      </c>
      <c r="BJ35" s="1186">
        <f t="shared" si="140"/>
        <v>0</v>
      </c>
      <c r="BK35" s="1186">
        <f t="shared" si="140"/>
        <v>0</v>
      </c>
      <c r="BL35" s="1186">
        <f t="shared" si="140"/>
        <v>0</v>
      </c>
      <c r="BM35" s="1186">
        <f t="shared" si="140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1"/>
        <v>0</v>
      </c>
      <c r="BW35" s="543">
        <f t="shared" si="141"/>
        <v>0</v>
      </c>
      <c r="BX35" s="543">
        <f t="shared" si="141"/>
        <v>0</v>
      </c>
      <c r="BY35" s="543">
        <f t="shared" si="141"/>
        <v>0</v>
      </c>
      <c r="BZ35" s="532">
        <f t="shared" si="117"/>
        <v>0</v>
      </c>
      <c r="CA35" s="532">
        <f t="shared" si="118"/>
        <v>0</v>
      </c>
      <c r="CB35" s="532">
        <f t="shared" si="119"/>
        <v>0</v>
      </c>
      <c r="CC35" s="532">
        <f t="shared" si="120"/>
        <v>0</v>
      </c>
      <c r="CD35" s="1020">
        <f t="shared" si="112"/>
        <v>0</v>
      </c>
      <c r="CE35" s="1021">
        <f t="shared" si="112"/>
        <v>0</v>
      </c>
      <c r="CF35" s="1021">
        <f t="shared" si="112"/>
        <v>0</v>
      </c>
      <c r="CG35" s="1021">
        <f t="shared" si="112"/>
        <v>0</v>
      </c>
      <c r="CH35" s="1022">
        <f t="shared" si="112"/>
        <v>0</v>
      </c>
      <c r="CI35" s="1022">
        <f t="shared" si="112"/>
        <v>0</v>
      </c>
      <c r="CJ35" s="1021">
        <f t="shared" si="112"/>
        <v>0</v>
      </c>
      <c r="CK35" s="1021">
        <f t="shared" si="112"/>
        <v>0</v>
      </c>
      <c r="CL35" s="1021">
        <f t="shared" si="112"/>
        <v>0</v>
      </c>
      <c r="CM35" s="1020">
        <f t="shared" si="112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1"/>
        <v>10</v>
      </c>
      <c r="DF35" s="499">
        <f t="shared" si="122"/>
        <v>10</v>
      </c>
      <c r="DG35" s="499">
        <f t="shared" si="123"/>
        <v>10</v>
      </c>
      <c r="DH35" s="499">
        <f t="shared" si="124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45">B994</f>
        <v>0</v>
      </c>
      <c r="C36" s="543">
        <f t="shared" si="145"/>
        <v>0</v>
      </c>
      <c r="D36" s="543">
        <f t="shared" si="145"/>
        <v>0</v>
      </c>
      <c r="E36" s="543">
        <f t="shared" si="145"/>
        <v>0</v>
      </c>
      <c r="F36" s="543">
        <f t="shared" si="145"/>
        <v>0</v>
      </c>
      <c r="G36" s="543">
        <f t="shared" si="145"/>
        <v>0</v>
      </c>
      <c r="H36" s="543">
        <f t="shared" si="145"/>
        <v>0</v>
      </c>
      <c r="I36" s="543">
        <f t="shared" si="145"/>
        <v>0</v>
      </c>
      <c r="J36" s="543">
        <f t="shared" si="145"/>
        <v>0</v>
      </c>
      <c r="K36" s="543">
        <f t="shared" si="145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46">T994</f>
        <v>0</v>
      </c>
      <c r="U36" s="543">
        <f t="shared" si="146"/>
        <v>0</v>
      </c>
      <c r="V36" s="543">
        <f t="shared" si="146"/>
        <v>0</v>
      </c>
      <c r="W36" s="543">
        <f t="shared" si="146"/>
        <v>0</v>
      </c>
      <c r="X36" s="543">
        <f t="shared" si="146"/>
        <v>0</v>
      </c>
      <c r="Y36" s="543">
        <f t="shared" si="146"/>
        <v>0</v>
      </c>
      <c r="Z36" s="543">
        <f t="shared" si="146"/>
        <v>0</v>
      </c>
      <c r="AA36" s="543">
        <f t="shared" si="146"/>
        <v>0</v>
      </c>
      <c r="AB36" s="1169">
        <f t="shared" si="146"/>
        <v>0</v>
      </c>
      <c r="AC36" s="543">
        <f t="shared" si="146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47">AL994</f>
        <v>0</v>
      </c>
      <c r="AM36" s="543">
        <f t="shared" si="147"/>
        <v>0</v>
      </c>
      <c r="AN36" s="543">
        <f t="shared" si="147"/>
        <v>0</v>
      </c>
      <c r="AO36" s="1169">
        <f t="shared" si="147"/>
        <v>0</v>
      </c>
      <c r="AP36" s="543">
        <f t="shared" si="147"/>
        <v>0</v>
      </c>
      <c r="AQ36" s="543">
        <f t="shared" si="147"/>
        <v>0</v>
      </c>
      <c r="AR36" s="543">
        <f t="shared" si="147"/>
        <v>0</v>
      </c>
      <c r="AS36" s="543">
        <f t="shared" si="147"/>
        <v>0</v>
      </c>
      <c r="AT36" s="543">
        <f t="shared" si="147"/>
        <v>0</v>
      </c>
      <c r="AU36" s="543">
        <f t="shared" si="147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0"/>
        <v>0</v>
      </c>
      <c r="BE36" s="1186">
        <f t="shared" si="140"/>
        <v>0</v>
      </c>
      <c r="BF36" s="1186">
        <f t="shared" si="140"/>
        <v>0</v>
      </c>
      <c r="BG36" s="1186">
        <f t="shared" si="140"/>
        <v>0</v>
      </c>
      <c r="BH36" s="1186">
        <f t="shared" si="140"/>
        <v>0</v>
      </c>
      <c r="BI36" s="1186">
        <f t="shared" si="140"/>
        <v>0</v>
      </c>
      <c r="BJ36" s="1186">
        <f t="shared" si="140"/>
        <v>0</v>
      </c>
      <c r="BK36" s="1186">
        <f t="shared" si="140"/>
        <v>0</v>
      </c>
      <c r="BL36" s="1186">
        <f t="shared" si="140"/>
        <v>0</v>
      </c>
      <c r="BM36" s="1186">
        <f t="shared" si="140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1"/>
        <v>773</v>
      </c>
      <c r="BW36" s="543">
        <f t="shared" si="141"/>
        <v>631</v>
      </c>
      <c r="BX36" s="543">
        <f t="shared" si="141"/>
        <v>3100</v>
      </c>
      <c r="BY36" s="543">
        <f t="shared" si="141"/>
        <v>0</v>
      </c>
      <c r="BZ36" s="532">
        <f t="shared" si="117"/>
        <v>0</v>
      </c>
      <c r="CA36" s="532">
        <f t="shared" si="118"/>
        <v>0</v>
      </c>
      <c r="CB36" s="532">
        <f t="shared" si="119"/>
        <v>0</v>
      </c>
      <c r="CC36" s="532">
        <f t="shared" si="120"/>
        <v>0</v>
      </c>
      <c r="CD36" s="1020">
        <f t="shared" si="112"/>
        <v>0</v>
      </c>
      <c r="CE36" s="1021">
        <f t="shared" si="112"/>
        <v>0</v>
      </c>
      <c r="CF36" s="1021">
        <f t="shared" si="112"/>
        <v>0</v>
      </c>
      <c r="CG36" s="1021">
        <f t="shared" si="112"/>
        <v>0</v>
      </c>
      <c r="CH36" s="1022">
        <f t="shared" si="112"/>
        <v>0</v>
      </c>
      <c r="CI36" s="1022">
        <f t="shared" si="112"/>
        <v>0</v>
      </c>
      <c r="CJ36" s="1021">
        <f t="shared" si="112"/>
        <v>0</v>
      </c>
      <c r="CK36" s="1021">
        <f t="shared" si="112"/>
        <v>0</v>
      </c>
      <c r="CL36" s="1021">
        <f t="shared" si="112"/>
        <v>0</v>
      </c>
      <c r="CM36" s="1020">
        <f t="shared" si="112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1"/>
        <v>10</v>
      </c>
      <c r="DF36" s="499">
        <f t="shared" si="122"/>
        <v>10</v>
      </c>
      <c r="DG36" s="499">
        <f t="shared" si="123"/>
        <v>10</v>
      </c>
      <c r="DH36" s="499">
        <f t="shared" si="124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48">B995</f>
        <v>0</v>
      </c>
      <c r="C37" s="543">
        <f t="shared" si="148"/>
        <v>0</v>
      </c>
      <c r="D37" s="543">
        <f t="shared" si="148"/>
        <v>0</v>
      </c>
      <c r="E37" s="543">
        <f t="shared" si="148"/>
        <v>0</v>
      </c>
      <c r="F37" s="543">
        <f t="shared" si="148"/>
        <v>0</v>
      </c>
      <c r="G37" s="543">
        <f t="shared" si="148"/>
        <v>0</v>
      </c>
      <c r="H37" s="543">
        <f t="shared" si="148"/>
        <v>0</v>
      </c>
      <c r="I37" s="543">
        <f t="shared" si="148"/>
        <v>0</v>
      </c>
      <c r="J37" s="543">
        <f t="shared" si="148"/>
        <v>0</v>
      </c>
      <c r="K37" s="543">
        <f t="shared" si="148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49">T995</f>
        <v>0</v>
      </c>
      <c r="U37" s="543">
        <f t="shared" si="149"/>
        <v>0</v>
      </c>
      <c r="V37" s="543">
        <f t="shared" si="149"/>
        <v>0</v>
      </c>
      <c r="W37" s="543">
        <f t="shared" si="149"/>
        <v>0</v>
      </c>
      <c r="X37" s="543">
        <f t="shared" si="149"/>
        <v>0</v>
      </c>
      <c r="Y37" s="543">
        <f t="shared" si="149"/>
        <v>0</v>
      </c>
      <c r="Z37" s="543">
        <f t="shared" si="149"/>
        <v>0</v>
      </c>
      <c r="AA37" s="543">
        <f t="shared" si="149"/>
        <v>0</v>
      </c>
      <c r="AB37" s="1169">
        <f t="shared" si="149"/>
        <v>0</v>
      </c>
      <c r="AC37" s="543">
        <f t="shared" si="149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0">AL995</f>
        <v>0</v>
      </c>
      <c r="AM37" s="543">
        <f t="shared" si="150"/>
        <v>0</v>
      </c>
      <c r="AN37" s="543">
        <f t="shared" si="150"/>
        <v>0</v>
      </c>
      <c r="AO37" s="1169">
        <f t="shared" si="150"/>
        <v>0</v>
      </c>
      <c r="AP37" s="543">
        <f t="shared" si="150"/>
        <v>0</v>
      </c>
      <c r="AQ37" s="543">
        <f t="shared" si="150"/>
        <v>0</v>
      </c>
      <c r="AR37" s="543">
        <f t="shared" si="150"/>
        <v>0</v>
      </c>
      <c r="AS37" s="543">
        <f t="shared" si="150"/>
        <v>0</v>
      </c>
      <c r="AT37" s="543">
        <f t="shared" si="150"/>
        <v>0</v>
      </c>
      <c r="AU37" s="543">
        <f t="shared" si="150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0"/>
        <v>0</v>
      </c>
      <c r="BE37" s="1186">
        <f t="shared" si="140"/>
        <v>0</v>
      </c>
      <c r="BF37" s="1186">
        <f t="shared" si="140"/>
        <v>0</v>
      </c>
      <c r="BG37" s="1186">
        <f t="shared" si="140"/>
        <v>0</v>
      </c>
      <c r="BH37" s="1186">
        <f t="shared" si="140"/>
        <v>0</v>
      </c>
      <c r="BI37" s="1186">
        <f t="shared" si="140"/>
        <v>0</v>
      </c>
      <c r="BJ37" s="1186">
        <f t="shared" si="140"/>
        <v>0</v>
      </c>
      <c r="BK37" s="1186">
        <f t="shared" si="140"/>
        <v>0</v>
      </c>
      <c r="BL37" s="1186">
        <f t="shared" si="140"/>
        <v>0</v>
      </c>
      <c r="BM37" s="1186">
        <f t="shared" si="140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1"/>
        <v>1588</v>
      </c>
      <c r="BW37" s="543">
        <f t="shared" si="141"/>
        <v>3275</v>
      </c>
      <c r="BX37" s="543">
        <f t="shared" si="141"/>
        <v>4293</v>
      </c>
      <c r="BY37" s="543">
        <f t="shared" si="141"/>
        <v>0</v>
      </c>
      <c r="BZ37" s="532">
        <f t="shared" si="117"/>
        <v>0</v>
      </c>
      <c r="CA37" s="532">
        <f t="shared" si="118"/>
        <v>0</v>
      </c>
      <c r="CB37" s="532">
        <f t="shared" si="119"/>
        <v>0</v>
      </c>
      <c r="CC37" s="532">
        <f t="shared" si="120"/>
        <v>0</v>
      </c>
      <c r="CD37" s="1020">
        <f t="shared" si="112"/>
        <v>0</v>
      </c>
      <c r="CE37" s="1021">
        <f t="shared" si="112"/>
        <v>0</v>
      </c>
      <c r="CF37" s="1021">
        <f t="shared" si="112"/>
        <v>0</v>
      </c>
      <c r="CG37" s="1021">
        <f t="shared" si="112"/>
        <v>0</v>
      </c>
      <c r="CH37" s="1022">
        <f t="shared" si="112"/>
        <v>0</v>
      </c>
      <c r="CI37" s="1022">
        <f t="shared" si="112"/>
        <v>0</v>
      </c>
      <c r="CJ37" s="1021">
        <f t="shared" si="112"/>
        <v>0</v>
      </c>
      <c r="CK37" s="1021">
        <f t="shared" si="112"/>
        <v>0</v>
      </c>
      <c r="CL37" s="1021">
        <f t="shared" si="112"/>
        <v>0</v>
      </c>
      <c r="CM37" s="1020">
        <f t="shared" si="112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1"/>
        <v>10</v>
      </c>
      <c r="DF37" s="499">
        <f t="shared" si="122"/>
        <v>10</v>
      </c>
      <c r="DG37" s="499">
        <f t="shared" si="123"/>
        <v>10</v>
      </c>
      <c r="DH37" s="499">
        <f t="shared" si="124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1">B996</f>
        <v>0</v>
      </c>
      <c r="C38" s="543">
        <f t="shared" si="151"/>
        <v>0</v>
      </c>
      <c r="D38" s="543">
        <f t="shared" si="151"/>
        <v>0</v>
      </c>
      <c r="E38" s="543">
        <f t="shared" si="151"/>
        <v>0</v>
      </c>
      <c r="F38" s="543">
        <f t="shared" si="151"/>
        <v>0</v>
      </c>
      <c r="G38" s="543">
        <f t="shared" si="151"/>
        <v>0</v>
      </c>
      <c r="H38" s="543">
        <f t="shared" si="151"/>
        <v>0</v>
      </c>
      <c r="I38" s="543">
        <f t="shared" si="151"/>
        <v>0</v>
      </c>
      <c r="J38" s="543">
        <f t="shared" si="151"/>
        <v>0</v>
      </c>
      <c r="K38" s="543">
        <f t="shared" si="151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2">T996</f>
        <v>0</v>
      </c>
      <c r="U38" s="543">
        <f t="shared" si="152"/>
        <v>0</v>
      </c>
      <c r="V38" s="543">
        <f t="shared" si="152"/>
        <v>0</v>
      </c>
      <c r="W38" s="543">
        <f t="shared" si="152"/>
        <v>0</v>
      </c>
      <c r="X38" s="543">
        <f t="shared" si="152"/>
        <v>0</v>
      </c>
      <c r="Y38" s="543">
        <f t="shared" si="152"/>
        <v>0</v>
      </c>
      <c r="Z38" s="543">
        <f t="shared" si="152"/>
        <v>0</v>
      </c>
      <c r="AA38" s="543">
        <f t="shared" si="152"/>
        <v>0</v>
      </c>
      <c r="AB38" s="1169">
        <f t="shared" si="152"/>
        <v>0</v>
      </c>
      <c r="AC38" s="543">
        <f t="shared" si="152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3">AL996</f>
        <v>0</v>
      </c>
      <c r="AM38" s="543">
        <f t="shared" si="153"/>
        <v>0</v>
      </c>
      <c r="AN38" s="543">
        <f t="shared" si="153"/>
        <v>0</v>
      </c>
      <c r="AO38" s="1169">
        <f t="shared" si="153"/>
        <v>0</v>
      </c>
      <c r="AP38" s="543">
        <f t="shared" si="153"/>
        <v>0</v>
      </c>
      <c r="AQ38" s="543">
        <f t="shared" si="153"/>
        <v>0</v>
      </c>
      <c r="AR38" s="543">
        <f t="shared" si="153"/>
        <v>0</v>
      </c>
      <c r="AS38" s="543">
        <f t="shared" si="153"/>
        <v>0</v>
      </c>
      <c r="AT38" s="543">
        <f t="shared" si="153"/>
        <v>0</v>
      </c>
      <c r="AU38" s="543">
        <f t="shared" si="153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0"/>
        <v>0</v>
      </c>
      <c r="BE38" s="1186">
        <f t="shared" si="140"/>
        <v>0</v>
      </c>
      <c r="BF38" s="1186">
        <f t="shared" si="140"/>
        <v>0</v>
      </c>
      <c r="BG38" s="1186">
        <f t="shared" si="140"/>
        <v>0</v>
      </c>
      <c r="BH38" s="1186">
        <f t="shared" si="140"/>
        <v>0</v>
      </c>
      <c r="BI38" s="1186">
        <f t="shared" si="140"/>
        <v>0</v>
      </c>
      <c r="BJ38" s="1186">
        <f t="shared" si="140"/>
        <v>0</v>
      </c>
      <c r="BK38" s="1186">
        <f t="shared" si="140"/>
        <v>0</v>
      </c>
      <c r="BL38" s="1186">
        <f t="shared" si="140"/>
        <v>0</v>
      </c>
      <c r="BM38" s="1186">
        <f t="shared" si="140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1"/>
        <v>1200</v>
      </c>
      <c r="BW38" s="543">
        <f t="shared" si="141"/>
        <v>2250</v>
      </c>
      <c r="BX38" s="543">
        <f t="shared" si="141"/>
        <v>5500</v>
      </c>
      <c r="BY38" s="543">
        <f t="shared" si="141"/>
        <v>0</v>
      </c>
      <c r="BZ38" s="532">
        <f t="shared" si="117"/>
        <v>0</v>
      </c>
      <c r="CA38" s="532">
        <f t="shared" si="118"/>
        <v>0</v>
      </c>
      <c r="CB38" s="532">
        <f t="shared" si="119"/>
        <v>0</v>
      </c>
      <c r="CC38" s="532">
        <f t="shared" si="120"/>
        <v>0</v>
      </c>
      <c r="CD38" s="1020">
        <f t="shared" si="112"/>
        <v>0</v>
      </c>
      <c r="CE38" s="1021">
        <f t="shared" si="112"/>
        <v>0</v>
      </c>
      <c r="CF38" s="1021">
        <f t="shared" si="112"/>
        <v>0</v>
      </c>
      <c r="CG38" s="1021">
        <f t="shared" si="112"/>
        <v>0</v>
      </c>
      <c r="CH38" s="1022">
        <f t="shared" si="112"/>
        <v>0</v>
      </c>
      <c r="CI38" s="1022">
        <f t="shared" si="112"/>
        <v>0</v>
      </c>
      <c r="CJ38" s="1021">
        <f t="shared" si="112"/>
        <v>0</v>
      </c>
      <c r="CK38" s="1021">
        <f t="shared" si="112"/>
        <v>0</v>
      </c>
      <c r="CL38" s="1021">
        <f t="shared" si="112"/>
        <v>0</v>
      </c>
      <c r="CM38" s="1020">
        <f t="shared" si="112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1"/>
        <v>10</v>
      </c>
      <c r="DF38" s="499">
        <f t="shared" si="122"/>
        <v>10</v>
      </c>
      <c r="DG38" s="499">
        <f t="shared" si="123"/>
        <v>10</v>
      </c>
      <c r="DH38" s="499">
        <f t="shared" si="124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54">SUM(B802,B804)</f>
        <v>0</v>
      </c>
      <c r="C39" s="543">
        <f t="shared" si="154"/>
        <v>0</v>
      </c>
      <c r="D39" s="543">
        <f t="shared" si="154"/>
        <v>0</v>
      </c>
      <c r="E39" s="543">
        <f t="shared" si="154"/>
        <v>0</v>
      </c>
      <c r="F39" s="543">
        <f t="shared" si="154"/>
        <v>0</v>
      </c>
      <c r="G39" s="543">
        <f t="shared" si="154"/>
        <v>0</v>
      </c>
      <c r="H39" s="543">
        <f t="shared" si="154"/>
        <v>0</v>
      </c>
      <c r="I39" s="543">
        <f t="shared" si="154"/>
        <v>0</v>
      </c>
      <c r="J39" s="543">
        <f t="shared" si="154"/>
        <v>0</v>
      </c>
      <c r="K39" s="543">
        <f t="shared" si="154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55">SUM(T802,T804)</f>
        <v>0</v>
      </c>
      <c r="U39" s="543">
        <f t="shared" si="155"/>
        <v>0</v>
      </c>
      <c r="V39" s="543">
        <f t="shared" si="155"/>
        <v>0</v>
      </c>
      <c r="W39" s="543">
        <f t="shared" si="155"/>
        <v>0</v>
      </c>
      <c r="X39" s="543">
        <f t="shared" si="155"/>
        <v>0</v>
      </c>
      <c r="Y39" s="543">
        <f t="shared" si="155"/>
        <v>0</v>
      </c>
      <c r="Z39" s="543">
        <f t="shared" si="155"/>
        <v>0</v>
      </c>
      <c r="AA39" s="543">
        <f t="shared" si="155"/>
        <v>0</v>
      </c>
      <c r="AB39" s="1169">
        <f t="shared" si="155"/>
        <v>0</v>
      </c>
      <c r="AC39" s="543">
        <f t="shared" si="155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56">SUM(AL802,AL804)</f>
        <v>0</v>
      </c>
      <c r="AM39" s="543">
        <f t="shared" si="156"/>
        <v>0</v>
      </c>
      <c r="AN39" s="543">
        <f t="shared" si="156"/>
        <v>0</v>
      </c>
      <c r="AO39" s="1169">
        <f t="shared" si="156"/>
        <v>0</v>
      </c>
      <c r="AP39" s="543">
        <f t="shared" si="156"/>
        <v>0</v>
      </c>
      <c r="AQ39" s="543">
        <f t="shared" si="156"/>
        <v>0</v>
      </c>
      <c r="AR39" s="543">
        <f t="shared" si="156"/>
        <v>0</v>
      </c>
      <c r="AS39" s="543">
        <f t="shared" si="156"/>
        <v>0</v>
      </c>
      <c r="AT39" s="543">
        <f t="shared" si="156"/>
        <v>0</v>
      </c>
      <c r="AU39" s="543">
        <f t="shared" si="156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57">SUM(BD802,BD804)</f>
        <v>0</v>
      </c>
      <c r="BE39" s="1186">
        <f t="shared" si="157"/>
        <v>0</v>
      </c>
      <c r="BF39" s="1186">
        <f t="shared" si="157"/>
        <v>0</v>
      </c>
      <c r="BG39" s="1186">
        <f t="shared" si="157"/>
        <v>0</v>
      </c>
      <c r="BH39" s="1186">
        <f t="shared" si="157"/>
        <v>0</v>
      </c>
      <c r="BI39" s="1186">
        <f t="shared" si="157"/>
        <v>0</v>
      </c>
      <c r="BJ39" s="1186">
        <f t="shared" si="157"/>
        <v>0</v>
      </c>
      <c r="BK39" s="1186">
        <f t="shared" si="157"/>
        <v>0</v>
      </c>
      <c r="BL39" s="1186">
        <f t="shared" si="157"/>
        <v>0</v>
      </c>
      <c r="BM39" s="1186">
        <f t="shared" si="157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1"/>
        <v>4000</v>
      </c>
      <c r="BW39" s="543">
        <f t="shared" si="141"/>
        <v>2000</v>
      </c>
      <c r="BX39" s="543">
        <f t="shared" si="141"/>
        <v>2000</v>
      </c>
      <c r="BY39" s="543">
        <f t="shared" si="141"/>
        <v>0</v>
      </c>
      <c r="BZ39" s="532">
        <f t="shared" si="117"/>
        <v>0</v>
      </c>
      <c r="CA39" s="532">
        <f t="shared" si="118"/>
        <v>0</v>
      </c>
      <c r="CB39" s="532">
        <f t="shared" si="119"/>
        <v>0</v>
      </c>
      <c r="CC39" s="532">
        <f t="shared" si="120"/>
        <v>0</v>
      </c>
      <c r="CD39" s="1020">
        <f t="shared" si="112"/>
        <v>0</v>
      </c>
      <c r="CE39" s="1021">
        <f t="shared" si="112"/>
        <v>0</v>
      </c>
      <c r="CF39" s="1021">
        <f t="shared" si="112"/>
        <v>0</v>
      </c>
      <c r="CG39" s="1021">
        <f t="shared" si="112"/>
        <v>0</v>
      </c>
      <c r="CH39" s="1022">
        <f t="shared" si="112"/>
        <v>0</v>
      </c>
      <c r="CI39" s="1022">
        <f t="shared" si="112"/>
        <v>0</v>
      </c>
      <c r="CJ39" s="1021">
        <f t="shared" si="112"/>
        <v>0</v>
      </c>
      <c r="CK39" s="1021">
        <f t="shared" si="112"/>
        <v>0</v>
      </c>
      <c r="CL39" s="1021">
        <f t="shared" si="112"/>
        <v>0</v>
      </c>
      <c r="CM39" s="1020">
        <f t="shared" si="112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1"/>
        <v>10</v>
      </c>
      <c r="DF39" s="499">
        <f t="shared" si="122"/>
        <v>10</v>
      </c>
      <c r="DG39" s="499">
        <f t="shared" si="123"/>
        <v>10</v>
      </c>
      <c r="DH39" s="499">
        <f t="shared" si="124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58">SUM(B803)</f>
        <v>0</v>
      </c>
      <c r="C40" s="543">
        <f t="shared" si="158"/>
        <v>0</v>
      </c>
      <c r="D40" s="543">
        <f t="shared" si="158"/>
        <v>0</v>
      </c>
      <c r="E40" s="543">
        <f t="shared" si="158"/>
        <v>0</v>
      </c>
      <c r="F40" s="543">
        <f t="shared" si="158"/>
        <v>0</v>
      </c>
      <c r="G40" s="543">
        <f t="shared" si="158"/>
        <v>0</v>
      </c>
      <c r="H40" s="543">
        <f t="shared" si="158"/>
        <v>0</v>
      </c>
      <c r="I40" s="543">
        <f t="shared" si="158"/>
        <v>0</v>
      </c>
      <c r="J40" s="543">
        <f t="shared" si="158"/>
        <v>0</v>
      </c>
      <c r="K40" s="543">
        <f t="shared" si="158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59">SUM(T803)</f>
        <v>0</v>
      </c>
      <c r="U40" s="543">
        <f t="shared" si="159"/>
        <v>0</v>
      </c>
      <c r="V40" s="543">
        <f t="shared" si="159"/>
        <v>0</v>
      </c>
      <c r="W40" s="543">
        <f t="shared" si="159"/>
        <v>0</v>
      </c>
      <c r="X40" s="543">
        <f t="shared" si="159"/>
        <v>0</v>
      </c>
      <c r="Y40" s="543">
        <f t="shared" si="159"/>
        <v>0</v>
      </c>
      <c r="Z40" s="543">
        <f t="shared" si="159"/>
        <v>0</v>
      </c>
      <c r="AA40" s="543">
        <f t="shared" si="159"/>
        <v>0</v>
      </c>
      <c r="AB40" s="1169">
        <f t="shared" si="159"/>
        <v>0</v>
      </c>
      <c r="AC40" s="543">
        <f t="shared" si="159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0">SUM(AL803)</f>
        <v>0</v>
      </c>
      <c r="AM40" s="543">
        <f t="shared" si="160"/>
        <v>0</v>
      </c>
      <c r="AN40" s="543">
        <f t="shared" si="160"/>
        <v>0</v>
      </c>
      <c r="AO40" s="1169">
        <f t="shared" si="160"/>
        <v>0</v>
      </c>
      <c r="AP40" s="543">
        <f t="shared" si="160"/>
        <v>0</v>
      </c>
      <c r="AQ40" s="543">
        <f t="shared" si="160"/>
        <v>0</v>
      </c>
      <c r="AR40" s="543">
        <f t="shared" si="160"/>
        <v>0</v>
      </c>
      <c r="AS40" s="543">
        <f t="shared" si="160"/>
        <v>0</v>
      </c>
      <c r="AT40" s="543">
        <f t="shared" si="160"/>
        <v>0</v>
      </c>
      <c r="AU40" s="543">
        <f t="shared" si="160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1">SUM(BD803)</f>
        <v>0</v>
      </c>
      <c r="BE40" s="1186">
        <f t="shared" si="161"/>
        <v>0</v>
      </c>
      <c r="BF40" s="1186">
        <f t="shared" si="161"/>
        <v>0</v>
      </c>
      <c r="BG40" s="1186">
        <f t="shared" si="161"/>
        <v>0</v>
      </c>
      <c r="BH40" s="1186">
        <f t="shared" si="161"/>
        <v>0</v>
      </c>
      <c r="BI40" s="1186">
        <f t="shared" si="161"/>
        <v>0</v>
      </c>
      <c r="BJ40" s="1186">
        <f t="shared" si="161"/>
        <v>0</v>
      </c>
      <c r="BK40" s="1186">
        <f t="shared" si="161"/>
        <v>0</v>
      </c>
      <c r="BL40" s="1186">
        <f t="shared" si="161"/>
        <v>0</v>
      </c>
      <c r="BM40" s="1186">
        <f t="shared" si="161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1"/>
        <v>1360</v>
      </c>
      <c r="BW40" s="543">
        <f t="shared" si="141"/>
        <v>1900</v>
      </c>
      <c r="BX40" s="543">
        <f t="shared" si="141"/>
        <v>5263</v>
      </c>
      <c r="BY40" s="543">
        <f t="shared" si="141"/>
        <v>0</v>
      </c>
      <c r="BZ40" s="532">
        <f t="shared" si="117"/>
        <v>0</v>
      </c>
      <c r="CA40" s="532">
        <f t="shared" si="118"/>
        <v>0</v>
      </c>
      <c r="CB40" s="532">
        <f t="shared" si="119"/>
        <v>0</v>
      </c>
      <c r="CC40" s="532">
        <f t="shared" si="120"/>
        <v>0</v>
      </c>
      <c r="CD40" s="1020">
        <f t="shared" si="112"/>
        <v>0</v>
      </c>
      <c r="CE40" s="1021">
        <f t="shared" si="112"/>
        <v>0</v>
      </c>
      <c r="CF40" s="1021">
        <f t="shared" si="112"/>
        <v>0</v>
      </c>
      <c r="CG40" s="1021">
        <f t="shared" si="112"/>
        <v>0</v>
      </c>
      <c r="CH40" s="1022">
        <f t="shared" si="112"/>
        <v>0</v>
      </c>
      <c r="CI40" s="1022">
        <f t="shared" si="112"/>
        <v>0</v>
      </c>
      <c r="CJ40" s="1021">
        <f t="shared" si="112"/>
        <v>0</v>
      </c>
      <c r="CK40" s="1021">
        <f t="shared" si="112"/>
        <v>0</v>
      </c>
      <c r="CL40" s="1021">
        <f t="shared" si="112"/>
        <v>0</v>
      </c>
      <c r="CM40" s="1020">
        <f t="shared" si="112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1"/>
        <v>10</v>
      </c>
      <c r="DF40" s="499">
        <f t="shared" si="122"/>
        <v>10</v>
      </c>
      <c r="DG40" s="499">
        <f t="shared" si="123"/>
        <v>10</v>
      </c>
      <c r="DH40" s="499">
        <f t="shared" si="124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2">SUM(B805:B810)</f>
        <v>0</v>
      </c>
      <c r="C41" s="545">
        <f t="shared" si="162"/>
        <v>0</v>
      </c>
      <c r="D41" s="545">
        <f t="shared" si="162"/>
        <v>0</v>
      </c>
      <c r="E41" s="545">
        <f t="shared" si="162"/>
        <v>0</v>
      </c>
      <c r="F41" s="545">
        <f t="shared" si="162"/>
        <v>0</v>
      </c>
      <c r="G41" s="545">
        <f t="shared" si="162"/>
        <v>0</v>
      </c>
      <c r="H41" s="545">
        <f t="shared" si="162"/>
        <v>0</v>
      </c>
      <c r="I41" s="545">
        <f t="shared" si="162"/>
        <v>0</v>
      </c>
      <c r="J41" s="545">
        <f t="shared" si="162"/>
        <v>0</v>
      </c>
      <c r="K41" s="545">
        <f t="shared" si="162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3">SUM(T805:T810)</f>
        <v>0</v>
      </c>
      <c r="U41" s="545">
        <f t="shared" si="163"/>
        <v>0</v>
      </c>
      <c r="V41" s="545">
        <f t="shared" si="163"/>
        <v>0</v>
      </c>
      <c r="W41" s="545">
        <f t="shared" si="163"/>
        <v>0</v>
      </c>
      <c r="X41" s="545">
        <f t="shared" si="163"/>
        <v>0</v>
      </c>
      <c r="Y41" s="545">
        <f t="shared" si="163"/>
        <v>0</v>
      </c>
      <c r="Z41" s="545">
        <f t="shared" si="163"/>
        <v>0</v>
      </c>
      <c r="AA41" s="545">
        <f t="shared" si="163"/>
        <v>0</v>
      </c>
      <c r="AB41" s="1170">
        <f t="shared" si="163"/>
        <v>0</v>
      </c>
      <c r="AC41" s="545">
        <f t="shared" si="163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64">SUM(AL805:AL810)</f>
        <v>0</v>
      </c>
      <c r="AM41" s="545">
        <f t="shared" si="164"/>
        <v>0</v>
      </c>
      <c r="AN41" s="545">
        <f t="shared" si="164"/>
        <v>0</v>
      </c>
      <c r="AO41" s="1170">
        <f t="shared" si="164"/>
        <v>0</v>
      </c>
      <c r="AP41" s="545">
        <f t="shared" si="164"/>
        <v>0</v>
      </c>
      <c r="AQ41" s="545">
        <f t="shared" si="164"/>
        <v>0</v>
      </c>
      <c r="AR41" s="545">
        <f t="shared" si="164"/>
        <v>0</v>
      </c>
      <c r="AS41" s="545">
        <f t="shared" si="164"/>
        <v>0</v>
      </c>
      <c r="AT41" s="545">
        <f t="shared" si="164"/>
        <v>0</v>
      </c>
      <c r="AU41" s="545">
        <f t="shared" si="164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65">SUM(BD805:BD810)</f>
        <v>0</v>
      </c>
      <c r="BE41" s="1187">
        <f t="shared" si="165"/>
        <v>0</v>
      </c>
      <c r="BF41" s="1187">
        <f t="shared" si="165"/>
        <v>0</v>
      </c>
      <c r="BG41" s="1187">
        <f t="shared" si="165"/>
        <v>0</v>
      </c>
      <c r="BH41" s="1187">
        <f t="shared" si="165"/>
        <v>0</v>
      </c>
      <c r="BI41" s="1187">
        <f t="shared" si="165"/>
        <v>0</v>
      </c>
      <c r="BJ41" s="1187">
        <f t="shared" si="165"/>
        <v>0</v>
      </c>
      <c r="BK41" s="1187">
        <f t="shared" si="165"/>
        <v>0</v>
      </c>
      <c r="BL41" s="1187">
        <f t="shared" si="165"/>
        <v>0</v>
      </c>
      <c r="BM41" s="1187">
        <f t="shared" si="165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1"/>
        <v>2309</v>
      </c>
      <c r="BW41" s="543">
        <f t="shared" si="141"/>
        <v>5500</v>
      </c>
      <c r="BX41" s="543">
        <f t="shared" si="141"/>
        <v>11000</v>
      </c>
      <c r="BY41" s="543">
        <f t="shared" si="141"/>
        <v>0</v>
      </c>
      <c r="BZ41" s="532">
        <f t="shared" si="117"/>
        <v>0</v>
      </c>
      <c r="CA41" s="532">
        <f t="shared" si="118"/>
        <v>0</v>
      </c>
      <c r="CB41" s="532">
        <f t="shared" si="119"/>
        <v>0</v>
      </c>
      <c r="CC41" s="532">
        <f t="shared" si="120"/>
        <v>0</v>
      </c>
      <c r="CD41" s="1020">
        <f t="shared" si="112"/>
        <v>0</v>
      </c>
      <c r="CE41" s="1021">
        <f t="shared" si="112"/>
        <v>0</v>
      </c>
      <c r="CF41" s="1021">
        <f t="shared" si="112"/>
        <v>0</v>
      </c>
      <c r="CG41" s="1021">
        <f t="shared" si="112"/>
        <v>0</v>
      </c>
      <c r="CH41" s="1022">
        <f t="shared" si="112"/>
        <v>0</v>
      </c>
      <c r="CI41" s="1022">
        <f t="shared" si="112"/>
        <v>0</v>
      </c>
      <c r="CJ41" s="1021">
        <f t="shared" si="112"/>
        <v>0</v>
      </c>
      <c r="CK41" s="1021">
        <f t="shared" si="112"/>
        <v>0</v>
      </c>
      <c r="CL41" s="1021">
        <f t="shared" si="112"/>
        <v>0</v>
      </c>
      <c r="CM41" s="1020">
        <f t="shared" si="112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1"/>
        <v>10</v>
      </c>
      <c r="DF41" s="499">
        <f t="shared" si="122"/>
        <v>10</v>
      </c>
      <c r="DG41" s="499">
        <f t="shared" si="123"/>
        <v>10</v>
      </c>
      <c r="DH41" s="499">
        <f t="shared" si="124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66">IF(B20=0,"",B32/B20)</f>
        <v/>
      </c>
      <c r="C42" s="528" t="str">
        <f t="shared" si="166"/>
        <v/>
      </c>
      <c r="D42" s="528" t="str">
        <f t="shared" si="166"/>
        <v/>
      </c>
      <c r="E42" s="528" t="str">
        <f t="shared" si="166"/>
        <v/>
      </c>
      <c r="F42" s="528" t="str">
        <f t="shared" si="166"/>
        <v/>
      </c>
      <c r="G42" s="528" t="str">
        <f t="shared" si="166"/>
        <v/>
      </c>
      <c r="H42" s="528" t="str">
        <f t="shared" si="166"/>
        <v/>
      </c>
      <c r="I42" s="528" t="str">
        <f t="shared" si="166"/>
        <v/>
      </c>
      <c r="J42" s="528" t="str">
        <f t="shared" si="166"/>
        <v/>
      </c>
      <c r="K42" s="528" t="str">
        <f t="shared" si="166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67">IF(T20=0,"",T32/T20)</f>
        <v/>
      </c>
      <c r="U42" s="528" t="str">
        <f t="shared" si="167"/>
        <v/>
      </c>
      <c r="V42" s="528" t="str">
        <f t="shared" si="167"/>
        <v/>
      </c>
      <c r="W42" s="528" t="str">
        <f t="shared" si="167"/>
        <v/>
      </c>
      <c r="X42" s="528" t="str">
        <f t="shared" si="167"/>
        <v/>
      </c>
      <c r="Y42" s="528" t="str">
        <f t="shared" si="167"/>
        <v/>
      </c>
      <c r="Z42" s="528" t="str">
        <f t="shared" si="167"/>
        <v/>
      </c>
      <c r="AA42" s="528" t="str">
        <f t="shared" si="167"/>
        <v/>
      </c>
      <c r="AB42" s="1166" t="str">
        <f t="shared" si="167"/>
        <v/>
      </c>
      <c r="AC42" s="528" t="str">
        <f t="shared" si="167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68">IF(AL20=0,"",AL32/AL20)</f>
        <v/>
      </c>
      <c r="AM42" s="528" t="str">
        <f t="shared" si="168"/>
        <v/>
      </c>
      <c r="AN42" s="528" t="str">
        <f t="shared" si="168"/>
        <v/>
      </c>
      <c r="AO42" s="1166" t="str">
        <f t="shared" si="168"/>
        <v/>
      </c>
      <c r="AP42" s="528" t="str">
        <f t="shared" si="168"/>
        <v/>
      </c>
      <c r="AQ42" s="528" t="str">
        <f t="shared" si="168"/>
        <v/>
      </c>
      <c r="AR42" s="528" t="str">
        <f t="shared" si="168"/>
        <v/>
      </c>
      <c r="AS42" s="528" t="str">
        <f t="shared" si="168"/>
        <v/>
      </c>
      <c r="AT42" s="528" t="str">
        <f t="shared" si="168"/>
        <v/>
      </c>
      <c r="AU42" s="528" t="str">
        <f t="shared" si="168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69">IF(BD20=0,"",BD32/BD20)</f>
        <v/>
      </c>
      <c r="BE42" s="1183" t="str">
        <f t="shared" si="169"/>
        <v/>
      </c>
      <c r="BF42" s="1183" t="str">
        <f t="shared" si="169"/>
        <v/>
      </c>
      <c r="BG42" s="1183" t="str">
        <f t="shared" si="169"/>
        <v/>
      </c>
      <c r="BH42" s="1183" t="str">
        <f t="shared" si="169"/>
        <v/>
      </c>
      <c r="BI42" s="1183" t="str">
        <f t="shared" si="169"/>
        <v/>
      </c>
      <c r="BJ42" s="1183" t="str">
        <f t="shared" si="169"/>
        <v/>
      </c>
      <c r="BK42" s="1183" t="str">
        <f t="shared" si="169"/>
        <v/>
      </c>
      <c r="BL42" s="1183" t="str">
        <f t="shared" si="169"/>
        <v/>
      </c>
      <c r="BM42" s="1183" t="str">
        <f t="shared" si="169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0.24369618696186962</v>
      </c>
      <c r="BW42" s="528">
        <f>IF(BW20=0,"",BW32/BW20)</f>
        <v>0.22072156568498719</v>
      </c>
      <c r="BX42" s="528">
        <f>IF(BX20=0,"",BX32/BX20)</f>
        <v>0.17291666666666666</v>
      </c>
      <c r="BY42" s="528" t="str">
        <f>IF(BY20=0,"",BY32/BY20)</f>
        <v/>
      </c>
      <c r="BZ42" s="532" t="str">
        <f t="shared" si="117"/>
        <v/>
      </c>
      <c r="CA42" s="520" t="str">
        <f t="shared" si="118"/>
        <v/>
      </c>
      <c r="CB42" s="520" t="str">
        <f t="shared" si="119"/>
        <v/>
      </c>
      <c r="CC42" s="520" t="str">
        <f t="shared" si="120"/>
        <v/>
      </c>
      <c r="CD42" s="1020" t="str">
        <f t="shared" si="112"/>
        <v/>
      </c>
      <c r="CE42" s="1021" t="str">
        <f t="shared" si="112"/>
        <v/>
      </c>
      <c r="CF42" s="1021" t="str">
        <f t="shared" si="112"/>
        <v/>
      </c>
      <c r="CG42" s="1021" t="str">
        <f t="shared" si="112"/>
        <v/>
      </c>
      <c r="CH42" s="1022" t="str">
        <f t="shared" si="112"/>
        <v/>
      </c>
      <c r="CI42" s="1022" t="str">
        <f t="shared" si="112"/>
        <v/>
      </c>
      <c r="CJ42" s="1021" t="str">
        <f t="shared" si="112"/>
        <v/>
      </c>
      <c r="CK42" s="1021" t="str">
        <f t="shared" si="112"/>
        <v/>
      </c>
      <c r="CL42" s="1021" t="str">
        <f t="shared" si="112"/>
        <v/>
      </c>
      <c r="CM42" s="1020" t="str">
        <f t="shared" si="112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1"/>
        <v>0</v>
      </c>
      <c r="DF42" s="499">
        <f t="shared" si="122"/>
        <v>0</v>
      </c>
      <c r="DG42" s="499">
        <f t="shared" si="123"/>
        <v>0</v>
      </c>
      <c r="DH42" s="499">
        <f t="shared" si="124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0">B20-B31</f>
        <v>0</v>
      </c>
      <c r="C43" s="548">
        <f t="shared" si="170"/>
        <v>0</v>
      </c>
      <c r="D43" s="548">
        <f t="shared" si="170"/>
        <v>0</v>
      </c>
      <c r="E43" s="548">
        <f t="shared" si="170"/>
        <v>0</v>
      </c>
      <c r="F43" s="548">
        <f t="shared" si="170"/>
        <v>0</v>
      </c>
      <c r="G43" s="548">
        <f t="shared" si="170"/>
        <v>0</v>
      </c>
      <c r="H43" s="548">
        <f t="shared" si="170"/>
        <v>0</v>
      </c>
      <c r="I43" s="548">
        <f t="shared" si="170"/>
        <v>0</v>
      </c>
      <c r="J43" s="548">
        <f t="shared" si="170"/>
        <v>0</v>
      </c>
      <c r="K43" s="548">
        <f t="shared" si="170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1">T20-T31</f>
        <v>0</v>
      </c>
      <c r="U43" s="548">
        <f t="shared" si="171"/>
        <v>0</v>
      </c>
      <c r="V43" s="548">
        <f t="shared" si="171"/>
        <v>0</v>
      </c>
      <c r="W43" s="548">
        <f t="shared" si="171"/>
        <v>0</v>
      </c>
      <c r="X43" s="548">
        <f t="shared" si="171"/>
        <v>0</v>
      </c>
      <c r="Y43" s="548">
        <f t="shared" si="171"/>
        <v>0</v>
      </c>
      <c r="Z43" s="548">
        <f t="shared" si="171"/>
        <v>0</v>
      </c>
      <c r="AA43" s="548">
        <f t="shared" si="171"/>
        <v>0</v>
      </c>
      <c r="AB43" s="1171">
        <f t="shared" si="171"/>
        <v>0</v>
      </c>
      <c r="AC43" s="548">
        <f t="shared" si="171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2">AL20-AL31</f>
        <v>0</v>
      </c>
      <c r="AM43" s="548">
        <f t="shared" si="172"/>
        <v>0</v>
      </c>
      <c r="AN43" s="548">
        <f t="shared" si="172"/>
        <v>0</v>
      </c>
      <c r="AO43" s="1171">
        <f t="shared" si="172"/>
        <v>0</v>
      </c>
      <c r="AP43" s="548">
        <f t="shared" si="172"/>
        <v>0</v>
      </c>
      <c r="AQ43" s="548">
        <f t="shared" si="172"/>
        <v>0</v>
      </c>
      <c r="AR43" s="548">
        <f t="shared" si="172"/>
        <v>0</v>
      </c>
      <c r="AS43" s="548">
        <f t="shared" si="172"/>
        <v>0</v>
      </c>
      <c r="AT43" s="548">
        <f t="shared" si="172"/>
        <v>0</v>
      </c>
      <c r="AU43" s="548">
        <f t="shared" si="172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3">BD20-BD31</f>
        <v>0</v>
      </c>
      <c r="BE43" s="548">
        <f t="shared" si="173"/>
        <v>0</v>
      </c>
      <c r="BF43" s="548">
        <f t="shared" si="173"/>
        <v>0</v>
      </c>
      <c r="BG43" s="548">
        <f t="shared" si="173"/>
        <v>0</v>
      </c>
      <c r="BH43" s="548">
        <f t="shared" si="173"/>
        <v>0</v>
      </c>
      <c r="BI43" s="548">
        <f t="shared" si="173"/>
        <v>0</v>
      </c>
      <c r="BJ43" s="548">
        <f t="shared" si="173"/>
        <v>0</v>
      </c>
      <c r="BK43" s="548">
        <f t="shared" si="173"/>
        <v>0</v>
      </c>
      <c r="BL43" s="548">
        <f t="shared" si="173"/>
        <v>0</v>
      </c>
      <c r="BM43" s="548">
        <f t="shared" si="173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810.07999999999811</v>
      </c>
      <c r="BW43" s="548">
        <f>BW20-BW31</f>
        <v>502.07999999999811</v>
      </c>
      <c r="BX43" s="548">
        <f>BX20-BX31</f>
        <v>2198.0800000000017</v>
      </c>
      <c r="BY43" s="548">
        <f>BY20-BY31</f>
        <v>0</v>
      </c>
      <c r="BZ43" s="532">
        <f t="shared" si="117"/>
        <v>0</v>
      </c>
      <c r="CA43" s="532">
        <f t="shared" si="118"/>
        <v>0</v>
      </c>
      <c r="CB43" s="532">
        <f t="shared" si="119"/>
        <v>0</v>
      </c>
      <c r="CC43" s="532">
        <f t="shared" si="120"/>
        <v>0</v>
      </c>
      <c r="CD43" s="1020">
        <f t="shared" si="112"/>
        <v>0</v>
      </c>
      <c r="CE43" s="1021">
        <f t="shared" si="112"/>
        <v>0</v>
      </c>
      <c r="CF43" s="1021">
        <f t="shared" si="112"/>
        <v>0</v>
      </c>
      <c r="CG43" s="1021">
        <f t="shared" si="112"/>
        <v>0</v>
      </c>
      <c r="CH43" s="1022">
        <f t="shared" si="112"/>
        <v>0</v>
      </c>
      <c r="CI43" s="1022">
        <f t="shared" si="112"/>
        <v>0</v>
      </c>
      <c r="CJ43" s="1021">
        <f t="shared" si="112"/>
        <v>0</v>
      </c>
      <c r="CK43" s="1021">
        <f t="shared" si="112"/>
        <v>0</v>
      </c>
      <c r="CL43" s="1021">
        <f t="shared" si="112"/>
        <v>0</v>
      </c>
      <c r="CM43" s="1020">
        <f t="shared" si="112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1"/>
        <v>10</v>
      </c>
      <c r="DF43" s="499">
        <f t="shared" si="122"/>
        <v>10</v>
      </c>
      <c r="DG43" s="499">
        <f t="shared" si="123"/>
        <v>10</v>
      </c>
      <c r="DH43" s="499">
        <f t="shared" si="124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17"/>
        <v/>
      </c>
      <c r="CA44" s="532" t="str">
        <f t="shared" si="118"/>
        <v/>
      </c>
      <c r="CB44" s="532" t="str">
        <f t="shared" si="119"/>
        <v/>
      </c>
      <c r="CC44" s="532" t="str">
        <f t="shared" si="120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17"/>
        <v/>
      </c>
      <c r="CA45" s="520" t="str">
        <f t="shared" si="118"/>
        <v/>
      </c>
      <c r="CB45" s="520" t="str">
        <f t="shared" si="119"/>
        <v/>
      </c>
      <c r="CC45" s="520" t="str">
        <f t="shared" si="120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17"/>
        <v/>
      </c>
      <c r="CA46" s="532" t="str">
        <f t="shared" si="118"/>
        <v/>
      </c>
      <c r="CB46" s="532" t="str">
        <f t="shared" si="119"/>
        <v/>
      </c>
      <c r="CC46" s="532" t="str">
        <f t="shared" si="120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17"/>
        <v/>
      </c>
      <c r="CA47" s="532" t="str">
        <f t="shared" si="118"/>
        <v/>
      </c>
      <c r="CB47" s="532" t="str">
        <f t="shared" si="119"/>
        <v/>
      </c>
      <c r="CC47" s="532" t="str">
        <f t="shared" si="120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17"/>
        <v/>
      </c>
      <c r="CA48" s="532" t="str">
        <f t="shared" si="118"/>
        <v/>
      </c>
      <c r="CB48" s="532" t="str">
        <f t="shared" si="119"/>
        <v/>
      </c>
      <c r="CC48" s="532" t="str">
        <f t="shared" si="120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17"/>
        <v/>
      </c>
      <c r="CA49" s="532" t="str">
        <f t="shared" si="118"/>
        <v/>
      </c>
      <c r="CB49" s="532" t="str">
        <f t="shared" si="119"/>
        <v/>
      </c>
      <c r="CC49" s="532" t="str">
        <f t="shared" si="120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17"/>
        <v/>
      </c>
      <c r="CA50" s="532" t="str">
        <f t="shared" si="118"/>
        <v/>
      </c>
      <c r="CB50" s="532" t="str">
        <f t="shared" si="119"/>
        <v/>
      </c>
      <c r="CC50" s="532" t="str">
        <f t="shared" si="120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17"/>
        <v/>
      </c>
      <c r="CA51" s="532" t="str">
        <f t="shared" si="118"/>
        <v/>
      </c>
      <c r="CB51" s="532" t="str">
        <f t="shared" si="119"/>
        <v/>
      </c>
      <c r="CC51" s="532" t="str">
        <f t="shared" si="120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17"/>
        <v/>
      </c>
      <c r="CA52" s="532" t="str">
        <f t="shared" si="118"/>
        <v/>
      </c>
      <c r="CB52" s="532" t="str">
        <f t="shared" si="119"/>
        <v/>
      </c>
      <c r="CC52" s="532" t="str">
        <f t="shared" si="120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17"/>
        <v/>
      </c>
      <c r="CA53" s="532" t="str">
        <f t="shared" si="118"/>
        <v/>
      </c>
      <c r="CB53" s="532" t="str">
        <f t="shared" si="119"/>
        <v/>
      </c>
      <c r="CC53" s="532" t="str">
        <f t="shared" si="120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17"/>
        <v/>
      </c>
      <c r="CA54" s="532" t="str">
        <f t="shared" si="118"/>
        <v/>
      </c>
      <c r="CB54" s="532" t="str">
        <f t="shared" si="119"/>
        <v/>
      </c>
      <c r="CC54" s="532" t="str">
        <f t="shared" si="120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17"/>
        <v/>
      </c>
      <c r="CA55" s="532" t="str">
        <f t="shared" si="118"/>
        <v/>
      </c>
      <c r="CB55" s="532" t="str">
        <f t="shared" si="119"/>
        <v/>
      </c>
      <c r="CC55" s="532" t="str">
        <f t="shared" si="120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17"/>
        <v/>
      </c>
      <c r="CA56" s="532" t="str">
        <f t="shared" si="118"/>
        <v/>
      </c>
      <c r="CB56" s="532" t="str">
        <f t="shared" si="119"/>
        <v/>
      </c>
      <c r="CC56" s="532" t="str">
        <f t="shared" si="120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17"/>
        <v/>
      </c>
      <c r="CA57" s="532" t="str">
        <f t="shared" si="118"/>
        <v/>
      </c>
      <c r="CB57" s="532" t="str">
        <f t="shared" si="119"/>
        <v/>
      </c>
      <c r="CC57" s="532" t="str">
        <f t="shared" si="120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17"/>
        <v/>
      </c>
      <c r="CA58" s="532" t="str">
        <f t="shared" si="118"/>
        <v/>
      </c>
      <c r="CB58" s="532" t="str">
        <f t="shared" si="119"/>
        <v/>
      </c>
      <c r="CC58" s="532" t="str">
        <f t="shared" si="120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17"/>
        <v/>
      </c>
      <c r="CA59" s="532" t="str">
        <f t="shared" si="118"/>
        <v/>
      </c>
      <c r="CB59" s="532" t="str">
        <f t="shared" si="119"/>
        <v/>
      </c>
      <c r="CC59" s="532" t="str">
        <f t="shared" si="120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17"/>
        <v/>
      </c>
      <c r="CA60" s="532" t="str">
        <f t="shared" si="118"/>
        <v/>
      </c>
      <c r="CB60" s="532" t="str">
        <f t="shared" si="119"/>
        <v/>
      </c>
      <c r="CC60" s="532" t="str">
        <f t="shared" si="120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17"/>
        <v/>
      </c>
      <c r="CA61" s="532" t="str">
        <f t="shared" si="118"/>
        <v/>
      </c>
      <c r="CB61" s="532" t="str">
        <f t="shared" si="119"/>
        <v/>
      </c>
      <c r="CC61" s="532" t="str">
        <f t="shared" si="120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17"/>
        <v/>
      </c>
      <c r="CA62" s="532" t="str">
        <f t="shared" si="118"/>
        <v/>
      </c>
      <c r="CB62" s="532" t="str">
        <f t="shared" si="119"/>
        <v/>
      </c>
      <c r="CC62" s="532" t="str">
        <f t="shared" si="120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17"/>
        <v/>
      </c>
      <c r="CA63" s="532" t="str">
        <f t="shared" si="118"/>
        <v/>
      </c>
      <c r="CB63" s="532" t="str">
        <f t="shared" si="119"/>
        <v/>
      </c>
      <c r="CC63" s="532" t="str">
        <f t="shared" si="120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17"/>
        <v/>
      </c>
      <c r="CA64" s="574" t="str">
        <f t="shared" si="118"/>
        <v/>
      </c>
      <c r="CB64" s="574" t="str">
        <f t="shared" si="119"/>
        <v/>
      </c>
      <c r="CC64" s="574" t="str">
        <f t="shared" si="120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17"/>
        <v/>
      </c>
      <c r="CA65" s="574" t="str">
        <f t="shared" si="118"/>
        <v/>
      </c>
      <c r="CB65" s="574" t="str">
        <f t="shared" si="119"/>
        <v/>
      </c>
      <c r="CC65" s="574" t="str">
        <f t="shared" si="120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17"/>
        <v>0</v>
      </c>
      <c r="CA66" s="582">
        <f t="shared" si="118"/>
        <v>0</v>
      </c>
      <c r="CB66" s="582">
        <f t="shared" si="119"/>
        <v>0</v>
      </c>
      <c r="CC66" s="582">
        <f t="shared" si="120"/>
        <v>0</v>
      </c>
      <c r="CD66" s="988">
        <f t="shared" ref="CD66:CD91" si="17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7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7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7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7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7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8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8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8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8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8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8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19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19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19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19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1">COUNT(B66:R66)</f>
        <v>10</v>
      </c>
      <c r="DF66" s="97">
        <f t="shared" ref="DF66:DF91" si="202">COUNT(T66:AJ66)</f>
        <v>10</v>
      </c>
      <c r="DG66" s="97">
        <f t="shared" ref="DG66:DG91" si="203">COUNT(AL66:BB66)</f>
        <v>10</v>
      </c>
      <c r="DH66" s="97">
        <f t="shared" ref="DH66:DH91" si="204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17"/>
        <v/>
      </c>
      <c r="CA67" s="582" t="str">
        <f t="shared" si="118"/>
        <v/>
      </c>
      <c r="CB67" s="582" t="str">
        <f t="shared" si="119"/>
        <v/>
      </c>
      <c r="CC67" s="582" t="str">
        <f t="shared" si="120"/>
        <v/>
      </c>
      <c r="CD67" s="988" t="str">
        <f t="shared" si="174"/>
        <v/>
      </c>
      <c r="CE67" s="989" t="str">
        <f t="shared" si="175"/>
        <v/>
      </c>
      <c r="CF67" s="989" t="str">
        <f t="shared" si="176"/>
        <v/>
      </c>
      <c r="CG67" s="989" t="str">
        <f t="shared" si="177"/>
        <v/>
      </c>
      <c r="CH67" s="990" t="str">
        <f t="shared" si="178"/>
        <v/>
      </c>
      <c r="CI67" s="990" t="str">
        <f t="shared" si="179"/>
        <v/>
      </c>
      <c r="CJ67" s="989" t="str">
        <f t="shared" si="180"/>
        <v/>
      </c>
      <c r="CK67" s="989" t="str">
        <f t="shared" si="181"/>
        <v/>
      </c>
      <c r="CL67" s="989" t="str">
        <f t="shared" si="182"/>
        <v/>
      </c>
      <c r="CM67" s="988" t="str">
        <f t="shared" si="183"/>
        <v/>
      </c>
      <c r="CN67" s="533" t="str">
        <f t="shared" si="184"/>
        <v/>
      </c>
      <c r="CO67" s="534" t="str">
        <f t="shared" si="185"/>
        <v/>
      </c>
      <c r="CP67" s="535" t="str">
        <f t="shared" si="186"/>
        <v/>
      </c>
      <c r="CQ67" s="535" t="str">
        <f t="shared" si="187"/>
        <v/>
      </c>
      <c r="CR67" s="535" t="str">
        <f t="shared" si="188"/>
        <v/>
      </c>
      <c r="CS67" s="535" t="str">
        <f t="shared" si="189"/>
        <v/>
      </c>
      <c r="CT67" s="535" t="str">
        <f t="shared" si="190"/>
        <v/>
      </c>
      <c r="CU67" s="536" t="str">
        <f t="shared" si="191"/>
        <v/>
      </c>
      <c r="CV67" s="536" t="str">
        <f t="shared" si="192"/>
        <v/>
      </c>
      <c r="CW67" s="536" t="str">
        <f t="shared" si="193"/>
        <v/>
      </c>
      <c r="CX67" s="535" t="str">
        <f t="shared" si="194"/>
        <v/>
      </c>
      <c r="CY67" s="535" t="str">
        <f t="shared" si="195"/>
        <v/>
      </c>
      <c r="CZ67" s="535" t="str">
        <f t="shared" si="196"/>
        <v/>
      </c>
      <c r="DA67" s="535" t="str">
        <f t="shared" si="197"/>
        <v/>
      </c>
      <c r="DB67" s="535" t="str">
        <f t="shared" si="198"/>
        <v/>
      </c>
      <c r="DC67" s="534" t="str">
        <f t="shared" si="199"/>
        <v/>
      </c>
      <c r="DD67" s="533" t="str">
        <f t="shared" si="200"/>
        <v/>
      </c>
      <c r="DE67" s="583">
        <f t="shared" si="201"/>
        <v>0</v>
      </c>
      <c r="DF67" s="97">
        <f t="shared" si="202"/>
        <v>0</v>
      </c>
      <c r="DG67" s="97">
        <f t="shared" si="203"/>
        <v>0</v>
      </c>
      <c r="DH67" s="97">
        <f t="shared" si="204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17"/>
        <v/>
      </c>
      <c r="CA68" s="582" t="str">
        <f t="shared" si="118"/>
        <v/>
      </c>
      <c r="CB68" s="582" t="str">
        <f t="shared" si="119"/>
        <v/>
      </c>
      <c r="CC68" s="582" t="str">
        <f t="shared" si="120"/>
        <v/>
      </c>
      <c r="CD68" s="988" t="str">
        <f t="shared" si="174"/>
        <v/>
      </c>
      <c r="CE68" s="989" t="str">
        <f t="shared" si="175"/>
        <v/>
      </c>
      <c r="CF68" s="989" t="str">
        <f t="shared" si="176"/>
        <v/>
      </c>
      <c r="CG68" s="989" t="str">
        <f t="shared" si="177"/>
        <v/>
      </c>
      <c r="CH68" s="990" t="str">
        <f t="shared" si="178"/>
        <v/>
      </c>
      <c r="CI68" s="990" t="str">
        <f t="shared" si="179"/>
        <v/>
      </c>
      <c r="CJ68" s="989" t="str">
        <f t="shared" si="180"/>
        <v/>
      </c>
      <c r="CK68" s="989" t="str">
        <f t="shared" si="181"/>
        <v/>
      </c>
      <c r="CL68" s="989" t="str">
        <f t="shared" si="182"/>
        <v/>
      </c>
      <c r="CM68" s="988" t="str">
        <f t="shared" si="183"/>
        <v/>
      </c>
      <c r="CN68" s="533" t="str">
        <f t="shared" si="184"/>
        <v/>
      </c>
      <c r="CO68" s="534" t="str">
        <f t="shared" si="185"/>
        <v/>
      </c>
      <c r="CP68" s="535" t="str">
        <f t="shared" si="186"/>
        <v/>
      </c>
      <c r="CQ68" s="535" t="str">
        <f t="shared" si="187"/>
        <v/>
      </c>
      <c r="CR68" s="535" t="str">
        <f t="shared" si="188"/>
        <v/>
      </c>
      <c r="CS68" s="535" t="str">
        <f t="shared" si="189"/>
        <v/>
      </c>
      <c r="CT68" s="535" t="str">
        <f t="shared" si="190"/>
        <v/>
      </c>
      <c r="CU68" s="536" t="str">
        <f t="shared" si="191"/>
        <v/>
      </c>
      <c r="CV68" s="536" t="str">
        <f t="shared" si="192"/>
        <v/>
      </c>
      <c r="CW68" s="536" t="str">
        <f t="shared" si="193"/>
        <v/>
      </c>
      <c r="CX68" s="535" t="str">
        <f t="shared" si="194"/>
        <v/>
      </c>
      <c r="CY68" s="535" t="str">
        <f t="shared" si="195"/>
        <v/>
      </c>
      <c r="CZ68" s="535" t="str">
        <f t="shared" si="196"/>
        <v/>
      </c>
      <c r="DA68" s="535" t="str">
        <f t="shared" si="197"/>
        <v/>
      </c>
      <c r="DB68" s="535" t="str">
        <f t="shared" si="198"/>
        <v/>
      </c>
      <c r="DC68" s="534" t="str">
        <f t="shared" si="199"/>
        <v/>
      </c>
      <c r="DD68" s="533" t="str">
        <f t="shared" si="200"/>
        <v/>
      </c>
      <c r="DE68" s="583">
        <f t="shared" si="201"/>
        <v>0</v>
      </c>
      <c r="DF68" s="97">
        <f t="shared" si="202"/>
        <v>0</v>
      </c>
      <c r="DG68" s="97">
        <f t="shared" si="203"/>
        <v>0</v>
      </c>
      <c r="DH68" s="97">
        <f t="shared" si="204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05">IF(B68="","",B66*B67*B68)</f>
        <v/>
      </c>
      <c r="C69" s="591" t="str">
        <f t="shared" si="205"/>
        <v/>
      </c>
      <c r="D69" s="591" t="str">
        <f t="shared" si="205"/>
        <v/>
      </c>
      <c r="E69" s="591" t="str">
        <f t="shared" si="205"/>
        <v/>
      </c>
      <c r="F69" s="591" t="str">
        <f t="shared" si="205"/>
        <v/>
      </c>
      <c r="G69" s="591" t="str">
        <f t="shared" si="205"/>
        <v/>
      </c>
      <c r="H69" s="591" t="str">
        <f t="shared" si="205"/>
        <v/>
      </c>
      <c r="I69" s="591" t="str">
        <f t="shared" si="205"/>
        <v/>
      </c>
      <c r="J69" s="591" t="str">
        <f t="shared" si="205"/>
        <v/>
      </c>
      <c r="K69" s="591" t="str">
        <f t="shared" si="205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06">IF(T68="","",T66*T67*T68)</f>
        <v/>
      </c>
      <c r="U69" s="591" t="str">
        <f t="shared" si="206"/>
        <v/>
      </c>
      <c r="V69" s="591" t="str">
        <f t="shared" si="206"/>
        <v/>
      </c>
      <c r="W69" s="591" t="str">
        <f t="shared" si="206"/>
        <v/>
      </c>
      <c r="X69" s="591" t="str">
        <f t="shared" si="206"/>
        <v/>
      </c>
      <c r="Y69" s="591" t="str">
        <f t="shared" si="206"/>
        <v/>
      </c>
      <c r="Z69" s="591" t="str">
        <f t="shared" si="206"/>
        <v/>
      </c>
      <c r="AA69" s="591" t="str">
        <f t="shared" si="206"/>
        <v/>
      </c>
      <c r="AB69" s="591" t="str">
        <f t="shared" si="206"/>
        <v/>
      </c>
      <c r="AC69" s="591" t="str">
        <f t="shared" si="206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07">IF(AL68="","",AL66*AL67*AL68)</f>
        <v/>
      </c>
      <c r="AM69" s="591" t="str">
        <f t="shared" si="207"/>
        <v/>
      </c>
      <c r="AN69" s="591" t="str">
        <f t="shared" si="207"/>
        <v/>
      </c>
      <c r="AO69" s="591" t="str">
        <f t="shared" si="207"/>
        <v/>
      </c>
      <c r="AP69" s="591" t="str">
        <f t="shared" si="207"/>
        <v/>
      </c>
      <c r="AQ69" s="591" t="str">
        <f t="shared" si="207"/>
        <v/>
      </c>
      <c r="AR69" s="591" t="str">
        <f t="shared" si="207"/>
        <v/>
      </c>
      <c r="AS69" s="591" t="str">
        <f t="shared" si="207"/>
        <v/>
      </c>
      <c r="AT69" s="591" t="str">
        <f t="shared" si="207"/>
        <v/>
      </c>
      <c r="AU69" s="591" t="str">
        <f t="shared" si="207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08">IF(BD68="","",BD66*BD67*BD68)</f>
        <v/>
      </c>
      <c r="BE69" s="1194" t="str">
        <f t="shared" si="208"/>
        <v/>
      </c>
      <c r="BF69" s="1194" t="str">
        <f t="shared" si="208"/>
        <v/>
      </c>
      <c r="BG69" s="1194" t="str">
        <f t="shared" si="208"/>
        <v/>
      </c>
      <c r="BH69" s="1194" t="str">
        <f t="shared" si="208"/>
        <v/>
      </c>
      <c r="BI69" s="1194" t="str">
        <f t="shared" si="208"/>
        <v/>
      </c>
      <c r="BJ69" s="1194" t="str">
        <f t="shared" si="208"/>
        <v/>
      </c>
      <c r="BK69" s="1194" t="str">
        <f t="shared" si="208"/>
        <v/>
      </c>
      <c r="BL69" s="1194" t="str">
        <f t="shared" si="208"/>
        <v/>
      </c>
      <c r="BM69" s="1194" t="str">
        <f t="shared" si="208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17"/>
        <v/>
      </c>
      <c r="CA69" s="582" t="str">
        <f t="shared" si="118"/>
        <v/>
      </c>
      <c r="CB69" s="582" t="str">
        <f t="shared" si="119"/>
        <v/>
      </c>
      <c r="CC69" s="582" t="str">
        <f t="shared" si="120"/>
        <v/>
      </c>
      <c r="CD69" s="988" t="str">
        <f t="shared" si="174"/>
        <v/>
      </c>
      <c r="CE69" s="989" t="str">
        <f t="shared" si="175"/>
        <v/>
      </c>
      <c r="CF69" s="989" t="str">
        <f t="shared" si="176"/>
        <v/>
      </c>
      <c r="CG69" s="989" t="str">
        <f t="shared" si="177"/>
        <v/>
      </c>
      <c r="CH69" s="990" t="str">
        <f t="shared" si="178"/>
        <v/>
      </c>
      <c r="CI69" s="990" t="str">
        <f t="shared" si="179"/>
        <v/>
      </c>
      <c r="CJ69" s="989" t="str">
        <f t="shared" si="180"/>
        <v/>
      </c>
      <c r="CK69" s="989" t="str">
        <f t="shared" si="181"/>
        <v/>
      </c>
      <c r="CL69" s="989" t="str">
        <f t="shared" si="182"/>
        <v/>
      </c>
      <c r="CM69" s="988" t="str">
        <f t="shared" si="183"/>
        <v/>
      </c>
      <c r="CN69" s="533" t="str">
        <f t="shared" si="184"/>
        <v/>
      </c>
      <c r="CO69" s="534" t="str">
        <f t="shared" si="185"/>
        <v/>
      </c>
      <c r="CP69" s="535" t="str">
        <f t="shared" si="186"/>
        <v/>
      </c>
      <c r="CQ69" s="535" t="str">
        <f t="shared" si="187"/>
        <v/>
      </c>
      <c r="CR69" s="535" t="str">
        <f t="shared" si="188"/>
        <v/>
      </c>
      <c r="CS69" s="535" t="str">
        <f t="shared" si="189"/>
        <v/>
      </c>
      <c r="CT69" s="535" t="str">
        <f t="shared" si="190"/>
        <v/>
      </c>
      <c r="CU69" s="536" t="str">
        <f t="shared" si="191"/>
        <v/>
      </c>
      <c r="CV69" s="536" t="str">
        <f t="shared" si="192"/>
        <v/>
      </c>
      <c r="CW69" s="536" t="str">
        <f t="shared" si="193"/>
        <v/>
      </c>
      <c r="CX69" s="535" t="str">
        <f t="shared" si="194"/>
        <v/>
      </c>
      <c r="CY69" s="535" t="str">
        <f t="shared" si="195"/>
        <v/>
      </c>
      <c r="CZ69" s="535" t="str">
        <f t="shared" si="196"/>
        <v/>
      </c>
      <c r="DA69" s="535" t="str">
        <f t="shared" si="197"/>
        <v/>
      </c>
      <c r="DB69" s="535" t="str">
        <f t="shared" si="198"/>
        <v/>
      </c>
      <c r="DC69" s="534" t="str">
        <f t="shared" si="199"/>
        <v/>
      </c>
      <c r="DD69" s="533" t="str">
        <f t="shared" si="200"/>
        <v/>
      </c>
      <c r="DE69" s="583">
        <f t="shared" si="201"/>
        <v>0</v>
      </c>
      <c r="DF69" s="97">
        <f t="shared" si="202"/>
        <v>0</v>
      </c>
      <c r="DG69" s="97">
        <f t="shared" si="203"/>
        <v>0</v>
      </c>
      <c r="DH69" s="97">
        <f t="shared" si="204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17"/>
        <v/>
      </c>
      <c r="CA70" s="582" t="str">
        <f t="shared" si="118"/>
        <v/>
      </c>
      <c r="CB70" s="582" t="str">
        <f t="shared" si="119"/>
        <v/>
      </c>
      <c r="CC70" s="582" t="str">
        <f t="shared" si="120"/>
        <v/>
      </c>
      <c r="CD70" s="988" t="str">
        <f t="shared" si="174"/>
        <v/>
      </c>
      <c r="CE70" s="989" t="str">
        <f t="shared" si="175"/>
        <v/>
      </c>
      <c r="CF70" s="989" t="str">
        <f t="shared" si="176"/>
        <v/>
      </c>
      <c r="CG70" s="989" t="str">
        <f t="shared" si="177"/>
        <v/>
      </c>
      <c r="CH70" s="990" t="str">
        <f t="shared" si="178"/>
        <v/>
      </c>
      <c r="CI70" s="990" t="str">
        <f t="shared" si="179"/>
        <v/>
      </c>
      <c r="CJ70" s="989" t="str">
        <f t="shared" si="180"/>
        <v/>
      </c>
      <c r="CK70" s="989" t="str">
        <f t="shared" si="181"/>
        <v/>
      </c>
      <c r="CL70" s="989" t="str">
        <f t="shared" si="182"/>
        <v/>
      </c>
      <c r="CM70" s="988" t="str">
        <f t="shared" si="183"/>
        <v/>
      </c>
      <c r="CN70" s="533" t="str">
        <f t="shared" si="184"/>
        <v/>
      </c>
      <c r="CO70" s="534" t="str">
        <f t="shared" si="185"/>
        <v/>
      </c>
      <c r="CP70" s="535" t="str">
        <f t="shared" si="186"/>
        <v/>
      </c>
      <c r="CQ70" s="535" t="str">
        <f t="shared" si="187"/>
        <v/>
      </c>
      <c r="CR70" s="535" t="str">
        <f t="shared" si="188"/>
        <v/>
      </c>
      <c r="CS70" s="535" t="str">
        <f t="shared" si="189"/>
        <v/>
      </c>
      <c r="CT70" s="535" t="str">
        <f t="shared" si="190"/>
        <v/>
      </c>
      <c r="CU70" s="536" t="str">
        <f t="shared" si="191"/>
        <v/>
      </c>
      <c r="CV70" s="536" t="str">
        <f t="shared" si="192"/>
        <v/>
      </c>
      <c r="CW70" s="536" t="str">
        <f t="shared" si="193"/>
        <v/>
      </c>
      <c r="CX70" s="535" t="str">
        <f t="shared" si="194"/>
        <v/>
      </c>
      <c r="CY70" s="535" t="str">
        <f t="shared" si="195"/>
        <v/>
      </c>
      <c r="CZ70" s="535" t="str">
        <f t="shared" si="196"/>
        <v/>
      </c>
      <c r="DA70" s="535" t="str">
        <f t="shared" si="197"/>
        <v/>
      </c>
      <c r="DB70" s="535" t="str">
        <f t="shared" si="198"/>
        <v/>
      </c>
      <c r="DC70" s="534" t="str">
        <f t="shared" si="199"/>
        <v/>
      </c>
      <c r="DD70" s="533" t="str">
        <f t="shared" si="200"/>
        <v/>
      </c>
      <c r="DE70" s="583">
        <f t="shared" si="201"/>
        <v>0</v>
      </c>
      <c r="DF70" s="97">
        <f t="shared" si="202"/>
        <v>0</v>
      </c>
      <c r="DG70" s="97">
        <f t="shared" si="203"/>
        <v>0</v>
      </c>
      <c r="DH70" s="97">
        <f t="shared" si="204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17"/>
        <v/>
      </c>
      <c r="CA71" s="582" t="str">
        <f t="shared" si="118"/>
        <v/>
      </c>
      <c r="CB71" s="582" t="str">
        <f t="shared" si="119"/>
        <v/>
      </c>
      <c r="CC71" s="582" t="str">
        <f t="shared" si="120"/>
        <v/>
      </c>
      <c r="CD71" s="988" t="str">
        <f t="shared" si="174"/>
        <v/>
      </c>
      <c r="CE71" s="989" t="str">
        <f t="shared" si="175"/>
        <v/>
      </c>
      <c r="CF71" s="989" t="str">
        <f t="shared" si="176"/>
        <v/>
      </c>
      <c r="CG71" s="989" t="str">
        <f t="shared" si="177"/>
        <v/>
      </c>
      <c r="CH71" s="990" t="str">
        <f t="shared" si="178"/>
        <v/>
      </c>
      <c r="CI71" s="990" t="str">
        <f t="shared" si="179"/>
        <v/>
      </c>
      <c r="CJ71" s="989" t="str">
        <f t="shared" si="180"/>
        <v/>
      </c>
      <c r="CK71" s="989" t="str">
        <f t="shared" si="181"/>
        <v/>
      </c>
      <c r="CL71" s="989" t="str">
        <f t="shared" si="182"/>
        <v/>
      </c>
      <c r="CM71" s="988" t="str">
        <f t="shared" si="183"/>
        <v/>
      </c>
      <c r="CN71" s="533" t="str">
        <f t="shared" si="184"/>
        <v/>
      </c>
      <c r="CO71" s="534" t="str">
        <f t="shared" si="185"/>
        <v/>
      </c>
      <c r="CP71" s="535" t="str">
        <f t="shared" si="186"/>
        <v/>
      </c>
      <c r="CQ71" s="535" t="str">
        <f t="shared" si="187"/>
        <v/>
      </c>
      <c r="CR71" s="535" t="str">
        <f t="shared" si="188"/>
        <v/>
      </c>
      <c r="CS71" s="535" t="str">
        <f t="shared" si="189"/>
        <v/>
      </c>
      <c r="CT71" s="535" t="str">
        <f t="shared" si="190"/>
        <v/>
      </c>
      <c r="CU71" s="536" t="str">
        <f t="shared" si="191"/>
        <v/>
      </c>
      <c r="CV71" s="536" t="str">
        <f t="shared" si="192"/>
        <v/>
      </c>
      <c r="CW71" s="536" t="str">
        <f t="shared" si="193"/>
        <v/>
      </c>
      <c r="CX71" s="535" t="str">
        <f t="shared" si="194"/>
        <v/>
      </c>
      <c r="CY71" s="535" t="str">
        <f t="shared" si="195"/>
        <v/>
      </c>
      <c r="CZ71" s="535" t="str">
        <f t="shared" si="196"/>
        <v/>
      </c>
      <c r="DA71" s="535" t="str">
        <f t="shared" si="197"/>
        <v/>
      </c>
      <c r="DB71" s="535" t="str">
        <f t="shared" si="198"/>
        <v/>
      </c>
      <c r="DC71" s="534" t="str">
        <f t="shared" si="199"/>
        <v/>
      </c>
      <c r="DD71" s="533" t="str">
        <f t="shared" si="200"/>
        <v/>
      </c>
      <c r="DE71" s="583">
        <f t="shared" si="201"/>
        <v>0</v>
      </c>
      <c r="DF71" s="97">
        <f t="shared" si="202"/>
        <v>0</v>
      </c>
      <c r="DG71" s="97">
        <f t="shared" si="203"/>
        <v>0</v>
      </c>
      <c r="DH71" s="97">
        <f t="shared" si="204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09">IF(B70="","",B70*B71)</f>
        <v/>
      </c>
      <c r="C72" s="592" t="str">
        <f t="shared" si="209"/>
        <v/>
      </c>
      <c r="D72" s="592" t="str">
        <f t="shared" si="209"/>
        <v/>
      </c>
      <c r="E72" s="592" t="str">
        <f t="shared" si="209"/>
        <v/>
      </c>
      <c r="F72" s="592" t="str">
        <f t="shared" si="209"/>
        <v/>
      </c>
      <c r="G72" s="592" t="str">
        <f t="shared" si="209"/>
        <v/>
      </c>
      <c r="H72" s="592" t="str">
        <f t="shared" si="209"/>
        <v/>
      </c>
      <c r="I72" s="592" t="str">
        <f t="shared" si="209"/>
        <v/>
      </c>
      <c r="J72" s="592" t="str">
        <f t="shared" si="209"/>
        <v/>
      </c>
      <c r="K72" s="592" t="str">
        <f t="shared" si="209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0">IF(T70="","",T70*T71)</f>
        <v/>
      </c>
      <c r="U72" s="592" t="str">
        <f t="shared" si="210"/>
        <v/>
      </c>
      <c r="V72" s="592" t="str">
        <f t="shared" si="210"/>
        <v/>
      </c>
      <c r="W72" s="592" t="str">
        <f t="shared" si="210"/>
        <v/>
      </c>
      <c r="X72" s="592" t="str">
        <f t="shared" si="210"/>
        <v/>
      </c>
      <c r="Y72" s="592" t="str">
        <f t="shared" si="210"/>
        <v/>
      </c>
      <c r="Z72" s="592" t="str">
        <f t="shared" si="210"/>
        <v/>
      </c>
      <c r="AA72" s="592" t="str">
        <f t="shared" si="210"/>
        <v/>
      </c>
      <c r="AB72" s="592" t="str">
        <f t="shared" si="210"/>
        <v/>
      </c>
      <c r="AC72" s="592" t="str">
        <f t="shared" si="210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1">IF(AL70="","",AL70*AL71)</f>
        <v/>
      </c>
      <c r="AM72" s="592" t="str">
        <f t="shared" si="211"/>
        <v/>
      </c>
      <c r="AN72" s="592" t="str">
        <f t="shared" si="211"/>
        <v/>
      </c>
      <c r="AO72" s="592" t="str">
        <f t="shared" si="211"/>
        <v/>
      </c>
      <c r="AP72" s="592" t="str">
        <f t="shared" si="211"/>
        <v/>
      </c>
      <c r="AQ72" s="592" t="str">
        <f t="shared" si="211"/>
        <v/>
      </c>
      <c r="AR72" s="592" t="str">
        <f t="shared" si="211"/>
        <v/>
      </c>
      <c r="AS72" s="592" t="str">
        <f t="shared" si="211"/>
        <v/>
      </c>
      <c r="AT72" s="592" t="str">
        <f t="shared" si="211"/>
        <v/>
      </c>
      <c r="AU72" s="592" t="str">
        <f t="shared" si="211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2">IF(BD70="","",BD70*BD71)</f>
        <v/>
      </c>
      <c r="BE72" s="1195" t="str">
        <f t="shared" si="212"/>
        <v/>
      </c>
      <c r="BF72" s="1195" t="str">
        <f t="shared" si="212"/>
        <v/>
      </c>
      <c r="BG72" s="1195" t="str">
        <f t="shared" si="212"/>
        <v/>
      </c>
      <c r="BH72" s="1195" t="str">
        <f t="shared" si="212"/>
        <v/>
      </c>
      <c r="BI72" s="1195" t="str">
        <f t="shared" si="212"/>
        <v/>
      </c>
      <c r="BJ72" s="1195" t="str">
        <f t="shared" si="212"/>
        <v/>
      </c>
      <c r="BK72" s="1195" t="str">
        <f t="shared" si="212"/>
        <v/>
      </c>
      <c r="BL72" s="1195" t="str">
        <f t="shared" si="212"/>
        <v/>
      </c>
      <c r="BM72" s="1195" t="str">
        <f t="shared" si="212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17"/>
        <v/>
      </c>
      <c r="CA72" s="582" t="str">
        <f t="shared" si="118"/>
        <v/>
      </c>
      <c r="CB72" s="582" t="str">
        <f t="shared" si="119"/>
        <v/>
      </c>
      <c r="CC72" s="582" t="str">
        <f t="shared" si="120"/>
        <v/>
      </c>
      <c r="CD72" s="988" t="str">
        <f t="shared" si="174"/>
        <v/>
      </c>
      <c r="CE72" s="989" t="str">
        <f t="shared" si="175"/>
        <v/>
      </c>
      <c r="CF72" s="989" t="str">
        <f t="shared" si="176"/>
        <v/>
      </c>
      <c r="CG72" s="989" t="str">
        <f t="shared" si="177"/>
        <v/>
      </c>
      <c r="CH72" s="990" t="str">
        <f t="shared" si="178"/>
        <v/>
      </c>
      <c r="CI72" s="990" t="str">
        <f t="shared" si="179"/>
        <v/>
      </c>
      <c r="CJ72" s="989" t="str">
        <f t="shared" si="180"/>
        <v/>
      </c>
      <c r="CK72" s="989" t="str">
        <f t="shared" si="181"/>
        <v/>
      </c>
      <c r="CL72" s="989" t="str">
        <f t="shared" si="182"/>
        <v/>
      </c>
      <c r="CM72" s="988" t="str">
        <f t="shared" si="183"/>
        <v/>
      </c>
      <c r="CN72" s="533" t="str">
        <f t="shared" si="184"/>
        <v/>
      </c>
      <c r="CO72" s="534" t="str">
        <f t="shared" si="185"/>
        <v/>
      </c>
      <c r="CP72" s="535" t="str">
        <f t="shared" si="186"/>
        <v/>
      </c>
      <c r="CQ72" s="535" t="str">
        <f t="shared" si="187"/>
        <v/>
      </c>
      <c r="CR72" s="535" t="str">
        <f t="shared" si="188"/>
        <v/>
      </c>
      <c r="CS72" s="535" t="str">
        <f t="shared" si="189"/>
        <v/>
      </c>
      <c r="CT72" s="535" t="str">
        <f t="shared" si="190"/>
        <v/>
      </c>
      <c r="CU72" s="536" t="str">
        <f t="shared" si="191"/>
        <v/>
      </c>
      <c r="CV72" s="536" t="str">
        <f t="shared" si="192"/>
        <v/>
      </c>
      <c r="CW72" s="536" t="str">
        <f t="shared" si="193"/>
        <v/>
      </c>
      <c r="CX72" s="535" t="str">
        <f t="shared" si="194"/>
        <v/>
      </c>
      <c r="CY72" s="535" t="str">
        <f t="shared" si="195"/>
        <v/>
      </c>
      <c r="CZ72" s="535" t="str">
        <f t="shared" si="196"/>
        <v/>
      </c>
      <c r="DA72" s="535" t="str">
        <f t="shared" si="197"/>
        <v/>
      </c>
      <c r="DB72" s="535" t="str">
        <f t="shared" si="198"/>
        <v/>
      </c>
      <c r="DC72" s="534" t="str">
        <f t="shared" si="199"/>
        <v/>
      </c>
      <c r="DD72" s="533" t="str">
        <f t="shared" si="200"/>
        <v/>
      </c>
      <c r="DE72" s="583">
        <f t="shared" si="201"/>
        <v>0</v>
      </c>
      <c r="DF72" s="97">
        <f t="shared" si="202"/>
        <v>0</v>
      </c>
      <c r="DG72" s="97">
        <f t="shared" si="203"/>
        <v>0</v>
      </c>
      <c r="DH72" s="97">
        <f t="shared" si="204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17"/>
        <v/>
      </c>
      <c r="CA73" s="582" t="str">
        <f t="shared" si="118"/>
        <v/>
      </c>
      <c r="CB73" s="582" t="str">
        <f t="shared" si="119"/>
        <v/>
      </c>
      <c r="CC73" s="582" t="str">
        <f t="shared" si="120"/>
        <v/>
      </c>
      <c r="CD73" s="988" t="str">
        <f t="shared" si="174"/>
        <v/>
      </c>
      <c r="CE73" s="989" t="str">
        <f t="shared" si="175"/>
        <v/>
      </c>
      <c r="CF73" s="989" t="str">
        <f t="shared" si="176"/>
        <v/>
      </c>
      <c r="CG73" s="989" t="str">
        <f t="shared" si="177"/>
        <v/>
      </c>
      <c r="CH73" s="990" t="str">
        <f t="shared" si="178"/>
        <v/>
      </c>
      <c r="CI73" s="990" t="str">
        <f t="shared" si="179"/>
        <v/>
      </c>
      <c r="CJ73" s="989" t="str">
        <f t="shared" si="180"/>
        <v/>
      </c>
      <c r="CK73" s="989" t="str">
        <f t="shared" si="181"/>
        <v/>
      </c>
      <c r="CL73" s="989" t="str">
        <f t="shared" si="182"/>
        <v/>
      </c>
      <c r="CM73" s="988" t="str">
        <f t="shared" si="183"/>
        <v/>
      </c>
      <c r="CN73" s="533" t="str">
        <f t="shared" si="184"/>
        <v/>
      </c>
      <c r="CO73" s="534" t="str">
        <f t="shared" si="185"/>
        <v/>
      </c>
      <c r="CP73" s="535" t="str">
        <f t="shared" si="186"/>
        <v/>
      </c>
      <c r="CQ73" s="535" t="str">
        <f t="shared" si="187"/>
        <v/>
      </c>
      <c r="CR73" s="535" t="str">
        <f t="shared" si="188"/>
        <v/>
      </c>
      <c r="CS73" s="535" t="str">
        <f t="shared" si="189"/>
        <v/>
      </c>
      <c r="CT73" s="535" t="str">
        <f t="shared" si="190"/>
        <v/>
      </c>
      <c r="CU73" s="536" t="str">
        <f t="shared" si="191"/>
        <v/>
      </c>
      <c r="CV73" s="536" t="str">
        <f t="shared" si="192"/>
        <v/>
      </c>
      <c r="CW73" s="536" t="str">
        <f t="shared" si="193"/>
        <v/>
      </c>
      <c r="CX73" s="535" t="str">
        <f t="shared" si="194"/>
        <v/>
      </c>
      <c r="CY73" s="535" t="str">
        <f t="shared" si="195"/>
        <v/>
      </c>
      <c r="CZ73" s="535" t="str">
        <f t="shared" si="196"/>
        <v/>
      </c>
      <c r="DA73" s="535" t="str">
        <f t="shared" si="197"/>
        <v/>
      </c>
      <c r="DB73" s="535" t="str">
        <f t="shared" si="198"/>
        <v/>
      </c>
      <c r="DC73" s="534" t="str">
        <f t="shared" si="199"/>
        <v/>
      </c>
      <c r="DD73" s="533" t="str">
        <f t="shared" si="200"/>
        <v/>
      </c>
      <c r="DE73" s="583">
        <f t="shared" si="201"/>
        <v>0</v>
      </c>
      <c r="DF73" s="97">
        <f t="shared" si="202"/>
        <v>0</v>
      </c>
      <c r="DG73" s="97">
        <f t="shared" si="203"/>
        <v>0</v>
      </c>
      <c r="DH73" s="97">
        <f t="shared" si="204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17"/>
        <v/>
      </c>
      <c r="CA74" s="582" t="str">
        <f t="shared" si="118"/>
        <v/>
      </c>
      <c r="CB74" s="582" t="str">
        <f t="shared" si="119"/>
        <v/>
      </c>
      <c r="CC74" s="582" t="str">
        <f t="shared" si="120"/>
        <v/>
      </c>
      <c r="CD74" s="988" t="str">
        <f t="shared" si="174"/>
        <v/>
      </c>
      <c r="CE74" s="989" t="str">
        <f t="shared" si="175"/>
        <v/>
      </c>
      <c r="CF74" s="989" t="str">
        <f t="shared" si="176"/>
        <v/>
      </c>
      <c r="CG74" s="989" t="str">
        <f t="shared" si="177"/>
        <v/>
      </c>
      <c r="CH74" s="990" t="str">
        <f t="shared" si="178"/>
        <v/>
      </c>
      <c r="CI74" s="990" t="str">
        <f t="shared" si="179"/>
        <v/>
      </c>
      <c r="CJ74" s="989" t="str">
        <f t="shared" si="180"/>
        <v/>
      </c>
      <c r="CK74" s="989" t="str">
        <f t="shared" si="181"/>
        <v/>
      </c>
      <c r="CL74" s="989" t="str">
        <f t="shared" si="182"/>
        <v/>
      </c>
      <c r="CM74" s="988" t="str">
        <f t="shared" si="183"/>
        <v/>
      </c>
      <c r="CN74" s="533" t="str">
        <f t="shared" si="184"/>
        <v/>
      </c>
      <c r="CO74" s="534" t="str">
        <f t="shared" si="185"/>
        <v/>
      </c>
      <c r="CP74" s="535" t="str">
        <f t="shared" si="186"/>
        <v/>
      </c>
      <c r="CQ74" s="535" t="str">
        <f t="shared" si="187"/>
        <v/>
      </c>
      <c r="CR74" s="535" t="str">
        <f t="shared" si="188"/>
        <v/>
      </c>
      <c r="CS74" s="535" t="str">
        <f t="shared" si="189"/>
        <v/>
      </c>
      <c r="CT74" s="535" t="str">
        <f t="shared" si="190"/>
        <v/>
      </c>
      <c r="CU74" s="536" t="str">
        <f t="shared" si="191"/>
        <v/>
      </c>
      <c r="CV74" s="536" t="str">
        <f t="shared" si="192"/>
        <v/>
      </c>
      <c r="CW74" s="536" t="str">
        <f t="shared" si="193"/>
        <v/>
      </c>
      <c r="CX74" s="535" t="str">
        <f t="shared" si="194"/>
        <v/>
      </c>
      <c r="CY74" s="535" t="str">
        <f t="shared" si="195"/>
        <v/>
      </c>
      <c r="CZ74" s="535" t="str">
        <f t="shared" si="196"/>
        <v/>
      </c>
      <c r="DA74" s="535" t="str">
        <f t="shared" si="197"/>
        <v/>
      </c>
      <c r="DB74" s="535" t="str">
        <f t="shared" si="198"/>
        <v/>
      </c>
      <c r="DC74" s="534" t="str">
        <f t="shared" si="199"/>
        <v/>
      </c>
      <c r="DD74" s="533" t="str">
        <f t="shared" si="200"/>
        <v/>
      </c>
      <c r="DE74" s="583">
        <f t="shared" si="201"/>
        <v>0</v>
      </c>
      <c r="DF74" s="97">
        <f t="shared" si="202"/>
        <v>0</v>
      </c>
      <c r="DG74" s="97">
        <f t="shared" si="203"/>
        <v>0</v>
      </c>
      <c r="DH74" s="97">
        <f t="shared" si="204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17"/>
        <v/>
      </c>
      <c r="CA75" s="582" t="str">
        <f t="shared" si="118"/>
        <v/>
      </c>
      <c r="CB75" s="582" t="str">
        <f t="shared" si="119"/>
        <v/>
      </c>
      <c r="CC75" s="582" t="str">
        <f t="shared" si="120"/>
        <v/>
      </c>
      <c r="CD75" s="988" t="str">
        <f t="shared" si="174"/>
        <v/>
      </c>
      <c r="CE75" s="989" t="str">
        <f t="shared" si="175"/>
        <v/>
      </c>
      <c r="CF75" s="989" t="str">
        <f t="shared" si="176"/>
        <v/>
      </c>
      <c r="CG75" s="989" t="str">
        <f t="shared" si="177"/>
        <v/>
      </c>
      <c r="CH75" s="990" t="str">
        <f t="shared" si="178"/>
        <v/>
      </c>
      <c r="CI75" s="990" t="str">
        <f t="shared" si="179"/>
        <v/>
      </c>
      <c r="CJ75" s="989" t="str">
        <f t="shared" si="180"/>
        <v/>
      </c>
      <c r="CK75" s="989" t="str">
        <f t="shared" si="181"/>
        <v/>
      </c>
      <c r="CL75" s="989" t="str">
        <f t="shared" si="182"/>
        <v/>
      </c>
      <c r="CM75" s="988" t="str">
        <f t="shared" si="183"/>
        <v/>
      </c>
      <c r="CN75" s="533" t="str">
        <f t="shared" si="184"/>
        <v/>
      </c>
      <c r="CO75" s="534" t="str">
        <f t="shared" si="185"/>
        <v/>
      </c>
      <c r="CP75" s="535" t="str">
        <f t="shared" si="186"/>
        <v/>
      </c>
      <c r="CQ75" s="535" t="str">
        <f t="shared" si="187"/>
        <v/>
      </c>
      <c r="CR75" s="535" t="str">
        <f t="shared" si="188"/>
        <v/>
      </c>
      <c r="CS75" s="535" t="str">
        <f t="shared" si="189"/>
        <v/>
      </c>
      <c r="CT75" s="535" t="str">
        <f t="shared" si="190"/>
        <v/>
      </c>
      <c r="CU75" s="536" t="str">
        <f t="shared" si="191"/>
        <v/>
      </c>
      <c r="CV75" s="536" t="str">
        <f t="shared" si="192"/>
        <v/>
      </c>
      <c r="CW75" s="536" t="str">
        <f t="shared" si="193"/>
        <v/>
      </c>
      <c r="CX75" s="535" t="str">
        <f t="shared" si="194"/>
        <v/>
      </c>
      <c r="CY75" s="535" t="str">
        <f t="shared" si="195"/>
        <v/>
      </c>
      <c r="CZ75" s="535" t="str">
        <f t="shared" si="196"/>
        <v/>
      </c>
      <c r="DA75" s="535" t="str">
        <f t="shared" si="197"/>
        <v/>
      </c>
      <c r="DB75" s="535" t="str">
        <f t="shared" si="198"/>
        <v/>
      </c>
      <c r="DC75" s="534" t="str">
        <f t="shared" si="199"/>
        <v/>
      </c>
      <c r="DD75" s="533" t="str">
        <f t="shared" si="200"/>
        <v/>
      </c>
      <c r="DE75" s="583">
        <f t="shared" si="201"/>
        <v>0</v>
      </c>
      <c r="DF75" s="97">
        <f t="shared" si="202"/>
        <v>0</v>
      </c>
      <c r="DG75" s="97">
        <f t="shared" si="203"/>
        <v>0</v>
      </c>
      <c r="DH75" s="97">
        <f t="shared" si="204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17"/>
        <v/>
      </c>
      <c r="CA76" s="582" t="str">
        <f t="shared" si="118"/>
        <v/>
      </c>
      <c r="CB76" s="582" t="str">
        <f t="shared" si="119"/>
        <v/>
      </c>
      <c r="CC76" s="582" t="str">
        <f t="shared" si="120"/>
        <v/>
      </c>
      <c r="CD76" s="988" t="str">
        <f t="shared" si="174"/>
        <v/>
      </c>
      <c r="CE76" s="989" t="str">
        <f t="shared" si="175"/>
        <v/>
      </c>
      <c r="CF76" s="989" t="str">
        <f t="shared" si="176"/>
        <v/>
      </c>
      <c r="CG76" s="989" t="str">
        <f t="shared" si="177"/>
        <v/>
      </c>
      <c r="CH76" s="990" t="str">
        <f t="shared" si="178"/>
        <v/>
      </c>
      <c r="CI76" s="990" t="str">
        <f t="shared" si="179"/>
        <v/>
      </c>
      <c r="CJ76" s="989" t="str">
        <f t="shared" si="180"/>
        <v/>
      </c>
      <c r="CK76" s="989" t="str">
        <f t="shared" si="181"/>
        <v/>
      </c>
      <c r="CL76" s="989" t="str">
        <f t="shared" si="182"/>
        <v/>
      </c>
      <c r="CM76" s="988" t="str">
        <f t="shared" si="183"/>
        <v/>
      </c>
      <c r="CN76" s="533" t="str">
        <f t="shared" si="184"/>
        <v/>
      </c>
      <c r="CO76" s="534" t="str">
        <f t="shared" si="185"/>
        <v/>
      </c>
      <c r="CP76" s="535" t="str">
        <f t="shared" si="186"/>
        <v/>
      </c>
      <c r="CQ76" s="535" t="str">
        <f t="shared" si="187"/>
        <v/>
      </c>
      <c r="CR76" s="535" t="str">
        <f t="shared" si="188"/>
        <v/>
      </c>
      <c r="CS76" s="535" t="str">
        <f t="shared" si="189"/>
        <v/>
      </c>
      <c r="CT76" s="535" t="str">
        <f t="shared" si="190"/>
        <v/>
      </c>
      <c r="CU76" s="536" t="str">
        <f t="shared" si="191"/>
        <v/>
      </c>
      <c r="CV76" s="536" t="str">
        <f t="shared" si="192"/>
        <v/>
      </c>
      <c r="CW76" s="536" t="str">
        <f t="shared" si="193"/>
        <v/>
      </c>
      <c r="CX76" s="535" t="str">
        <f t="shared" si="194"/>
        <v/>
      </c>
      <c r="CY76" s="535" t="str">
        <f t="shared" si="195"/>
        <v/>
      </c>
      <c r="CZ76" s="535" t="str">
        <f t="shared" si="196"/>
        <v/>
      </c>
      <c r="DA76" s="535" t="str">
        <f t="shared" si="197"/>
        <v/>
      </c>
      <c r="DB76" s="535" t="str">
        <f t="shared" si="198"/>
        <v/>
      </c>
      <c r="DC76" s="534" t="str">
        <f t="shared" si="199"/>
        <v/>
      </c>
      <c r="DD76" s="533" t="str">
        <f t="shared" si="200"/>
        <v/>
      </c>
      <c r="DE76" s="583">
        <f t="shared" si="201"/>
        <v>0</v>
      </c>
      <c r="DF76" s="97">
        <f t="shared" si="202"/>
        <v>0</v>
      </c>
      <c r="DG76" s="97">
        <f t="shared" si="203"/>
        <v>0</v>
      </c>
      <c r="DH76" s="97">
        <f t="shared" si="204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3">IF(B76="","",B66*B75*B76)</f>
        <v/>
      </c>
      <c r="C77" s="592" t="str">
        <f t="shared" si="213"/>
        <v/>
      </c>
      <c r="D77" s="592" t="str">
        <f t="shared" si="213"/>
        <v/>
      </c>
      <c r="E77" s="592" t="str">
        <f t="shared" si="213"/>
        <v/>
      </c>
      <c r="F77" s="592" t="str">
        <f t="shared" si="213"/>
        <v/>
      </c>
      <c r="G77" s="592" t="str">
        <f t="shared" si="213"/>
        <v/>
      </c>
      <c r="H77" s="592" t="str">
        <f t="shared" si="213"/>
        <v/>
      </c>
      <c r="I77" s="592" t="str">
        <f t="shared" si="213"/>
        <v/>
      </c>
      <c r="J77" s="592" t="str">
        <f t="shared" si="213"/>
        <v/>
      </c>
      <c r="K77" s="592" t="str">
        <f t="shared" si="213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14">IF(T76="","",T66*T75*T76)</f>
        <v/>
      </c>
      <c r="U77" s="592" t="str">
        <f t="shared" si="214"/>
        <v/>
      </c>
      <c r="V77" s="592" t="str">
        <f t="shared" si="214"/>
        <v/>
      </c>
      <c r="W77" s="592" t="str">
        <f t="shared" si="214"/>
        <v/>
      </c>
      <c r="X77" s="592" t="str">
        <f t="shared" si="214"/>
        <v/>
      </c>
      <c r="Y77" s="592" t="str">
        <f t="shared" si="214"/>
        <v/>
      </c>
      <c r="Z77" s="592" t="str">
        <f t="shared" si="214"/>
        <v/>
      </c>
      <c r="AA77" s="592" t="str">
        <f t="shared" si="214"/>
        <v/>
      </c>
      <c r="AB77" s="592" t="str">
        <f t="shared" si="214"/>
        <v/>
      </c>
      <c r="AC77" s="592" t="str">
        <f t="shared" si="214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15">IF(AL76="","",AL66*AL75*AL76)</f>
        <v/>
      </c>
      <c r="AM77" s="592" t="str">
        <f t="shared" si="215"/>
        <v/>
      </c>
      <c r="AN77" s="592" t="str">
        <f t="shared" si="215"/>
        <v/>
      </c>
      <c r="AO77" s="592" t="str">
        <f t="shared" si="215"/>
        <v/>
      </c>
      <c r="AP77" s="592" t="str">
        <f t="shared" si="215"/>
        <v/>
      </c>
      <c r="AQ77" s="592" t="str">
        <f t="shared" si="215"/>
        <v/>
      </c>
      <c r="AR77" s="592" t="str">
        <f t="shared" si="215"/>
        <v/>
      </c>
      <c r="AS77" s="592" t="str">
        <f t="shared" si="215"/>
        <v/>
      </c>
      <c r="AT77" s="592" t="str">
        <f t="shared" si="215"/>
        <v/>
      </c>
      <c r="AU77" s="592" t="str">
        <f t="shared" si="215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16">IF(BD76="","",BD66*BD75*BD76)</f>
        <v/>
      </c>
      <c r="BE77" s="1195" t="str">
        <f t="shared" si="216"/>
        <v/>
      </c>
      <c r="BF77" s="1195" t="str">
        <f t="shared" si="216"/>
        <v/>
      </c>
      <c r="BG77" s="1195" t="str">
        <f t="shared" si="216"/>
        <v/>
      </c>
      <c r="BH77" s="1195" t="str">
        <f t="shared" si="216"/>
        <v/>
      </c>
      <c r="BI77" s="1195" t="str">
        <f t="shared" si="216"/>
        <v/>
      </c>
      <c r="BJ77" s="1195" t="str">
        <f t="shared" si="216"/>
        <v/>
      </c>
      <c r="BK77" s="1195" t="str">
        <f t="shared" si="216"/>
        <v/>
      </c>
      <c r="BL77" s="1195" t="str">
        <f t="shared" si="216"/>
        <v/>
      </c>
      <c r="BM77" s="1195" t="str">
        <f t="shared" si="216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17"/>
        <v/>
      </c>
      <c r="CA77" s="582" t="str">
        <f t="shared" si="118"/>
        <v/>
      </c>
      <c r="CB77" s="582" t="str">
        <f t="shared" si="119"/>
        <v/>
      </c>
      <c r="CC77" s="582" t="str">
        <f t="shared" si="120"/>
        <v/>
      </c>
      <c r="CD77" s="988" t="str">
        <f t="shared" si="174"/>
        <v/>
      </c>
      <c r="CE77" s="989" t="str">
        <f t="shared" si="175"/>
        <v/>
      </c>
      <c r="CF77" s="989" t="str">
        <f t="shared" si="176"/>
        <v/>
      </c>
      <c r="CG77" s="989" t="str">
        <f t="shared" si="177"/>
        <v/>
      </c>
      <c r="CH77" s="990" t="str">
        <f t="shared" si="178"/>
        <v/>
      </c>
      <c r="CI77" s="990" t="str">
        <f t="shared" si="179"/>
        <v/>
      </c>
      <c r="CJ77" s="989" t="str">
        <f t="shared" si="180"/>
        <v/>
      </c>
      <c r="CK77" s="989" t="str">
        <f t="shared" si="181"/>
        <v/>
      </c>
      <c r="CL77" s="989" t="str">
        <f t="shared" si="182"/>
        <v/>
      </c>
      <c r="CM77" s="988" t="str">
        <f t="shared" si="183"/>
        <v/>
      </c>
      <c r="CN77" s="533" t="str">
        <f t="shared" si="184"/>
        <v/>
      </c>
      <c r="CO77" s="534" t="str">
        <f t="shared" si="185"/>
        <v/>
      </c>
      <c r="CP77" s="535" t="str">
        <f t="shared" si="186"/>
        <v/>
      </c>
      <c r="CQ77" s="535" t="str">
        <f t="shared" si="187"/>
        <v/>
      </c>
      <c r="CR77" s="535" t="str">
        <f t="shared" si="188"/>
        <v/>
      </c>
      <c r="CS77" s="535" t="str">
        <f t="shared" si="189"/>
        <v/>
      </c>
      <c r="CT77" s="535" t="str">
        <f t="shared" si="190"/>
        <v/>
      </c>
      <c r="CU77" s="536" t="str">
        <f t="shared" si="191"/>
        <v/>
      </c>
      <c r="CV77" s="536" t="str">
        <f t="shared" si="192"/>
        <v/>
      </c>
      <c r="CW77" s="536" t="str">
        <f t="shared" si="193"/>
        <v/>
      </c>
      <c r="CX77" s="535" t="str">
        <f t="shared" si="194"/>
        <v/>
      </c>
      <c r="CY77" s="535" t="str">
        <f t="shared" si="195"/>
        <v/>
      </c>
      <c r="CZ77" s="535" t="str">
        <f t="shared" si="196"/>
        <v/>
      </c>
      <c r="DA77" s="535" t="str">
        <f t="shared" si="197"/>
        <v/>
      </c>
      <c r="DB77" s="535" t="str">
        <f t="shared" si="198"/>
        <v/>
      </c>
      <c r="DC77" s="534" t="str">
        <f t="shared" si="199"/>
        <v/>
      </c>
      <c r="DD77" s="533" t="str">
        <f t="shared" si="200"/>
        <v/>
      </c>
      <c r="DE77" s="583">
        <f t="shared" si="201"/>
        <v>0</v>
      </c>
      <c r="DF77" s="97">
        <f t="shared" si="202"/>
        <v>0</v>
      </c>
      <c r="DG77" s="97">
        <f t="shared" si="203"/>
        <v>0</v>
      </c>
      <c r="DH77" s="97">
        <f t="shared" si="204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17"/>
        <v/>
      </c>
      <c r="CA78" s="582" t="str">
        <f t="shared" si="118"/>
        <v/>
      </c>
      <c r="CB78" s="582" t="str">
        <f t="shared" si="119"/>
        <v/>
      </c>
      <c r="CC78" s="582" t="str">
        <f t="shared" si="120"/>
        <v/>
      </c>
      <c r="CD78" s="988" t="str">
        <f t="shared" si="174"/>
        <v/>
      </c>
      <c r="CE78" s="989" t="str">
        <f t="shared" si="175"/>
        <v/>
      </c>
      <c r="CF78" s="989" t="str">
        <f t="shared" si="176"/>
        <v/>
      </c>
      <c r="CG78" s="989" t="str">
        <f t="shared" si="177"/>
        <v/>
      </c>
      <c r="CH78" s="990" t="str">
        <f t="shared" si="178"/>
        <v/>
      </c>
      <c r="CI78" s="990" t="str">
        <f t="shared" si="179"/>
        <v/>
      </c>
      <c r="CJ78" s="989" t="str">
        <f t="shared" si="180"/>
        <v/>
      </c>
      <c r="CK78" s="989" t="str">
        <f t="shared" si="181"/>
        <v/>
      </c>
      <c r="CL78" s="989" t="str">
        <f t="shared" si="182"/>
        <v/>
      </c>
      <c r="CM78" s="988" t="str">
        <f t="shared" si="183"/>
        <v/>
      </c>
      <c r="CN78" s="533" t="str">
        <f t="shared" si="184"/>
        <v/>
      </c>
      <c r="CO78" s="534" t="str">
        <f t="shared" si="185"/>
        <v/>
      </c>
      <c r="CP78" s="535" t="str">
        <f t="shared" si="186"/>
        <v/>
      </c>
      <c r="CQ78" s="535" t="str">
        <f t="shared" si="187"/>
        <v/>
      </c>
      <c r="CR78" s="535" t="str">
        <f t="shared" si="188"/>
        <v/>
      </c>
      <c r="CS78" s="535" t="str">
        <f t="shared" si="189"/>
        <v/>
      </c>
      <c r="CT78" s="535" t="str">
        <f t="shared" si="190"/>
        <v/>
      </c>
      <c r="CU78" s="536" t="str">
        <f t="shared" si="191"/>
        <v/>
      </c>
      <c r="CV78" s="536" t="str">
        <f t="shared" si="192"/>
        <v/>
      </c>
      <c r="CW78" s="536" t="str">
        <f t="shared" si="193"/>
        <v/>
      </c>
      <c r="CX78" s="535" t="str">
        <f t="shared" si="194"/>
        <v/>
      </c>
      <c r="CY78" s="535" t="str">
        <f t="shared" si="195"/>
        <v/>
      </c>
      <c r="CZ78" s="535" t="str">
        <f t="shared" si="196"/>
        <v/>
      </c>
      <c r="DA78" s="535" t="str">
        <f t="shared" si="197"/>
        <v/>
      </c>
      <c r="DB78" s="535" t="str">
        <f t="shared" si="198"/>
        <v/>
      </c>
      <c r="DC78" s="534" t="str">
        <f t="shared" si="199"/>
        <v/>
      </c>
      <c r="DD78" s="533" t="str">
        <f t="shared" si="200"/>
        <v/>
      </c>
      <c r="DE78" s="583">
        <f t="shared" si="201"/>
        <v>0</v>
      </c>
      <c r="DF78" s="97">
        <f t="shared" si="202"/>
        <v>0</v>
      </c>
      <c r="DG78" s="97">
        <f t="shared" si="203"/>
        <v>0</v>
      </c>
      <c r="DH78" s="97">
        <f t="shared" si="204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17"/>
        <v/>
      </c>
      <c r="CA79" s="582" t="str">
        <f t="shared" si="118"/>
        <v/>
      </c>
      <c r="CB79" s="582" t="str">
        <f t="shared" si="119"/>
        <v/>
      </c>
      <c r="CC79" s="582" t="str">
        <f t="shared" si="120"/>
        <v/>
      </c>
      <c r="CD79" s="988" t="str">
        <f t="shared" si="174"/>
        <v/>
      </c>
      <c r="CE79" s="989" t="str">
        <f t="shared" si="175"/>
        <v/>
      </c>
      <c r="CF79" s="989" t="str">
        <f t="shared" si="176"/>
        <v/>
      </c>
      <c r="CG79" s="989" t="str">
        <f t="shared" si="177"/>
        <v/>
      </c>
      <c r="CH79" s="990" t="str">
        <f t="shared" si="178"/>
        <v/>
      </c>
      <c r="CI79" s="990" t="str">
        <f t="shared" si="179"/>
        <v/>
      </c>
      <c r="CJ79" s="989" t="str">
        <f t="shared" si="180"/>
        <v/>
      </c>
      <c r="CK79" s="989" t="str">
        <f t="shared" si="181"/>
        <v/>
      </c>
      <c r="CL79" s="989" t="str">
        <f t="shared" si="182"/>
        <v/>
      </c>
      <c r="CM79" s="988" t="str">
        <f t="shared" si="183"/>
        <v/>
      </c>
      <c r="CN79" s="533" t="str">
        <f t="shared" si="184"/>
        <v/>
      </c>
      <c r="CO79" s="534" t="str">
        <f t="shared" si="185"/>
        <v/>
      </c>
      <c r="CP79" s="535" t="str">
        <f t="shared" si="186"/>
        <v/>
      </c>
      <c r="CQ79" s="535" t="str">
        <f t="shared" si="187"/>
        <v/>
      </c>
      <c r="CR79" s="535" t="str">
        <f t="shared" si="188"/>
        <v/>
      </c>
      <c r="CS79" s="535" t="str">
        <f t="shared" si="189"/>
        <v/>
      </c>
      <c r="CT79" s="535" t="str">
        <f t="shared" si="190"/>
        <v/>
      </c>
      <c r="CU79" s="536" t="str">
        <f t="shared" si="191"/>
        <v/>
      </c>
      <c r="CV79" s="536" t="str">
        <f t="shared" si="192"/>
        <v/>
      </c>
      <c r="CW79" s="536" t="str">
        <f t="shared" si="193"/>
        <v/>
      </c>
      <c r="CX79" s="535" t="str">
        <f t="shared" si="194"/>
        <v/>
      </c>
      <c r="CY79" s="535" t="str">
        <f t="shared" si="195"/>
        <v/>
      </c>
      <c r="CZ79" s="535" t="str">
        <f t="shared" si="196"/>
        <v/>
      </c>
      <c r="DA79" s="535" t="str">
        <f t="shared" si="197"/>
        <v/>
      </c>
      <c r="DB79" s="535" t="str">
        <f t="shared" si="198"/>
        <v/>
      </c>
      <c r="DC79" s="534" t="str">
        <f t="shared" si="199"/>
        <v/>
      </c>
      <c r="DD79" s="533" t="str">
        <f t="shared" si="200"/>
        <v/>
      </c>
      <c r="DE79" s="583">
        <f t="shared" si="201"/>
        <v>0</v>
      </c>
      <c r="DF79" s="97">
        <f t="shared" si="202"/>
        <v>0</v>
      </c>
      <c r="DG79" s="97">
        <f t="shared" si="203"/>
        <v>0</v>
      </c>
      <c r="DH79" s="97">
        <f t="shared" si="204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17">IF(B78="","",B78*B79)</f>
        <v/>
      </c>
      <c r="C80" s="592" t="str">
        <f t="shared" si="217"/>
        <v/>
      </c>
      <c r="D80" s="592" t="str">
        <f t="shared" si="217"/>
        <v/>
      </c>
      <c r="E80" s="592" t="str">
        <f t="shared" si="217"/>
        <v/>
      </c>
      <c r="F80" s="592" t="str">
        <f t="shared" si="217"/>
        <v/>
      </c>
      <c r="G80" s="592" t="str">
        <f t="shared" si="217"/>
        <v/>
      </c>
      <c r="H80" s="592" t="str">
        <f t="shared" si="217"/>
        <v/>
      </c>
      <c r="I80" s="592" t="str">
        <f t="shared" si="217"/>
        <v/>
      </c>
      <c r="J80" s="592" t="str">
        <f t="shared" si="217"/>
        <v/>
      </c>
      <c r="K80" s="592" t="str">
        <f t="shared" si="217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18">IF(T78="","",T78*T79)</f>
        <v/>
      </c>
      <c r="U80" s="592" t="str">
        <f t="shared" si="218"/>
        <v/>
      </c>
      <c r="V80" s="592" t="str">
        <f t="shared" si="218"/>
        <v/>
      </c>
      <c r="W80" s="592" t="str">
        <f t="shared" si="218"/>
        <v/>
      </c>
      <c r="X80" s="592" t="str">
        <f t="shared" si="218"/>
        <v/>
      </c>
      <c r="Y80" s="592" t="str">
        <f t="shared" si="218"/>
        <v/>
      </c>
      <c r="Z80" s="592" t="str">
        <f t="shared" si="218"/>
        <v/>
      </c>
      <c r="AA80" s="592" t="str">
        <f t="shared" si="218"/>
        <v/>
      </c>
      <c r="AB80" s="592" t="str">
        <f t="shared" si="218"/>
        <v/>
      </c>
      <c r="AC80" s="592" t="str">
        <f t="shared" si="218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19">IF(AL78="","",AL78*AL79)</f>
        <v/>
      </c>
      <c r="AM80" s="592" t="str">
        <f t="shared" si="219"/>
        <v/>
      </c>
      <c r="AN80" s="592" t="str">
        <f t="shared" si="219"/>
        <v/>
      </c>
      <c r="AO80" s="592" t="str">
        <f t="shared" si="219"/>
        <v/>
      </c>
      <c r="AP80" s="592" t="str">
        <f t="shared" si="219"/>
        <v/>
      </c>
      <c r="AQ80" s="592" t="str">
        <f t="shared" si="219"/>
        <v/>
      </c>
      <c r="AR80" s="592" t="str">
        <f t="shared" si="219"/>
        <v/>
      </c>
      <c r="AS80" s="592" t="str">
        <f t="shared" si="219"/>
        <v/>
      </c>
      <c r="AT80" s="592" t="str">
        <f t="shared" si="219"/>
        <v/>
      </c>
      <c r="AU80" s="592" t="str">
        <f t="shared" si="219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0">IF(BD78="","",BD78*BD79)</f>
        <v/>
      </c>
      <c r="BE80" s="1195" t="str">
        <f t="shared" si="220"/>
        <v/>
      </c>
      <c r="BF80" s="1195" t="str">
        <f t="shared" si="220"/>
        <v/>
      </c>
      <c r="BG80" s="1195" t="str">
        <f t="shared" si="220"/>
        <v/>
      </c>
      <c r="BH80" s="1195" t="str">
        <f t="shared" si="220"/>
        <v/>
      </c>
      <c r="BI80" s="1195" t="str">
        <f t="shared" si="220"/>
        <v/>
      </c>
      <c r="BJ80" s="1195" t="str">
        <f t="shared" si="220"/>
        <v/>
      </c>
      <c r="BK80" s="1195" t="str">
        <f t="shared" si="220"/>
        <v/>
      </c>
      <c r="BL80" s="1195" t="str">
        <f t="shared" si="220"/>
        <v/>
      </c>
      <c r="BM80" s="1195" t="str">
        <f t="shared" si="220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17"/>
        <v/>
      </c>
      <c r="CA80" s="582" t="str">
        <f t="shared" si="118"/>
        <v/>
      </c>
      <c r="CB80" s="582" t="str">
        <f t="shared" si="119"/>
        <v/>
      </c>
      <c r="CC80" s="582" t="str">
        <f t="shared" si="120"/>
        <v/>
      </c>
      <c r="CD80" s="988" t="str">
        <f t="shared" si="174"/>
        <v/>
      </c>
      <c r="CE80" s="989" t="str">
        <f t="shared" si="175"/>
        <v/>
      </c>
      <c r="CF80" s="989" t="str">
        <f t="shared" si="176"/>
        <v/>
      </c>
      <c r="CG80" s="989" t="str">
        <f t="shared" si="177"/>
        <v/>
      </c>
      <c r="CH80" s="990" t="str">
        <f t="shared" si="178"/>
        <v/>
      </c>
      <c r="CI80" s="990" t="str">
        <f t="shared" si="179"/>
        <v/>
      </c>
      <c r="CJ80" s="989" t="str">
        <f t="shared" si="180"/>
        <v/>
      </c>
      <c r="CK80" s="989" t="str">
        <f t="shared" si="181"/>
        <v/>
      </c>
      <c r="CL80" s="989" t="str">
        <f t="shared" si="182"/>
        <v/>
      </c>
      <c r="CM80" s="988" t="str">
        <f t="shared" si="183"/>
        <v/>
      </c>
      <c r="CN80" s="533" t="str">
        <f t="shared" si="184"/>
        <v/>
      </c>
      <c r="CO80" s="534" t="str">
        <f t="shared" si="185"/>
        <v/>
      </c>
      <c r="CP80" s="535" t="str">
        <f t="shared" si="186"/>
        <v/>
      </c>
      <c r="CQ80" s="535" t="str">
        <f t="shared" si="187"/>
        <v/>
      </c>
      <c r="CR80" s="535" t="str">
        <f t="shared" si="188"/>
        <v/>
      </c>
      <c r="CS80" s="535" t="str">
        <f t="shared" si="189"/>
        <v/>
      </c>
      <c r="CT80" s="535" t="str">
        <f t="shared" si="190"/>
        <v/>
      </c>
      <c r="CU80" s="536" t="str">
        <f t="shared" si="191"/>
        <v/>
      </c>
      <c r="CV80" s="536" t="str">
        <f t="shared" si="192"/>
        <v/>
      </c>
      <c r="CW80" s="536" t="str">
        <f t="shared" si="193"/>
        <v/>
      </c>
      <c r="CX80" s="535" t="str">
        <f t="shared" si="194"/>
        <v/>
      </c>
      <c r="CY80" s="535" t="str">
        <f t="shared" si="195"/>
        <v/>
      </c>
      <c r="CZ80" s="535" t="str">
        <f t="shared" si="196"/>
        <v/>
      </c>
      <c r="DA80" s="535" t="str">
        <f t="shared" si="197"/>
        <v/>
      </c>
      <c r="DB80" s="535" t="str">
        <f t="shared" si="198"/>
        <v/>
      </c>
      <c r="DC80" s="534" t="str">
        <f t="shared" si="199"/>
        <v/>
      </c>
      <c r="DD80" s="533" t="str">
        <f t="shared" si="200"/>
        <v/>
      </c>
      <c r="DE80" s="583">
        <f t="shared" si="201"/>
        <v>0</v>
      </c>
      <c r="DF80" s="97">
        <f t="shared" si="202"/>
        <v>0</v>
      </c>
      <c r="DG80" s="97">
        <f t="shared" si="203"/>
        <v>0</v>
      </c>
      <c r="DH80" s="97">
        <f t="shared" si="204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17"/>
        <v>1</v>
      </c>
      <c r="CA81" s="582">
        <f t="shared" si="118"/>
        <v>1</v>
      </c>
      <c r="CB81" s="582">
        <f t="shared" si="119"/>
        <v>1</v>
      </c>
      <c r="CC81" s="582">
        <f t="shared" si="120"/>
        <v>1</v>
      </c>
      <c r="CD81" s="988">
        <f t="shared" si="174"/>
        <v>1</v>
      </c>
      <c r="CE81" s="989">
        <f t="shared" si="175"/>
        <v>1</v>
      </c>
      <c r="CF81" s="989">
        <f t="shared" si="176"/>
        <v>1</v>
      </c>
      <c r="CG81" s="989">
        <f t="shared" si="177"/>
        <v>1</v>
      </c>
      <c r="CH81" s="990">
        <f t="shared" si="178"/>
        <v>1</v>
      </c>
      <c r="CI81" s="990">
        <f t="shared" si="179"/>
        <v>1</v>
      </c>
      <c r="CJ81" s="989">
        <f t="shared" si="180"/>
        <v>1</v>
      </c>
      <c r="CK81" s="989">
        <f t="shared" si="181"/>
        <v>1</v>
      </c>
      <c r="CL81" s="989">
        <f t="shared" si="182"/>
        <v>1</v>
      </c>
      <c r="CM81" s="988">
        <f t="shared" si="183"/>
        <v>1</v>
      </c>
      <c r="CN81" s="533" t="str">
        <f t="shared" si="184"/>
        <v/>
      </c>
      <c r="CO81" s="534" t="str">
        <f t="shared" si="185"/>
        <v/>
      </c>
      <c r="CP81" s="535" t="str">
        <f t="shared" si="186"/>
        <v/>
      </c>
      <c r="CQ81" s="535" t="str">
        <f t="shared" si="187"/>
        <v/>
      </c>
      <c r="CR81" s="535">
        <f t="shared" si="188"/>
        <v>1</v>
      </c>
      <c r="CS81" s="535">
        <f t="shared" si="189"/>
        <v>1</v>
      </c>
      <c r="CT81" s="535">
        <f t="shared" si="190"/>
        <v>1</v>
      </c>
      <c r="CU81" s="536">
        <f t="shared" si="191"/>
        <v>1</v>
      </c>
      <c r="CV81" s="536">
        <f t="shared" si="192"/>
        <v>1</v>
      </c>
      <c r="CW81" s="536">
        <f t="shared" si="193"/>
        <v>1</v>
      </c>
      <c r="CX81" s="535">
        <f t="shared" si="194"/>
        <v>1</v>
      </c>
      <c r="CY81" s="535">
        <f t="shared" si="195"/>
        <v>1</v>
      </c>
      <c r="CZ81" s="535">
        <f t="shared" si="196"/>
        <v>1</v>
      </c>
      <c r="DA81" s="535">
        <f t="shared" si="197"/>
        <v>1</v>
      </c>
      <c r="DB81" s="535" t="str">
        <f t="shared" si="198"/>
        <v/>
      </c>
      <c r="DC81" s="534" t="str">
        <f t="shared" si="199"/>
        <v/>
      </c>
      <c r="DD81" s="533" t="str">
        <f t="shared" si="200"/>
        <v/>
      </c>
      <c r="DE81" s="583">
        <f t="shared" si="201"/>
        <v>10</v>
      </c>
      <c r="DF81" s="97">
        <f t="shared" si="202"/>
        <v>10</v>
      </c>
      <c r="DG81" s="97">
        <f t="shared" si="203"/>
        <v>10</v>
      </c>
      <c r="DH81" s="97">
        <f t="shared" si="204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17"/>
        <v/>
      </c>
      <c r="CA82" s="582" t="str">
        <f t="shared" si="118"/>
        <v/>
      </c>
      <c r="CB82" s="582" t="str">
        <f t="shared" si="119"/>
        <v/>
      </c>
      <c r="CC82" s="582" t="str">
        <f t="shared" si="120"/>
        <v/>
      </c>
      <c r="CD82" s="988" t="str">
        <f t="shared" si="174"/>
        <v/>
      </c>
      <c r="CE82" s="989" t="str">
        <f t="shared" si="175"/>
        <v/>
      </c>
      <c r="CF82" s="989" t="str">
        <f t="shared" si="176"/>
        <v/>
      </c>
      <c r="CG82" s="989" t="str">
        <f t="shared" si="177"/>
        <v/>
      </c>
      <c r="CH82" s="990" t="str">
        <f t="shared" si="178"/>
        <v/>
      </c>
      <c r="CI82" s="990" t="str">
        <f t="shared" si="179"/>
        <v/>
      </c>
      <c r="CJ82" s="989" t="str">
        <f t="shared" si="180"/>
        <v/>
      </c>
      <c r="CK82" s="989" t="str">
        <f t="shared" si="181"/>
        <v/>
      </c>
      <c r="CL82" s="989" t="str">
        <f t="shared" si="182"/>
        <v/>
      </c>
      <c r="CM82" s="988" t="str">
        <f t="shared" si="183"/>
        <v/>
      </c>
      <c r="CN82" s="533" t="str">
        <f t="shared" si="184"/>
        <v/>
      </c>
      <c r="CO82" s="534" t="str">
        <f t="shared" si="185"/>
        <v/>
      </c>
      <c r="CP82" s="535" t="str">
        <f t="shared" si="186"/>
        <v/>
      </c>
      <c r="CQ82" s="535" t="str">
        <f t="shared" si="187"/>
        <v/>
      </c>
      <c r="CR82" s="535" t="str">
        <f t="shared" si="188"/>
        <v/>
      </c>
      <c r="CS82" s="535" t="str">
        <f t="shared" si="189"/>
        <v/>
      </c>
      <c r="CT82" s="535" t="str">
        <f t="shared" si="190"/>
        <v/>
      </c>
      <c r="CU82" s="536" t="str">
        <f t="shared" si="191"/>
        <v/>
      </c>
      <c r="CV82" s="536" t="str">
        <f t="shared" si="192"/>
        <v/>
      </c>
      <c r="CW82" s="536" t="str">
        <f t="shared" si="193"/>
        <v/>
      </c>
      <c r="CX82" s="535" t="str">
        <f t="shared" si="194"/>
        <v/>
      </c>
      <c r="CY82" s="535" t="str">
        <f t="shared" si="195"/>
        <v/>
      </c>
      <c r="CZ82" s="535" t="str">
        <f t="shared" si="196"/>
        <v/>
      </c>
      <c r="DA82" s="535" t="str">
        <f t="shared" si="197"/>
        <v/>
      </c>
      <c r="DB82" s="535" t="str">
        <f t="shared" si="198"/>
        <v/>
      </c>
      <c r="DC82" s="534" t="str">
        <f t="shared" si="199"/>
        <v/>
      </c>
      <c r="DD82" s="533" t="str">
        <f t="shared" si="200"/>
        <v/>
      </c>
      <c r="DE82" s="583">
        <f t="shared" si="201"/>
        <v>0</v>
      </c>
      <c r="DF82" s="97">
        <f t="shared" si="202"/>
        <v>0</v>
      </c>
      <c r="DG82" s="97">
        <f t="shared" si="203"/>
        <v>0</v>
      </c>
      <c r="DH82" s="97">
        <f t="shared" si="204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1">IF(SUM(B69,B77)&gt;0,SUM(B70,B78)/SUM(B69,B77),"")</f>
        <v/>
      </c>
      <c r="C83" s="605" t="str">
        <f t="shared" si="221"/>
        <v/>
      </c>
      <c r="D83" s="605" t="str">
        <f t="shared" si="221"/>
        <v/>
      </c>
      <c r="E83" s="605" t="str">
        <f t="shared" si="221"/>
        <v/>
      </c>
      <c r="F83" s="605" t="str">
        <f t="shared" si="221"/>
        <v/>
      </c>
      <c r="G83" s="605" t="str">
        <f t="shared" si="221"/>
        <v/>
      </c>
      <c r="H83" s="605" t="str">
        <f t="shared" si="221"/>
        <v/>
      </c>
      <c r="I83" s="605" t="str">
        <f t="shared" si="221"/>
        <v/>
      </c>
      <c r="J83" s="605" t="str">
        <f t="shared" si="221"/>
        <v/>
      </c>
      <c r="K83" s="605" t="str">
        <f t="shared" si="221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2">IF(SUM(T69,T77)&gt;0,SUM(T70,T78)/SUM(T69,T77),"")</f>
        <v/>
      </c>
      <c r="U83" s="605" t="str">
        <f t="shared" si="222"/>
        <v/>
      </c>
      <c r="V83" s="605" t="str">
        <f t="shared" si="222"/>
        <v/>
      </c>
      <c r="W83" s="605" t="str">
        <f t="shared" si="222"/>
        <v/>
      </c>
      <c r="X83" s="605" t="str">
        <f t="shared" si="222"/>
        <v/>
      </c>
      <c r="Y83" s="605" t="str">
        <f t="shared" si="222"/>
        <v/>
      </c>
      <c r="Z83" s="605" t="str">
        <f t="shared" si="222"/>
        <v/>
      </c>
      <c r="AA83" s="605" t="str">
        <f t="shared" si="222"/>
        <v/>
      </c>
      <c r="AB83" s="605" t="str">
        <f t="shared" si="222"/>
        <v/>
      </c>
      <c r="AC83" s="605" t="str">
        <f t="shared" si="222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3">IF(SUM(AL69,AL77)&gt;0,SUM(AL70,AL78)/SUM(AL69,AL77),"")</f>
        <v/>
      </c>
      <c r="AM83" s="605" t="str">
        <f t="shared" si="223"/>
        <v/>
      </c>
      <c r="AN83" s="605" t="str">
        <f t="shared" si="223"/>
        <v/>
      </c>
      <c r="AO83" s="605" t="str">
        <f t="shared" si="223"/>
        <v/>
      </c>
      <c r="AP83" s="605" t="str">
        <f t="shared" si="223"/>
        <v/>
      </c>
      <c r="AQ83" s="605" t="str">
        <f t="shared" si="223"/>
        <v/>
      </c>
      <c r="AR83" s="605" t="str">
        <f t="shared" si="223"/>
        <v/>
      </c>
      <c r="AS83" s="605" t="str">
        <f t="shared" si="223"/>
        <v/>
      </c>
      <c r="AT83" s="605" t="str">
        <f t="shared" si="223"/>
        <v/>
      </c>
      <c r="AU83" s="605" t="str">
        <f t="shared" si="223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24">IF(SUM(BD69,BD77)&gt;0,SUM(BD70,BD78)/SUM(BD69,BD77),"")</f>
        <v/>
      </c>
      <c r="BE83" s="1197" t="str">
        <f t="shared" si="224"/>
        <v/>
      </c>
      <c r="BF83" s="1197" t="str">
        <f t="shared" si="224"/>
        <v/>
      </c>
      <c r="BG83" s="1197" t="str">
        <f t="shared" si="224"/>
        <v/>
      </c>
      <c r="BH83" s="1197" t="str">
        <f t="shared" si="224"/>
        <v/>
      </c>
      <c r="BI83" s="1197" t="str">
        <f t="shared" si="224"/>
        <v/>
      </c>
      <c r="BJ83" s="1197" t="str">
        <f t="shared" si="224"/>
        <v/>
      </c>
      <c r="BK83" s="1197" t="str">
        <f t="shared" si="224"/>
        <v/>
      </c>
      <c r="BL83" s="1197" t="str">
        <f t="shared" si="224"/>
        <v/>
      </c>
      <c r="BM83" s="1197" t="str">
        <f t="shared" si="224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17"/>
        <v/>
      </c>
      <c r="CA83" s="607" t="str">
        <f t="shared" si="118"/>
        <v/>
      </c>
      <c r="CB83" s="607" t="str">
        <f t="shared" si="119"/>
        <v/>
      </c>
      <c r="CC83" s="607" t="str">
        <f t="shared" si="120"/>
        <v/>
      </c>
      <c r="CD83" s="1000" t="str">
        <f t="shared" si="174"/>
        <v/>
      </c>
      <c r="CE83" s="1002" t="str">
        <f t="shared" si="175"/>
        <v/>
      </c>
      <c r="CF83" s="1002" t="str">
        <f t="shared" si="176"/>
        <v/>
      </c>
      <c r="CG83" s="1002" t="str">
        <f t="shared" si="177"/>
        <v/>
      </c>
      <c r="CH83" s="1003" t="str">
        <f t="shared" si="178"/>
        <v/>
      </c>
      <c r="CI83" s="1003" t="str">
        <f t="shared" si="179"/>
        <v/>
      </c>
      <c r="CJ83" s="1002" t="str">
        <f t="shared" si="180"/>
        <v/>
      </c>
      <c r="CK83" s="1002" t="str">
        <f t="shared" si="181"/>
        <v/>
      </c>
      <c r="CL83" s="1002" t="str">
        <f t="shared" si="182"/>
        <v/>
      </c>
      <c r="CM83" s="1000" t="str">
        <f t="shared" si="183"/>
        <v/>
      </c>
      <c r="CN83" s="521" t="str">
        <f t="shared" si="184"/>
        <v/>
      </c>
      <c r="CO83" s="522" t="str">
        <f t="shared" si="185"/>
        <v/>
      </c>
      <c r="CP83" s="523" t="str">
        <f t="shared" si="186"/>
        <v/>
      </c>
      <c r="CQ83" s="523" t="str">
        <f t="shared" si="187"/>
        <v/>
      </c>
      <c r="CR83" s="523" t="str">
        <f t="shared" si="188"/>
        <v/>
      </c>
      <c r="CS83" s="523" t="str">
        <f t="shared" si="189"/>
        <v/>
      </c>
      <c r="CT83" s="523" t="str">
        <f t="shared" si="190"/>
        <v/>
      </c>
      <c r="CU83" s="524" t="str">
        <f t="shared" si="191"/>
        <v/>
      </c>
      <c r="CV83" s="524" t="str">
        <f t="shared" si="192"/>
        <v/>
      </c>
      <c r="CW83" s="524" t="str">
        <f t="shared" si="193"/>
        <v/>
      </c>
      <c r="CX83" s="523" t="str">
        <f t="shared" si="194"/>
        <v/>
      </c>
      <c r="CY83" s="523" t="str">
        <f t="shared" si="195"/>
        <v/>
      </c>
      <c r="CZ83" s="523" t="str">
        <f t="shared" si="196"/>
        <v/>
      </c>
      <c r="DA83" s="523" t="str">
        <f t="shared" si="197"/>
        <v/>
      </c>
      <c r="DB83" s="523" t="str">
        <f t="shared" si="198"/>
        <v/>
      </c>
      <c r="DC83" s="522" t="str">
        <f t="shared" si="199"/>
        <v/>
      </c>
      <c r="DD83" s="521" t="str">
        <f t="shared" si="200"/>
        <v/>
      </c>
      <c r="DE83" s="583">
        <f t="shared" si="201"/>
        <v>0</v>
      </c>
      <c r="DF83" s="97">
        <f t="shared" si="202"/>
        <v>0</v>
      </c>
      <c r="DG83" s="97">
        <f t="shared" si="203"/>
        <v>0</v>
      </c>
      <c r="DH83" s="97">
        <f t="shared" si="204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25">IF(SUM(B69,B77)=0,"",SUM(B69,-B70*B73,-B74*B73,B77,-B78*B81,-B82*B81)*0.049)</f>
        <v/>
      </c>
      <c r="C84" s="608" t="str">
        <f t="shared" si="225"/>
        <v/>
      </c>
      <c r="D84" s="608" t="str">
        <f t="shared" si="225"/>
        <v/>
      </c>
      <c r="E84" s="608" t="str">
        <f t="shared" si="225"/>
        <v/>
      </c>
      <c r="F84" s="608" t="str">
        <f t="shared" si="225"/>
        <v/>
      </c>
      <c r="G84" s="608" t="str">
        <f t="shared" si="225"/>
        <v/>
      </c>
      <c r="H84" s="608" t="str">
        <f t="shared" si="225"/>
        <v/>
      </c>
      <c r="I84" s="608" t="str">
        <f t="shared" si="225"/>
        <v/>
      </c>
      <c r="J84" s="608" t="str">
        <f t="shared" si="225"/>
        <v/>
      </c>
      <c r="K84" s="608" t="str">
        <f t="shared" si="225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26">IF(SUM(T69,T77)=0,"",SUM(T69,-T70*T73,-T74*T73,T77,-T78*T81,-T82*T81)*0.049)</f>
        <v/>
      </c>
      <c r="U84" s="608" t="str">
        <f t="shared" si="226"/>
        <v/>
      </c>
      <c r="V84" s="608" t="str">
        <f t="shared" si="226"/>
        <v/>
      </c>
      <c r="W84" s="608" t="str">
        <f t="shared" si="226"/>
        <v/>
      </c>
      <c r="X84" s="608" t="str">
        <f t="shared" si="226"/>
        <v/>
      </c>
      <c r="Y84" s="608" t="str">
        <f t="shared" si="226"/>
        <v/>
      </c>
      <c r="Z84" s="608" t="str">
        <f t="shared" si="226"/>
        <v/>
      </c>
      <c r="AA84" s="608" t="str">
        <f t="shared" si="226"/>
        <v/>
      </c>
      <c r="AB84" s="608" t="str">
        <f t="shared" si="226"/>
        <v/>
      </c>
      <c r="AC84" s="608" t="str">
        <f t="shared" si="226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27">IF(SUM(AL69,AL77)=0,"",SUM(AL69,-AL70*AL73,-AL74*AL73,AL77,-AL78*AL81,-AL82*AL81)*0.049)</f>
        <v/>
      </c>
      <c r="AM84" s="608" t="str">
        <f t="shared" si="227"/>
        <v/>
      </c>
      <c r="AN84" s="608" t="str">
        <f t="shared" si="227"/>
        <v/>
      </c>
      <c r="AO84" s="608" t="str">
        <f t="shared" si="227"/>
        <v/>
      </c>
      <c r="AP84" s="608" t="str">
        <f t="shared" si="227"/>
        <v/>
      </c>
      <c r="AQ84" s="608" t="str">
        <f t="shared" si="227"/>
        <v/>
      </c>
      <c r="AR84" s="608" t="str">
        <f t="shared" si="227"/>
        <v/>
      </c>
      <c r="AS84" s="608" t="str">
        <f t="shared" si="227"/>
        <v/>
      </c>
      <c r="AT84" s="608" t="str">
        <f t="shared" si="227"/>
        <v/>
      </c>
      <c r="AU84" s="608" t="str">
        <f t="shared" si="227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28">IF(SUM(BD69,BD77)=0,"",SUM(BD69,-BD70*BD73,-BD74*BD73,BD77,-BD78*BD81,-BD82*BD81)*0.049)</f>
        <v/>
      </c>
      <c r="BE84" s="1198" t="str">
        <f t="shared" si="228"/>
        <v/>
      </c>
      <c r="BF84" s="1198" t="str">
        <f t="shared" si="228"/>
        <v/>
      </c>
      <c r="BG84" s="1198" t="str">
        <f t="shared" si="228"/>
        <v/>
      </c>
      <c r="BH84" s="1198" t="str">
        <f t="shared" si="228"/>
        <v/>
      </c>
      <c r="BI84" s="1198" t="str">
        <f t="shared" si="228"/>
        <v/>
      </c>
      <c r="BJ84" s="1198" t="str">
        <f t="shared" si="228"/>
        <v/>
      </c>
      <c r="BK84" s="1198" t="str">
        <f t="shared" si="228"/>
        <v/>
      </c>
      <c r="BL84" s="1198" t="str">
        <f t="shared" si="228"/>
        <v/>
      </c>
      <c r="BM84" s="1198" t="str">
        <f t="shared" si="228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17"/>
        <v/>
      </c>
      <c r="CA84" s="582" t="str">
        <f t="shared" si="118"/>
        <v/>
      </c>
      <c r="CB84" s="582" t="str">
        <f t="shared" si="119"/>
        <v/>
      </c>
      <c r="CC84" s="582" t="str">
        <f t="shared" si="120"/>
        <v/>
      </c>
      <c r="CD84" s="988" t="str">
        <f t="shared" si="174"/>
        <v/>
      </c>
      <c r="CE84" s="989" t="str">
        <f t="shared" si="175"/>
        <v/>
      </c>
      <c r="CF84" s="989" t="str">
        <f t="shared" si="176"/>
        <v/>
      </c>
      <c r="CG84" s="989" t="str">
        <f t="shared" si="177"/>
        <v/>
      </c>
      <c r="CH84" s="990" t="str">
        <f t="shared" si="178"/>
        <v/>
      </c>
      <c r="CI84" s="990" t="str">
        <f t="shared" si="179"/>
        <v/>
      </c>
      <c r="CJ84" s="989" t="str">
        <f t="shared" si="180"/>
        <v/>
      </c>
      <c r="CK84" s="989" t="str">
        <f t="shared" si="181"/>
        <v/>
      </c>
      <c r="CL84" s="989" t="str">
        <f t="shared" si="182"/>
        <v/>
      </c>
      <c r="CM84" s="988" t="str">
        <f t="shared" si="183"/>
        <v/>
      </c>
      <c r="CN84" s="533" t="str">
        <f t="shared" si="184"/>
        <v/>
      </c>
      <c r="CO84" s="534" t="str">
        <f t="shared" si="185"/>
        <v/>
      </c>
      <c r="CP84" s="535" t="str">
        <f t="shared" si="186"/>
        <v/>
      </c>
      <c r="CQ84" s="535" t="str">
        <f t="shared" si="187"/>
        <v/>
      </c>
      <c r="CR84" s="535" t="str">
        <f t="shared" si="188"/>
        <v/>
      </c>
      <c r="CS84" s="535" t="str">
        <f t="shared" si="189"/>
        <v/>
      </c>
      <c r="CT84" s="535" t="str">
        <f t="shared" si="190"/>
        <v/>
      </c>
      <c r="CU84" s="536" t="str">
        <f t="shared" si="191"/>
        <v/>
      </c>
      <c r="CV84" s="536" t="str">
        <f t="shared" si="192"/>
        <v/>
      </c>
      <c r="CW84" s="536" t="str">
        <f t="shared" si="193"/>
        <v/>
      </c>
      <c r="CX84" s="535" t="str">
        <f t="shared" si="194"/>
        <v/>
      </c>
      <c r="CY84" s="535" t="str">
        <f t="shared" si="195"/>
        <v/>
      </c>
      <c r="CZ84" s="535" t="str">
        <f t="shared" si="196"/>
        <v/>
      </c>
      <c r="DA84" s="535" t="str">
        <f t="shared" si="197"/>
        <v/>
      </c>
      <c r="DB84" s="535" t="str">
        <f t="shared" si="198"/>
        <v/>
      </c>
      <c r="DC84" s="534" t="str">
        <f t="shared" si="199"/>
        <v/>
      </c>
      <c r="DD84" s="533" t="str">
        <f t="shared" si="200"/>
        <v/>
      </c>
      <c r="DE84" s="583">
        <f t="shared" si="201"/>
        <v>0</v>
      </c>
      <c r="DF84" s="97">
        <f t="shared" si="202"/>
        <v>0</v>
      </c>
      <c r="DG84" s="97">
        <f t="shared" si="203"/>
        <v>0</v>
      </c>
      <c r="DH84" s="97">
        <f t="shared" si="204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17"/>
        <v/>
      </c>
      <c r="CA85" s="582" t="str">
        <f t="shared" si="118"/>
        <v/>
      </c>
      <c r="CB85" s="582" t="str">
        <f t="shared" si="119"/>
        <v/>
      </c>
      <c r="CC85" s="582" t="str">
        <f t="shared" si="120"/>
        <v/>
      </c>
      <c r="CD85" s="988" t="str">
        <f t="shared" si="174"/>
        <v/>
      </c>
      <c r="CE85" s="989" t="str">
        <f t="shared" si="175"/>
        <v/>
      </c>
      <c r="CF85" s="989" t="str">
        <f t="shared" si="176"/>
        <v/>
      </c>
      <c r="CG85" s="989" t="str">
        <f t="shared" si="177"/>
        <v/>
      </c>
      <c r="CH85" s="990" t="str">
        <f t="shared" si="178"/>
        <v/>
      </c>
      <c r="CI85" s="990" t="str">
        <f t="shared" si="179"/>
        <v/>
      </c>
      <c r="CJ85" s="989" t="str">
        <f t="shared" si="180"/>
        <v/>
      </c>
      <c r="CK85" s="989" t="str">
        <f t="shared" si="181"/>
        <v/>
      </c>
      <c r="CL85" s="989" t="str">
        <f t="shared" si="182"/>
        <v/>
      </c>
      <c r="CM85" s="988" t="str">
        <f t="shared" si="183"/>
        <v/>
      </c>
      <c r="CN85" s="533" t="str">
        <f t="shared" si="184"/>
        <v/>
      </c>
      <c r="CO85" s="534" t="str">
        <f t="shared" si="185"/>
        <v/>
      </c>
      <c r="CP85" s="535" t="str">
        <f t="shared" si="186"/>
        <v/>
      </c>
      <c r="CQ85" s="535" t="str">
        <f t="shared" si="187"/>
        <v/>
      </c>
      <c r="CR85" s="535" t="str">
        <f t="shared" si="188"/>
        <v/>
      </c>
      <c r="CS85" s="535" t="str">
        <f t="shared" si="189"/>
        <v/>
      </c>
      <c r="CT85" s="535" t="str">
        <f t="shared" si="190"/>
        <v/>
      </c>
      <c r="CU85" s="536" t="str">
        <f t="shared" si="191"/>
        <v/>
      </c>
      <c r="CV85" s="536" t="str">
        <f t="shared" si="192"/>
        <v/>
      </c>
      <c r="CW85" s="536" t="str">
        <f t="shared" si="193"/>
        <v/>
      </c>
      <c r="CX85" s="535" t="str">
        <f t="shared" si="194"/>
        <v/>
      </c>
      <c r="CY85" s="535" t="str">
        <f t="shared" si="195"/>
        <v/>
      </c>
      <c r="CZ85" s="535" t="str">
        <f t="shared" si="196"/>
        <v/>
      </c>
      <c r="DA85" s="535" t="str">
        <f t="shared" si="197"/>
        <v/>
      </c>
      <c r="DB85" s="535" t="str">
        <f t="shared" si="198"/>
        <v/>
      </c>
      <c r="DC85" s="534" t="str">
        <f t="shared" si="199"/>
        <v/>
      </c>
      <c r="DD85" s="533" t="str">
        <f t="shared" si="200"/>
        <v/>
      </c>
      <c r="DE85" s="583">
        <f t="shared" si="201"/>
        <v>0</v>
      </c>
      <c r="DF85" s="97">
        <f t="shared" si="202"/>
        <v>0</v>
      </c>
      <c r="DG85" s="97">
        <f t="shared" si="203"/>
        <v>0</v>
      </c>
      <c r="DH85" s="97">
        <f t="shared" si="204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17"/>
        <v/>
      </c>
      <c r="CA86" s="582" t="str">
        <f t="shared" si="118"/>
        <v/>
      </c>
      <c r="CB86" s="582" t="str">
        <f t="shared" si="119"/>
        <v/>
      </c>
      <c r="CC86" s="582" t="str">
        <f t="shared" si="120"/>
        <v/>
      </c>
      <c r="CD86" s="988" t="str">
        <f t="shared" si="174"/>
        <v/>
      </c>
      <c r="CE86" s="989" t="str">
        <f t="shared" si="175"/>
        <v/>
      </c>
      <c r="CF86" s="989" t="str">
        <f t="shared" si="176"/>
        <v/>
      </c>
      <c r="CG86" s="989" t="str">
        <f t="shared" si="177"/>
        <v/>
      </c>
      <c r="CH86" s="990" t="str">
        <f t="shared" si="178"/>
        <v/>
      </c>
      <c r="CI86" s="990" t="str">
        <f t="shared" si="179"/>
        <v/>
      </c>
      <c r="CJ86" s="989" t="str">
        <f t="shared" si="180"/>
        <v/>
      </c>
      <c r="CK86" s="989" t="str">
        <f t="shared" si="181"/>
        <v/>
      </c>
      <c r="CL86" s="989" t="str">
        <f t="shared" si="182"/>
        <v/>
      </c>
      <c r="CM86" s="988" t="str">
        <f t="shared" si="183"/>
        <v/>
      </c>
      <c r="CN86" s="533" t="str">
        <f t="shared" si="184"/>
        <v/>
      </c>
      <c r="CO86" s="534" t="str">
        <f t="shared" si="185"/>
        <v/>
      </c>
      <c r="CP86" s="535" t="str">
        <f t="shared" si="186"/>
        <v/>
      </c>
      <c r="CQ86" s="535" t="str">
        <f t="shared" si="187"/>
        <v/>
      </c>
      <c r="CR86" s="535" t="str">
        <f t="shared" si="188"/>
        <v/>
      </c>
      <c r="CS86" s="535" t="str">
        <f t="shared" si="189"/>
        <v/>
      </c>
      <c r="CT86" s="535" t="str">
        <f t="shared" si="190"/>
        <v/>
      </c>
      <c r="CU86" s="536" t="str">
        <f t="shared" si="191"/>
        <v/>
      </c>
      <c r="CV86" s="536" t="str">
        <f t="shared" si="192"/>
        <v/>
      </c>
      <c r="CW86" s="536" t="str">
        <f t="shared" si="193"/>
        <v/>
      </c>
      <c r="CX86" s="535" t="str">
        <f t="shared" si="194"/>
        <v/>
      </c>
      <c r="CY86" s="535" t="str">
        <f t="shared" si="195"/>
        <v/>
      </c>
      <c r="CZ86" s="535" t="str">
        <f t="shared" si="196"/>
        <v/>
      </c>
      <c r="DA86" s="535" t="str">
        <f t="shared" si="197"/>
        <v/>
      </c>
      <c r="DB86" s="535" t="str">
        <f t="shared" si="198"/>
        <v/>
      </c>
      <c r="DC86" s="534" t="str">
        <f t="shared" si="199"/>
        <v/>
      </c>
      <c r="DD86" s="533" t="str">
        <f t="shared" si="200"/>
        <v/>
      </c>
      <c r="DE86" s="583">
        <f t="shared" si="201"/>
        <v>0</v>
      </c>
      <c r="DF86" s="97">
        <f t="shared" si="202"/>
        <v>0</v>
      </c>
      <c r="DG86" s="97">
        <f t="shared" si="203"/>
        <v>0</v>
      </c>
      <c r="DH86" s="97">
        <f t="shared" si="204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17"/>
        <v/>
      </c>
      <c r="CA87" s="582" t="str">
        <f t="shared" si="118"/>
        <v/>
      </c>
      <c r="CB87" s="582" t="str">
        <f t="shared" si="119"/>
        <v/>
      </c>
      <c r="CC87" s="582" t="str">
        <f t="shared" si="120"/>
        <v/>
      </c>
      <c r="CD87" s="988" t="str">
        <f t="shared" si="174"/>
        <v/>
      </c>
      <c r="CE87" s="989" t="str">
        <f t="shared" si="175"/>
        <v/>
      </c>
      <c r="CF87" s="989" t="str">
        <f t="shared" si="176"/>
        <v/>
      </c>
      <c r="CG87" s="989" t="str">
        <f t="shared" si="177"/>
        <v/>
      </c>
      <c r="CH87" s="990" t="str">
        <f t="shared" si="178"/>
        <v/>
      </c>
      <c r="CI87" s="990" t="str">
        <f t="shared" si="179"/>
        <v/>
      </c>
      <c r="CJ87" s="989" t="str">
        <f t="shared" si="180"/>
        <v/>
      </c>
      <c r="CK87" s="989" t="str">
        <f t="shared" si="181"/>
        <v/>
      </c>
      <c r="CL87" s="989" t="str">
        <f t="shared" si="182"/>
        <v/>
      </c>
      <c r="CM87" s="988" t="str">
        <f t="shared" si="183"/>
        <v/>
      </c>
      <c r="CN87" s="533" t="str">
        <f t="shared" si="184"/>
        <v/>
      </c>
      <c r="CO87" s="534" t="str">
        <f t="shared" si="185"/>
        <v/>
      </c>
      <c r="CP87" s="535" t="str">
        <f t="shared" si="186"/>
        <v/>
      </c>
      <c r="CQ87" s="535" t="str">
        <f t="shared" si="187"/>
        <v/>
      </c>
      <c r="CR87" s="535" t="str">
        <f t="shared" si="188"/>
        <v/>
      </c>
      <c r="CS87" s="535" t="str">
        <f t="shared" si="189"/>
        <v/>
      </c>
      <c r="CT87" s="535" t="str">
        <f t="shared" si="190"/>
        <v/>
      </c>
      <c r="CU87" s="536" t="str">
        <f t="shared" si="191"/>
        <v/>
      </c>
      <c r="CV87" s="536" t="str">
        <f t="shared" si="192"/>
        <v/>
      </c>
      <c r="CW87" s="536" t="str">
        <f t="shared" si="193"/>
        <v/>
      </c>
      <c r="CX87" s="535" t="str">
        <f t="shared" si="194"/>
        <v/>
      </c>
      <c r="CY87" s="535" t="str">
        <f t="shared" si="195"/>
        <v/>
      </c>
      <c r="CZ87" s="535" t="str">
        <f t="shared" si="196"/>
        <v/>
      </c>
      <c r="DA87" s="535" t="str">
        <f t="shared" si="197"/>
        <v/>
      </c>
      <c r="DB87" s="535" t="str">
        <f t="shared" si="198"/>
        <v/>
      </c>
      <c r="DC87" s="534" t="str">
        <f t="shared" si="199"/>
        <v/>
      </c>
      <c r="DD87" s="533" t="str">
        <f t="shared" si="200"/>
        <v/>
      </c>
      <c r="DE87" s="583">
        <f t="shared" si="201"/>
        <v>0</v>
      </c>
      <c r="DF87" s="97">
        <f t="shared" si="202"/>
        <v>0</v>
      </c>
      <c r="DG87" s="97">
        <f t="shared" si="203"/>
        <v>0</v>
      </c>
      <c r="DH87" s="97">
        <f t="shared" si="204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29">IF(B86="","",B86*B87)</f>
        <v/>
      </c>
      <c r="C88" s="612" t="str">
        <f t="shared" si="229"/>
        <v/>
      </c>
      <c r="D88" s="612" t="str">
        <f t="shared" si="229"/>
        <v/>
      </c>
      <c r="E88" s="612" t="str">
        <f t="shared" si="229"/>
        <v/>
      </c>
      <c r="F88" s="612" t="str">
        <f t="shared" si="229"/>
        <v/>
      </c>
      <c r="G88" s="612" t="str">
        <f t="shared" si="229"/>
        <v/>
      </c>
      <c r="H88" s="612" t="str">
        <f t="shared" si="229"/>
        <v/>
      </c>
      <c r="I88" s="612" t="str">
        <f t="shared" si="229"/>
        <v/>
      </c>
      <c r="J88" s="612" t="str">
        <f t="shared" si="229"/>
        <v/>
      </c>
      <c r="K88" s="612" t="str">
        <f t="shared" si="229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0">IF(T86="","",T86*T87)</f>
        <v/>
      </c>
      <c r="U88" s="612" t="str">
        <f t="shared" si="230"/>
        <v/>
      </c>
      <c r="V88" s="612" t="str">
        <f t="shared" si="230"/>
        <v/>
      </c>
      <c r="W88" s="612" t="str">
        <f t="shared" si="230"/>
        <v/>
      </c>
      <c r="X88" s="612" t="str">
        <f t="shared" si="230"/>
        <v/>
      </c>
      <c r="Y88" s="612" t="str">
        <f t="shared" si="230"/>
        <v/>
      </c>
      <c r="Z88" s="612" t="str">
        <f t="shared" si="230"/>
        <v/>
      </c>
      <c r="AA88" s="612" t="str">
        <f t="shared" si="230"/>
        <v/>
      </c>
      <c r="AB88" s="612" t="str">
        <f t="shared" si="230"/>
        <v/>
      </c>
      <c r="AC88" s="612" t="str">
        <f t="shared" si="230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1">IF(AL86="","",AL86*AL87)</f>
        <v/>
      </c>
      <c r="AM88" s="612" t="str">
        <f t="shared" si="231"/>
        <v/>
      </c>
      <c r="AN88" s="612" t="str">
        <f t="shared" si="231"/>
        <v/>
      </c>
      <c r="AO88" s="612" t="str">
        <f t="shared" si="231"/>
        <v/>
      </c>
      <c r="AP88" s="612" t="str">
        <f t="shared" si="231"/>
        <v/>
      </c>
      <c r="AQ88" s="612" t="str">
        <f t="shared" si="231"/>
        <v/>
      </c>
      <c r="AR88" s="612" t="str">
        <f t="shared" si="231"/>
        <v/>
      </c>
      <c r="AS88" s="612" t="str">
        <f t="shared" si="231"/>
        <v/>
      </c>
      <c r="AT88" s="612" t="str">
        <f t="shared" si="231"/>
        <v/>
      </c>
      <c r="AU88" s="612" t="str">
        <f t="shared" si="231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2">IF(BD86="","",BD86*BD87)</f>
        <v/>
      </c>
      <c r="BE88" s="1201" t="str">
        <f t="shared" si="232"/>
        <v/>
      </c>
      <c r="BF88" s="1201" t="str">
        <f t="shared" si="232"/>
        <v/>
      </c>
      <c r="BG88" s="1201" t="str">
        <f t="shared" si="232"/>
        <v/>
      </c>
      <c r="BH88" s="1201" t="str">
        <f t="shared" si="232"/>
        <v/>
      </c>
      <c r="BI88" s="1201" t="str">
        <f t="shared" si="232"/>
        <v/>
      </c>
      <c r="BJ88" s="1201" t="str">
        <f t="shared" si="232"/>
        <v/>
      </c>
      <c r="BK88" s="1201" t="str">
        <f t="shared" si="232"/>
        <v/>
      </c>
      <c r="BL88" s="1201" t="str">
        <f t="shared" si="232"/>
        <v/>
      </c>
      <c r="BM88" s="1201" t="str">
        <f t="shared" si="232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17"/>
        <v/>
      </c>
      <c r="CA88" s="582" t="str">
        <f t="shared" si="118"/>
        <v/>
      </c>
      <c r="CB88" s="582" t="str">
        <f t="shared" si="119"/>
        <v/>
      </c>
      <c r="CC88" s="582" t="str">
        <f t="shared" si="120"/>
        <v/>
      </c>
      <c r="CD88" s="988" t="str">
        <f t="shared" si="174"/>
        <v/>
      </c>
      <c r="CE88" s="989" t="str">
        <f t="shared" si="175"/>
        <v/>
      </c>
      <c r="CF88" s="989" t="str">
        <f t="shared" si="176"/>
        <v/>
      </c>
      <c r="CG88" s="989" t="str">
        <f t="shared" si="177"/>
        <v/>
      </c>
      <c r="CH88" s="990" t="str">
        <f t="shared" si="178"/>
        <v/>
      </c>
      <c r="CI88" s="990" t="str">
        <f t="shared" si="179"/>
        <v/>
      </c>
      <c r="CJ88" s="989" t="str">
        <f t="shared" si="180"/>
        <v/>
      </c>
      <c r="CK88" s="989" t="str">
        <f t="shared" si="181"/>
        <v/>
      </c>
      <c r="CL88" s="989" t="str">
        <f t="shared" si="182"/>
        <v/>
      </c>
      <c r="CM88" s="988" t="str">
        <f t="shared" si="183"/>
        <v/>
      </c>
      <c r="CN88" s="533" t="str">
        <f t="shared" si="184"/>
        <v/>
      </c>
      <c r="CO88" s="534" t="str">
        <f t="shared" si="185"/>
        <v/>
      </c>
      <c r="CP88" s="535" t="str">
        <f t="shared" si="186"/>
        <v/>
      </c>
      <c r="CQ88" s="535" t="str">
        <f t="shared" si="187"/>
        <v/>
      </c>
      <c r="CR88" s="535" t="str">
        <f t="shared" si="188"/>
        <v/>
      </c>
      <c r="CS88" s="535" t="str">
        <f t="shared" si="189"/>
        <v/>
      </c>
      <c r="CT88" s="535" t="str">
        <f t="shared" si="190"/>
        <v/>
      </c>
      <c r="CU88" s="536" t="str">
        <f t="shared" si="191"/>
        <v/>
      </c>
      <c r="CV88" s="536" t="str">
        <f t="shared" si="192"/>
        <v/>
      </c>
      <c r="CW88" s="536" t="str">
        <f t="shared" si="193"/>
        <v/>
      </c>
      <c r="CX88" s="535" t="str">
        <f t="shared" si="194"/>
        <v/>
      </c>
      <c r="CY88" s="535" t="str">
        <f t="shared" si="195"/>
        <v/>
      </c>
      <c r="CZ88" s="535" t="str">
        <f t="shared" si="196"/>
        <v/>
      </c>
      <c r="DA88" s="535" t="str">
        <f t="shared" si="197"/>
        <v/>
      </c>
      <c r="DB88" s="535" t="str">
        <f t="shared" si="198"/>
        <v/>
      </c>
      <c r="DC88" s="534" t="str">
        <f t="shared" si="199"/>
        <v/>
      </c>
      <c r="DD88" s="533" t="str">
        <f t="shared" si="200"/>
        <v/>
      </c>
      <c r="DE88" s="583">
        <f t="shared" si="201"/>
        <v>0</v>
      </c>
      <c r="DF88" s="97">
        <f t="shared" si="202"/>
        <v>0</v>
      </c>
      <c r="DG88" s="97">
        <f t="shared" si="203"/>
        <v>0</v>
      </c>
      <c r="DH88" s="97">
        <f t="shared" si="204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3">IF(B84="","",(SUM(B69)*2973-SUM(B70,B74)*(2973-1549*(B73=0))-SUM(B85,B86)*32930)/$G$1/365/B$46)</f>
        <v/>
      </c>
      <c r="C89" s="615" t="str">
        <f t="shared" si="233"/>
        <v/>
      </c>
      <c r="D89" s="615" t="str">
        <f t="shared" si="233"/>
        <v/>
      </c>
      <c r="E89" s="615" t="str">
        <f t="shared" si="233"/>
        <v/>
      </c>
      <c r="F89" s="615" t="str">
        <f t="shared" si="233"/>
        <v/>
      </c>
      <c r="G89" s="615" t="str">
        <f t="shared" si="233"/>
        <v/>
      </c>
      <c r="H89" s="615" t="str">
        <f t="shared" si="233"/>
        <v/>
      </c>
      <c r="I89" s="615" t="str">
        <f t="shared" si="233"/>
        <v/>
      </c>
      <c r="J89" s="615" t="str">
        <f t="shared" si="233"/>
        <v/>
      </c>
      <c r="K89" s="615" t="str">
        <f t="shared" si="233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34">IF(T84="","",(SUM(T69)*2973-SUM(T70,T74)*(2973-1549*(T73=0))-SUM(T85,T86)*32930)/$G$1/365/T$46)</f>
        <v/>
      </c>
      <c r="U89" s="615" t="str">
        <f t="shared" si="234"/>
        <v/>
      </c>
      <c r="V89" s="615" t="str">
        <f t="shared" si="234"/>
        <v/>
      </c>
      <c r="W89" s="615" t="str">
        <f t="shared" si="234"/>
        <v/>
      </c>
      <c r="X89" s="615" t="str">
        <f t="shared" si="234"/>
        <v/>
      </c>
      <c r="Y89" s="615" t="str">
        <f t="shared" si="234"/>
        <v/>
      </c>
      <c r="Z89" s="615" t="str">
        <f t="shared" si="234"/>
        <v/>
      </c>
      <c r="AA89" s="615" t="str">
        <f t="shared" si="234"/>
        <v/>
      </c>
      <c r="AB89" s="615" t="str">
        <f t="shared" si="234"/>
        <v/>
      </c>
      <c r="AC89" s="615" t="str">
        <f t="shared" si="234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35">IF(AL84="","",(SUM(AL69)*2973-SUM(AL70,AL74)*(2973-1549*(AL73=0))-SUM(AL85,AL86)*32930)/$G$1/365/AL$46)</f>
        <v/>
      </c>
      <c r="AM89" s="615" t="str">
        <f t="shared" si="235"/>
        <v/>
      </c>
      <c r="AN89" s="615" t="str">
        <f t="shared" si="235"/>
        <v/>
      </c>
      <c r="AO89" s="615" t="str">
        <f t="shared" si="235"/>
        <v/>
      </c>
      <c r="AP89" s="615" t="str">
        <f t="shared" si="235"/>
        <v/>
      </c>
      <c r="AQ89" s="615" t="str">
        <f t="shared" si="235"/>
        <v/>
      </c>
      <c r="AR89" s="615" t="str">
        <f t="shared" si="235"/>
        <v/>
      </c>
      <c r="AS89" s="615" t="str">
        <f t="shared" si="235"/>
        <v/>
      </c>
      <c r="AT89" s="615" t="str">
        <f t="shared" si="235"/>
        <v/>
      </c>
      <c r="AU89" s="615" t="str">
        <f t="shared" si="235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36">IF(BD84="","",(SUM(BD69)*2973-SUM(BD70,BD74)*(2973-1549*(BD73=0))-SUM(BD85,BD86)*32930)/$G$1/365/BD$46)</f>
        <v/>
      </c>
      <c r="BE89" s="1202" t="str">
        <f t="shared" si="236"/>
        <v/>
      </c>
      <c r="BF89" s="1202" t="str">
        <f t="shared" si="236"/>
        <v/>
      </c>
      <c r="BG89" s="1202" t="str">
        <f t="shared" si="236"/>
        <v/>
      </c>
      <c r="BH89" s="1202" t="str">
        <f t="shared" si="236"/>
        <v/>
      </c>
      <c r="BI89" s="1202" t="str">
        <f t="shared" si="236"/>
        <v/>
      </c>
      <c r="BJ89" s="1202" t="str">
        <f t="shared" si="236"/>
        <v/>
      </c>
      <c r="BK89" s="1202" t="str">
        <f t="shared" si="236"/>
        <v/>
      </c>
      <c r="BL89" s="1202" t="str">
        <f t="shared" si="236"/>
        <v/>
      </c>
      <c r="BM89" s="1202" t="str">
        <f t="shared" si="236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17"/>
        <v/>
      </c>
      <c r="CA89" s="607" t="str">
        <f t="shared" si="118"/>
        <v/>
      </c>
      <c r="CB89" s="607" t="str">
        <f t="shared" si="119"/>
        <v/>
      </c>
      <c r="CC89" s="607" t="str">
        <f t="shared" si="120"/>
        <v/>
      </c>
      <c r="CD89" s="1000" t="str">
        <f t="shared" si="174"/>
        <v/>
      </c>
      <c r="CE89" s="1002" t="str">
        <f t="shared" si="175"/>
        <v/>
      </c>
      <c r="CF89" s="1002" t="str">
        <f t="shared" si="176"/>
        <v/>
      </c>
      <c r="CG89" s="1002" t="str">
        <f t="shared" si="177"/>
        <v/>
      </c>
      <c r="CH89" s="1003" t="str">
        <f t="shared" si="178"/>
        <v/>
      </c>
      <c r="CI89" s="1003" t="str">
        <f t="shared" si="179"/>
        <v/>
      </c>
      <c r="CJ89" s="1002" t="str">
        <f t="shared" si="180"/>
        <v/>
      </c>
      <c r="CK89" s="1002" t="str">
        <f t="shared" si="181"/>
        <v/>
      </c>
      <c r="CL89" s="1002" t="str">
        <f t="shared" si="182"/>
        <v/>
      </c>
      <c r="CM89" s="1000" t="str">
        <f t="shared" si="183"/>
        <v/>
      </c>
      <c r="CN89" s="521" t="str">
        <f t="shared" si="184"/>
        <v/>
      </c>
      <c r="CO89" s="522" t="str">
        <f t="shared" si="185"/>
        <v/>
      </c>
      <c r="CP89" s="523" t="str">
        <f t="shared" si="186"/>
        <v/>
      </c>
      <c r="CQ89" s="523" t="str">
        <f t="shared" si="187"/>
        <v/>
      </c>
      <c r="CR89" s="523" t="str">
        <f t="shared" si="188"/>
        <v/>
      </c>
      <c r="CS89" s="523" t="str">
        <f t="shared" si="189"/>
        <v/>
      </c>
      <c r="CT89" s="523" t="str">
        <f t="shared" si="190"/>
        <v/>
      </c>
      <c r="CU89" s="524" t="str">
        <f t="shared" si="191"/>
        <v/>
      </c>
      <c r="CV89" s="524" t="str">
        <f t="shared" si="192"/>
        <v/>
      </c>
      <c r="CW89" s="524" t="str">
        <f t="shared" si="193"/>
        <v/>
      </c>
      <c r="CX89" s="523" t="str">
        <f t="shared" si="194"/>
        <v/>
      </c>
      <c r="CY89" s="523" t="str">
        <f t="shared" si="195"/>
        <v/>
      </c>
      <c r="CZ89" s="523" t="str">
        <f t="shared" si="196"/>
        <v/>
      </c>
      <c r="DA89" s="523" t="str">
        <f t="shared" si="197"/>
        <v/>
      </c>
      <c r="DB89" s="523" t="str">
        <f t="shared" si="198"/>
        <v/>
      </c>
      <c r="DC89" s="522" t="str">
        <f t="shared" si="199"/>
        <v/>
      </c>
      <c r="DD89" s="521" t="str">
        <f t="shared" si="200"/>
        <v/>
      </c>
      <c r="DE89" s="583">
        <f t="shared" si="201"/>
        <v>0</v>
      </c>
      <c r="DF89" s="97">
        <f t="shared" si="202"/>
        <v>0</v>
      </c>
      <c r="DG89" s="97">
        <f t="shared" si="203"/>
        <v>0</v>
      </c>
      <c r="DH89" s="97">
        <f t="shared" si="204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37">IF(B84="","",(SUM(B77)*2973-SUM(B78,B82)*(2973-1549*(B81=0)))/$G$1/365/B$46)</f>
        <v/>
      </c>
      <c r="C90" s="615" t="str">
        <f t="shared" si="237"/>
        <v/>
      </c>
      <c r="D90" s="615" t="str">
        <f t="shared" si="237"/>
        <v/>
      </c>
      <c r="E90" s="615" t="str">
        <f t="shared" si="237"/>
        <v/>
      </c>
      <c r="F90" s="615" t="str">
        <f t="shared" si="237"/>
        <v/>
      </c>
      <c r="G90" s="615" t="str">
        <f t="shared" si="237"/>
        <v/>
      </c>
      <c r="H90" s="615" t="str">
        <f t="shared" si="237"/>
        <v/>
      </c>
      <c r="I90" s="615" t="str">
        <f t="shared" si="237"/>
        <v/>
      </c>
      <c r="J90" s="615" t="str">
        <f t="shared" si="237"/>
        <v/>
      </c>
      <c r="K90" s="615" t="str">
        <f t="shared" si="237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38">IF(T84="","",(SUM(T77)*2973-SUM(T78,T82)*(2973-1549*(T81=0)))/$G$1/365/T$46)</f>
        <v/>
      </c>
      <c r="U90" s="615" t="str">
        <f t="shared" si="238"/>
        <v/>
      </c>
      <c r="V90" s="615" t="str">
        <f t="shared" si="238"/>
        <v/>
      </c>
      <c r="W90" s="615" t="str">
        <f t="shared" si="238"/>
        <v/>
      </c>
      <c r="X90" s="615" t="str">
        <f t="shared" si="238"/>
        <v/>
      </c>
      <c r="Y90" s="615" t="str">
        <f t="shared" si="238"/>
        <v/>
      </c>
      <c r="Z90" s="615" t="str">
        <f t="shared" si="238"/>
        <v/>
      </c>
      <c r="AA90" s="615" t="str">
        <f t="shared" si="238"/>
        <v/>
      </c>
      <c r="AB90" s="615" t="str">
        <f t="shared" si="238"/>
        <v/>
      </c>
      <c r="AC90" s="615" t="str">
        <f t="shared" si="238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39">IF(AL84="","",(SUM(AL77)*2973-SUM(AL78,AL82)*(2973-1549*(AL81=0)))/$G$1/365/AL$46)</f>
        <v/>
      </c>
      <c r="AM90" s="615" t="str">
        <f t="shared" si="239"/>
        <v/>
      </c>
      <c r="AN90" s="615" t="str">
        <f t="shared" si="239"/>
        <v/>
      </c>
      <c r="AO90" s="615" t="str">
        <f t="shared" si="239"/>
        <v/>
      </c>
      <c r="AP90" s="615" t="str">
        <f t="shared" si="239"/>
        <v/>
      </c>
      <c r="AQ90" s="615" t="str">
        <f t="shared" si="239"/>
        <v/>
      </c>
      <c r="AR90" s="615" t="str">
        <f t="shared" si="239"/>
        <v/>
      </c>
      <c r="AS90" s="615" t="str">
        <f t="shared" si="239"/>
        <v/>
      </c>
      <c r="AT90" s="615" t="str">
        <f t="shared" si="239"/>
        <v/>
      </c>
      <c r="AU90" s="615" t="str">
        <f t="shared" si="239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0">IF(BD84="","",(SUM(BD77)*2973-SUM(BD78,BD82)*(2973-1549*(BD81=0)))/$G$1/365/BD$46)</f>
        <v/>
      </c>
      <c r="BE90" s="1202" t="str">
        <f t="shared" si="240"/>
        <v/>
      </c>
      <c r="BF90" s="1202" t="str">
        <f t="shared" si="240"/>
        <v/>
      </c>
      <c r="BG90" s="1202" t="str">
        <f t="shared" si="240"/>
        <v/>
      </c>
      <c r="BH90" s="1202" t="str">
        <f t="shared" si="240"/>
        <v/>
      </c>
      <c r="BI90" s="1202" t="str">
        <f t="shared" si="240"/>
        <v/>
      </c>
      <c r="BJ90" s="1202" t="str">
        <f t="shared" si="240"/>
        <v/>
      </c>
      <c r="BK90" s="1202" t="str">
        <f t="shared" si="240"/>
        <v/>
      </c>
      <c r="BL90" s="1202" t="str">
        <f t="shared" si="240"/>
        <v/>
      </c>
      <c r="BM90" s="1202" t="str">
        <f t="shared" si="240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17"/>
        <v/>
      </c>
      <c r="CA90" s="607" t="str">
        <f t="shared" si="118"/>
        <v/>
      </c>
      <c r="CB90" s="607" t="str">
        <f t="shared" si="119"/>
        <v/>
      </c>
      <c r="CC90" s="607" t="str">
        <f t="shared" si="120"/>
        <v/>
      </c>
      <c r="CD90" s="1000" t="str">
        <f t="shared" si="174"/>
        <v/>
      </c>
      <c r="CE90" s="1002" t="str">
        <f t="shared" si="175"/>
        <v/>
      </c>
      <c r="CF90" s="1002" t="str">
        <f t="shared" si="176"/>
        <v/>
      </c>
      <c r="CG90" s="1002" t="str">
        <f t="shared" si="177"/>
        <v/>
      </c>
      <c r="CH90" s="1003" t="str">
        <f t="shared" si="178"/>
        <v/>
      </c>
      <c r="CI90" s="1003" t="str">
        <f t="shared" si="179"/>
        <v/>
      </c>
      <c r="CJ90" s="1002" t="str">
        <f t="shared" si="180"/>
        <v/>
      </c>
      <c r="CK90" s="1002" t="str">
        <f t="shared" si="181"/>
        <v/>
      </c>
      <c r="CL90" s="1002" t="str">
        <f t="shared" si="182"/>
        <v/>
      </c>
      <c r="CM90" s="1000" t="str">
        <f t="shared" si="183"/>
        <v/>
      </c>
      <c r="CN90" s="521" t="str">
        <f t="shared" si="184"/>
        <v/>
      </c>
      <c r="CO90" s="522" t="str">
        <f t="shared" si="185"/>
        <v/>
      </c>
      <c r="CP90" s="523" t="str">
        <f t="shared" si="186"/>
        <v/>
      </c>
      <c r="CQ90" s="523" t="str">
        <f t="shared" si="187"/>
        <v/>
      </c>
      <c r="CR90" s="523" t="str">
        <f t="shared" si="188"/>
        <v/>
      </c>
      <c r="CS90" s="523" t="str">
        <f t="shared" si="189"/>
        <v/>
      </c>
      <c r="CT90" s="523" t="str">
        <f t="shared" si="190"/>
        <v/>
      </c>
      <c r="CU90" s="524" t="str">
        <f t="shared" si="191"/>
        <v/>
      </c>
      <c r="CV90" s="524" t="str">
        <f t="shared" si="192"/>
        <v/>
      </c>
      <c r="CW90" s="524" t="str">
        <f t="shared" si="193"/>
        <v/>
      </c>
      <c r="CX90" s="523" t="str">
        <f t="shared" si="194"/>
        <v/>
      </c>
      <c r="CY90" s="523" t="str">
        <f t="shared" si="195"/>
        <v/>
      </c>
      <c r="CZ90" s="523" t="str">
        <f t="shared" si="196"/>
        <v/>
      </c>
      <c r="DA90" s="523" t="str">
        <f t="shared" si="197"/>
        <v/>
      </c>
      <c r="DB90" s="523" t="str">
        <f t="shared" si="198"/>
        <v/>
      </c>
      <c r="DC90" s="522" t="str">
        <f t="shared" si="199"/>
        <v/>
      </c>
      <c r="DD90" s="521" t="str">
        <f t="shared" si="200"/>
        <v/>
      </c>
      <c r="DE90" s="583">
        <f t="shared" si="201"/>
        <v>0</v>
      </c>
      <c r="DF90" s="97">
        <f t="shared" si="202"/>
        <v>0</v>
      </c>
      <c r="DG90" s="97">
        <f t="shared" si="203"/>
        <v>0</v>
      </c>
      <c r="DH90" s="97">
        <f t="shared" si="204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1">IF(SUM(B84)&gt;0,B86/B84,"")</f>
        <v/>
      </c>
      <c r="C91" s="605" t="str">
        <f t="shared" si="241"/>
        <v/>
      </c>
      <c r="D91" s="605" t="str">
        <f t="shared" si="241"/>
        <v/>
      </c>
      <c r="E91" s="605" t="str">
        <f t="shared" si="241"/>
        <v/>
      </c>
      <c r="F91" s="605" t="str">
        <f t="shared" si="241"/>
        <v/>
      </c>
      <c r="G91" s="605" t="str">
        <f t="shared" si="241"/>
        <v/>
      </c>
      <c r="H91" s="605" t="str">
        <f t="shared" si="241"/>
        <v/>
      </c>
      <c r="I91" s="605" t="str">
        <f t="shared" si="241"/>
        <v/>
      </c>
      <c r="J91" s="605" t="str">
        <f t="shared" si="241"/>
        <v/>
      </c>
      <c r="K91" s="605" t="str">
        <f t="shared" si="241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2">IF(SUM(T84)&gt;0,T86/T84,"")</f>
        <v/>
      </c>
      <c r="U91" s="605" t="str">
        <f t="shared" si="242"/>
        <v/>
      </c>
      <c r="V91" s="605" t="str">
        <f t="shared" si="242"/>
        <v/>
      </c>
      <c r="W91" s="605" t="str">
        <f t="shared" si="242"/>
        <v/>
      </c>
      <c r="X91" s="605" t="str">
        <f t="shared" si="242"/>
        <v/>
      </c>
      <c r="Y91" s="605" t="str">
        <f t="shared" si="242"/>
        <v/>
      </c>
      <c r="Z91" s="605" t="str">
        <f t="shared" si="242"/>
        <v/>
      </c>
      <c r="AA91" s="605" t="str">
        <f t="shared" si="242"/>
        <v/>
      </c>
      <c r="AB91" s="605" t="str">
        <f t="shared" si="242"/>
        <v/>
      </c>
      <c r="AC91" s="605" t="str">
        <f t="shared" si="242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3">IF(SUM(AL84)&gt;0,AL86/AL84,"")</f>
        <v/>
      </c>
      <c r="AM91" s="605" t="str">
        <f t="shared" si="243"/>
        <v/>
      </c>
      <c r="AN91" s="605" t="str">
        <f t="shared" si="243"/>
        <v/>
      </c>
      <c r="AO91" s="605" t="str">
        <f t="shared" si="243"/>
        <v/>
      </c>
      <c r="AP91" s="605" t="str">
        <f t="shared" si="243"/>
        <v/>
      </c>
      <c r="AQ91" s="605" t="str">
        <f t="shared" si="243"/>
        <v/>
      </c>
      <c r="AR91" s="605" t="str">
        <f t="shared" si="243"/>
        <v/>
      </c>
      <c r="AS91" s="605" t="str">
        <f t="shared" si="243"/>
        <v/>
      </c>
      <c r="AT91" s="605" t="str">
        <f t="shared" si="243"/>
        <v/>
      </c>
      <c r="AU91" s="605" t="str">
        <f t="shared" si="243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44">IF(SUM(BD84)&gt;0,BD86/BD84,"")</f>
        <v/>
      </c>
      <c r="BE91" s="1197" t="str">
        <f t="shared" si="244"/>
        <v/>
      </c>
      <c r="BF91" s="1197" t="str">
        <f t="shared" si="244"/>
        <v/>
      </c>
      <c r="BG91" s="1197" t="str">
        <f t="shared" si="244"/>
        <v/>
      </c>
      <c r="BH91" s="1197" t="str">
        <f t="shared" si="244"/>
        <v/>
      </c>
      <c r="BI91" s="1197" t="str">
        <f t="shared" si="244"/>
        <v/>
      </c>
      <c r="BJ91" s="1197" t="str">
        <f t="shared" si="244"/>
        <v/>
      </c>
      <c r="BK91" s="1197" t="str">
        <f t="shared" si="244"/>
        <v/>
      </c>
      <c r="BL91" s="1197" t="str">
        <f t="shared" si="244"/>
        <v/>
      </c>
      <c r="BM91" s="1197" t="str">
        <f t="shared" si="244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17"/>
        <v/>
      </c>
      <c r="CA91" s="607" t="str">
        <f t="shared" si="118"/>
        <v/>
      </c>
      <c r="CB91" s="607" t="str">
        <f t="shared" si="119"/>
        <v/>
      </c>
      <c r="CC91" s="607" t="str">
        <f t="shared" si="120"/>
        <v/>
      </c>
      <c r="CD91" s="1000" t="str">
        <f t="shared" si="174"/>
        <v/>
      </c>
      <c r="CE91" s="1002" t="str">
        <f t="shared" si="175"/>
        <v/>
      </c>
      <c r="CF91" s="1002" t="str">
        <f t="shared" si="176"/>
        <v/>
      </c>
      <c r="CG91" s="1002" t="str">
        <f t="shared" si="177"/>
        <v/>
      </c>
      <c r="CH91" s="1003" t="str">
        <f t="shared" si="178"/>
        <v/>
      </c>
      <c r="CI91" s="1003" t="str">
        <f t="shared" si="179"/>
        <v/>
      </c>
      <c r="CJ91" s="1002" t="str">
        <f t="shared" si="180"/>
        <v/>
      </c>
      <c r="CK91" s="1002" t="str">
        <f t="shared" si="181"/>
        <v/>
      </c>
      <c r="CL91" s="1002" t="str">
        <f t="shared" si="182"/>
        <v/>
      </c>
      <c r="CM91" s="1000" t="str">
        <f t="shared" si="183"/>
        <v/>
      </c>
      <c r="CN91" s="521" t="str">
        <f t="shared" si="184"/>
        <v/>
      </c>
      <c r="CO91" s="522" t="str">
        <f t="shared" si="185"/>
        <v/>
      </c>
      <c r="CP91" s="523" t="str">
        <f t="shared" si="186"/>
        <v/>
      </c>
      <c r="CQ91" s="523" t="str">
        <f t="shared" si="187"/>
        <v/>
      </c>
      <c r="CR91" s="523" t="str">
        <f t="shared" si="188"/>
        <v/>
      </c>
      <c r="CS91" s="523" t="str">
        <f t="shared" si="189"/>
        <v/>
      </c>
      <c r="CT91" s="523" t="str">
        <f t="shared" si="190"/>
        <v/>
      </c>
      <c r="CU91" s="524" t="str">
        <f t="shared" si="191"/>
        <v/>
      </c>
      <c r="CV91" s="524" t="str">
        <f t="shared" si="192"/>
        <v/>
      </c>
      <c r="CW91" s="524" t="str">
        <f t="shared" si="193"/>
        <v/>
      </c>
      <c r="CX91" s="523" t="str">
        <f t="shared" si="194"/>
        <v/>
      </c>
      <c r="CY91" s="523" t="str">
        <f t="shared" si="195"/>
        <v/>
      </c>
      <c r="CZ91" s="523" t="str">
        <f t="shared" si="196"/>
        <v/>
      </c>
      <c r="DA91" s="523" t="str">
        <f t="shared" si="197"/>
        <v/>
      </c>
      <c r="DB91" s="523" t="str">
        <f t="shared" si="198"/>
        <v/>
      </c>
      <c r="DC91" s="522" t="str">
        <f t="shared" si="199"/>
        <v/>
      </c>
      <c r="DD91" s="521" t="str">
        <f t="shared" si="200"/>
        <v/>
      </c>
      <c r="DE91" s="583">
        <f t="shared" si="201"/>
        <v>0</v>
      </c>
      <c r="DF91" s="97">
        <f t="shared" si="202"/>
        <v>0</v>
      </c>
      <c r="DG91" s="97">
        <f t="shared" si="203"/>
        <v>0</v>
      </c>
      <c r="DH91" s="97">
        <f t="shared" si="204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17"/>
        <v/>
      </c>
      <c r="CA92" s="574" t="str">
        <f t="shared" si="118"/>
        <v/>
      </c>
      <c r="CB92" s="574" t="str">
        <f t="shared" si="119"/>
        <v/>
      </c>
      <c r="CC92" s="574" t="str">
        <f t="shared" si="120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17"/>
        <v>0</v>
      </c>
      <c r="CA93" s="582">
        <f t="shared" si="118"/>
        <v>0</v>
      </c>
      <c r="CB93" s="582">
        <f t="shared" si="119"/>
        <v>0</v>
      </c>
      <c r="CC93" s="582">
        <f t="shared" si="120"/>
        <v>0</v>
      </c>
      <c r="CD93" s="988">
        <f t="shared" ref="CD93:CM108" si="2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45"/>
        <v>0</v>
      </c>
      <c r="CF93" s="989">
        <f t="shared" si="245"/>
        <v>0</v>
      </c>
      <c r="CG93" s="989">
        <f t="shared" si="245"/>
        <v>0</v>
      </c>
      <c r="CH93" s="990">
        <f t="shared" si="245"/>
        <v>0</v>
      </c>
      <c r="CI93" s="990">
        <f t="shared" si="245"/>
        <v>0</v>
      </c>
      <c r="CJ93" s="989">
        <f t="shared" si="245"/>
        <v>0</v>
      </c>
      <c r="CK93" s="989">
        <f t="shared" si="245"/>
        <v>0</v>
      </c>
      <c r="CL93" s="989">
        <f t="shared" si="245"/>
        <v>0</v>
      </c>
      <c r="CM93" s="988">
        <f t="shared" si="245"/>
        <v>0</v>
      </c>
      <c r="CN93" s="533" t="str">
        <f t="shared" ref="CN93:CN118" si="24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4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4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4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3">COUNT(B93:R93)</f>
        <v>10</v>
      </c>
      <c r="DF93" s="97">
        <f t="shared" ref="DF93:DF118" si="264">COUNT(T93:AJ93)</f>
        <v>10</v>
      </c>
      <c r="DG93" s="97">
        <f t="shared" ref="DG93:DG118" si="265">COUNT(AL93:BB93)</f>
        <v>10</v>
      </c>
      <c r="DH93" s="97">
        <f t="shared" ref="DH93:DH118" si="266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67">IF(DE94&lt;3,"",(SUM(B94:R94)-MIN(B94:R94)-MAX(B94:R94))/(DE94-2))</f>
        <v/>
      </c>
      <c r="CA94" s="582" t="str">
        <f t="shared" ref="CA94:CA157" si="268">IF(DF94&lt;3,"",(SUM(T94:AJ94)-MIN(T94:AJ94)-MAX(T94:AJ94))/(DF94-2))</f>
        <v/>
      </c>
      <c r="CB94" s="582" t="str">
        <f t="shared" ref="CB94:CB157" si="269">IF(DG94&lt;3,"",(SUM(AL94:BB94)-MIN(AL94:BB94)-MAX(AL94:BB94))/(DG94-2))</f>
        <v/>
      </c>
      <c r="CC94" s="582" t="str">
        <f t="shared" ref="CC94:CC157" si="270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45"/>
        <v/>
      </c>
      <c r="CF94" s="989" t="str">
        <f t="shared" si="245"/>
        <v/>
      </c>
      <c r="CG94" s="989" t="str">
        <f t="shared" si="245"/>
        <v/>
      </c>
      <c r="CH94" s="990" t="str">
        <f t="shared" si="245"/>
        <v/>
      </c>
      <c r="CI94" s="990" t="str">
        <f t="shared" si="245"/>
        <v/>
      </c>
      <c r="CJ94" s="989" t="str">
        <f t="shared" si="245"/>
        <v/>
      </c>
      <c r="CK94" s="989" t="str">
        <f t="shared" si="245"/>
        <v/>
      </c>
      <c r="CL94" s="989" t="str">
        <f t="shared" si="245"/>
        <v/>
      </c>
      <c r="CM94" s="988" t="str">
        <f t="shared" si="245"/>
        <v/>
      </c>
      <c r="CN94" s="533" t="str">
        <f t="shared" si="246"/>
        <v/>
      </c>
      <c r="CO94" s="534" t="str">
        <f t="shared" si="247"/>
        <v/>
      </c>
      <c r="CP94" s="535" t="str">
        <f t="shared" si="248"/>
        <v/>
      </c>
      <c r="CQ94" s="535" t="str">
        <f t="shared" si="249"/>
        <v/>
      </c>
      <c r="CR94" s="535" t="str">
        <f t="shared" si="250"/>
        <v/>
      </c>
      <c r="CS94" s="535" t="str">
        <f t="shared" si="251"/>
        <v/>
      </c>
      <c r="CT94" s="535" t="str">
        <f t="shared" si="252"/>
        <v/>
      </c>
      <c r="CU94" s="536" t="str">
        <f t="shared" si="253"/>
        <v/>
      </c>
      <c r="CV94" s="536" t="str">
        <f t="shared" si="254"/>
        <v/>
      </c>
      <c r="CW94" s="536" t="str">
        <f t="shared" si="255"/>
        <v/>
      </c>
      <c r="CX94" s="535" t="str">
        <f t="shared" si="256"/>
        <v/>
      </c>
      <c r="CY94" s="535" t="str">
        <f t="shared" si="257"/>
        <v/>
      </c>
      <c r="CZ94" s="535" t="str">
        <f t="shared" si="258"/>
        <v/>
      </c>
      <c r="DA94" s="535" t="str">
        <f t="shared" si="259"/>
        <v/>
      </c>
      <c r="DB94" s="535" t="str">
        <f t="shared" si="260"/>
        <v/>
      </c>
      <c r="DC94" s="534" t="str">
        <f t="shared" si="261"/>
        <v/>
      </c>
      <c r="DD94" s="533" t="str">
        <f t="shared" si="262"/>
        <v/>
      </c>
      <c r="DE94" s="583">
        <f t="shared" si="263"/>
        <v>0</v>
      </c>
      <c r="DF94" s="97">
        <f t="shared" si="264"/>
        <v>0</v>
      </c>
      <c r="DG94" s="97">
        <f t="shared" si="265"/>
        <v>0</v>
      </c>
      <c r="DH94" s="97">
        <f t="shared" si="266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Temp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67"/>
        <v/>
      </c>
      <c r="CA95" s="582" t="str">
        <f t="shared" si="268"/>
        <v/>
      </c>
      <c r="CB95" s="582" t="str">
        <f t="shared" si="269"/>
        <v/>
      </c>
      <c r="CC95" s="582" t="str">
        <f t="shared" si="270"/>
        <v/>
      </c>
      <c r="CD95" s="988" t="str">
        <f t="shared" si="245"/>
        <v/>
      </c>
      <c r="CE95" s="989" t="str">
        <f t="shared" si="245"/>
        <v/>
      </c>
      <c r="CF95" s="989" t="str">
        <f t="shared" si="245"/>
        <v/>
      </c>
      <c r="CG95" s="989" t="str">
        <f t="shared" si="245"/>
        <v/>
      </c>
      <c r="CH95" s="990" t="str">
        <f t="shared" si="245"/>
        <v/>
      </c>
      <c r="CI95" s="990" t="str">
        <f t="shared" si="245"/>
        <v/>
      </c>
      <c r="CJ95" s="989" t="str">
        <f t="shared" si="245"/>
        <v/>
      </c>
      <c r="CK95" s="989" t="str">
        <f t="shared" si="245"/>
        <v/>
      </c>
      <c r="CL95" s="989" t="str">
        <f t="shared" si="245"/>
        <v/>
      </c>
      <c r="CM95" s="988" t="str">
        <f t="shared" si="245"/>
        <v/>
      </c>
      <c r="CN95" s="533" t="str">
        <f t="shared" si="246"/>
        <v/>
      </c>
      <c r="CO95" s="534" t="str">
        <f t="shared" si="247"/>
        <v/>
      </c>
      <c r="CP95" s="535" t="str">
        <f t="shared" si="248"/>
        <v/>
      </c>
      <c r="CQ95" s="535" t="str">
        <f t="shared" si="249"/>
        <v/>
      </c>
      <c r="CR95" s="535" t="str">
        <f t="shared" si="250"/>
        <v/>
      </c>
      <c r="CS95" s="535" t="str">
        <f t="shared" si="251"/>
        <v/>
      </c>
      <c r="CT95" s="535" t="str">
        <f t="shared" si="252"/>
        <v/>
      </c>
      <c r="CU95" s="536" t="str">
        <f t="shared" si="253"/>
        <v/>
      </c>
      <c r="CV95" s="536" t="str">
        <f t="shared" si="254"/>
        <v/>
      </c>
      <c r="CW95" s="536" t="str">
        <f t="shared" si="255"/>
        <v/>
      </c>
      <c r="CX95" s="535" t="str">
        <f t="shared" si="256"/>
        <v/>
      </c>
      <c r="CY95" s="535" t="str">
        <f t="shared" si="257"/>
        <v/>
      </c>
      <c r="CZ95" s="535" t="str">
        <f t="shared" si="258"/>
        <v/>
      </c>
      <c r="DA95" s="535" t="str">
        <f t="shared" si="259"/>
        <v/>
      </c>
      <c r="DB95" s="535" t="str">
        <f t="shared" si="260"/>
        <v/>
      </c>
      <c r="DC95" s="534" t="str">
        <f t="shared" si="261"/>
        <v/>
      </c>
      <c r="DD95" s="533" t="str">
        <f t="shared" si="262"/>
        <v/>
      </c>
      <c r="DE95" s="583">
        <f t="shared" si="263"/>
        <v>0</v>
      </c>
      <c r="DF95" s="97">
        <f t="shared" si="264"/>
        <v>0</v>
      </c>
      <c r="DG95" s="97">
        <f t="shared" si="265"/>
        <v>0</v>
      </c>
      <c r="DH95" s="97">
        <f t="shared" si="266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1">IF(B95="","",B93*B94*B95)</f>
        <v/>
      </c>
      <c r="C96" s="591" t="str">
        <f t="shared" si="271"/>
        <v/>
      </c>
      <c r="D96" s="591" t="str">
        <f t="shared" si="271"/>
        <v/>
      </c>
      <c r="E96" s="591" t="str">
        <f t="shared" si="271"/>
        <v/>
      </c>
      <c r="F96" s="591" t="str">
        <f t="shared" si="271"/>
        <v/>
      </c>
      <c r="G96" s="591" t="str">
        <f t="shared" si="271"/>
        <v/>
      </c>
      <c r="H96" s="591" t="str">
        <f t="shared" si="271"/>
        <v/>
      </c>
      <c r="I96" s="591" t="str">
        <f t="shared" si="271"/>
        <v/>
      </c>
      <c r="J96" s="591" t="str">
        <f t="shared" si="271"/>
        <v/>
      </c>
      <c r="K96" s="591" t="str">
        <f t="shared" si="271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2">IF(T95="","",T93*T94*T95)</f>
        <v/>
      </c>
      <c r="U96" s="591" t="str">
        <f t="shared" si="272"/>
        <v/>
      </c>
      <c r="V96" s="591" t="str">
        <f t="shared" si="272"/>
        <v/>
      </c>
      <c r="W96" s="591" t="str">
        <f t="shared" si="272"/>
        <v/>
      </c>
      <c r="X96" s="591" t="str">
        <f t="shared" si="272"/>
        <v/>
      </c>
      <c r="Y96" s="591" t="str">
        <f t="shared" si="272"/>
        <v/>
      </c>
      <c r="Z96" s="591" t="str">
        <f t="shared" si="272"/>
        <v/>
      </c>
      <c r="AA96" s="591" t="str">
        <f t="shared" si="272"/>
        <v/>
      </c>
      <c r="AB96" s="591" t="str">
        <f t="shared" si="272"/>
        <v/>
      </c>
      <c r="AC96" s="591" t="str">
        <f t="shared" si="272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3">IF(AL95="","",AL93*AL94*AL95)</f>
        <v/>
      </c>
      <c r="AM96" s="591" t="str">
        <f t="shared" si="273"/>
        <v/>
      </c>
      <c r="AN96" s="591" t="str">
        <f t="shared" si="273"/>
        <v/>
      </c>
      <c r="AO96" s="591" t="str">
        <f t="shared" si="273"/>
        <v/>
      </c>
      <c r="AP96" s="591" t="str">
        <f t="shared" si="273"/>
        <v/>
      </c>
      <c r="AQ96" s="591" t="str">
        <f t="shared" si="273"/>
        <v/>
      </c>
      <c r="AR96" s="591" t="str">
        <f t="shared" si="273"/>
        <v/>
      </c>
      <c r="AS96" s="591" t="str">
        <f t="shared" si="273"/>
        <v/>
      </c>
      <c r="AT96" s="591" t="str">
        <f t="shared" si="273"/>
        <v/>
      </c>
      <c r="AU96" s="591" t="str">
        <f t="shared" si="273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74">IF(BD95="","",BD93*BD94*BD95)</f>
        <v/>
      </c>
      <c r="BE96" s="1194" t="str">
        <f t="shared" si="274"/>
        <v/>
      </c>
      <c r="BF96" s="1194" t="str">
        <f t="shared" si="274"/>
        <v/>
      </c>
      <c r="BG96" s="1194" t="str">
        <f t="shared" si="274"/>
        <v/>
      </c>
      <c r="BH96" s="1194" t="str">
        <f t="shared" si="274"/>
        <v/>
      </c>
      <c r="BI96" s="1194" t="str">
        <f t="shared" si="274"/>
        <v/>
      </c>
      <c r="BJ96" s="1194" t="str">
        <f t="shared" si="274"/>
        <v/>
      </c>
      <c r="BK96" s="1194" t="str">
        <f t="shared" si="274"/>
        <v/>
      </c>
      <c r="BL96" s="1194" t="str">
        <f t="shared" si="274"/>
        <v/>
      </c>
      <c r="BM96" s="1194" t="str">
        <f t="shared" si="274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67"/>
        <v/>
      </c>
      <c r="CA96" s="582" t="str">
        <f t="shared" si="268"/>
        <v/>
      </c>
      <c r="CB96" s="582" t="str">
        <f t="shared" si="269"/>
        <v/>
      </c>
      <c r="CC96" s="582" t="str">
        <f t="shared" si="270"/>
        <v/>
      </c>
      <c r="CD96" s="988" t="str">
        <f t="shared" si="245"/>
        <v/>
      </c>
      <c r="CE96" s="989" t="str">
        <f t="shared" si="245"/>
        <v/>
      </c>
      <c r="CF96" s="989" t="str">
        <f t="shared" si="245"/>
        <v/>
      </c>
      <c r="CG96" s="989" t="str">
        <f t="shared" si="245"/>
        <v/>
      </c>
      <c r="CH96" s="990" t="str">
        <f t="shared" si="245"/>
        <v/>
      </c>
      <c r="CI96" s="990" t="str">
        <f t="shared" si="245"/>
        <v/>
      </c>
      <c r="CJ96" s="989" t="str">
        <f t="shared" si="245"/>
        <v/>
      </c>
      <c r="CK96" s="989" t="str">
        <f t="shared" si="245"/>
        <v/>
      </c>
      <c r="CL96" s="989" t="str">
        <f t="shared" si="245"/>
        <v/>
      </c>
      <c r="CM96" s="988" t="str">
        <f t="shared" si="245"/>
        <v/>
      </c>
      <c r="CN96" s="533" t="str">
        <f t="shared" si="246"/>
        <v/>
      </c>
      <c r="CO96" s="534" t="str">
        <f t="shared" si="247"/>
        <v/>
      </c>
      <c r="CP96" s="535" t="str">
        <f t="shared" si="248"/>
        <v/>
      </c>
      <c r="CQ96" s="535" t="str">
        <f t="shared" si="249"/>
        <v/>
      </c>
      <c r="CR96" s="535" t="str">
        <f t="shared" si="250"/>
        <v/>
      </c>
      <c r="CS96" s="535" t="str">
        <f t="shared" si="251"/>
        <v/>
      </c>
      <c r="CT96" s="535" t="str">
        <f t="shared" si="252"/>
        <v/>
      </c>
      <c r="CU96" s="536" t="str">
        <f t="shared" si="253"/>
        <v/>
      </c>
      <c r="CV96" s="536" t="str">
        <f t="shared" si="254"/>
        <v/>
      </c>
      <c r="CW96" s="536" t="str">
        <f t="shared" si="255"/>
        <v/>
      </c>
      <c r="CX96" s="535" t="str">
        <f t="shared" si="256"/>
        <v/>
      </c>
      <c r="CY96" s="535" t="str">
        <f t="shared" si="257"/>
        <v/>
      </c>
      <c r="CZ96" s="535" t="str">
        <f t="shared" si="258"/>
        <v/>
      </c>
      <c r="DA96" s="535" t="str">
        <f t="shared" si="259"/>
        <v/>
      </c>
      <c r="DB96" s="535" t="str">
        <f t="shared" si="260"/>
        <v/>
      </c>
      <c r="DC96" s="534" t="str">
        <f t="shared" si="261"/>
        <v/>
      </c>
      <c r="DD96" s="533" t="str">
        <f t="shared" si="262"/>
        <v/>
      </c>
      <c r="DE96" s="583">
        <f t="shared" si="263"/>
        <v>0</v>
      </c>
      <c r="DF96" s="97">
        <f t="shared" si="264"/>
        <v>0</v>
      </c>
      <c r="DG96" s="97">
        <f t="shared" si="265"/>
        <v>0</v>
      </c>
      <c r="DH96" s="97">
        <f t="shared" si="266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2000</v>
      </c>
      <c r="DP96" s="590">
        <f>BY804</f>
        <v>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67"/>
        <v/>
      </c>
      <c r="CA97" s="582" t="str">
        <f t="shared" si="268"/>
        <v/>
      </c>
      <c r="CB97" s="582" t="str">
        <f t="shared" si="269"/>
        <v/>
      </c>
      <c r="CC97" s="582" t="str">
        <f t="shared" si="270"/>
        <v/>
      </c>
      <c r="CD97" s="988" t="str">
        <f t="shared" si="245"/>
        <v/>
      </c>
      <c r="CE97" s="989" t="str">
        <f t="shared" si="245"/>
        <v/>
      </c>
      <c r="CF97" s="989" t="str">
        <f t="shared" si="245"/>
        <v/>
      </c>
      <c r="CG97" s="989" t="str">
        <f t="shared" si="245"/>
        <v/>
      </c>
      <c r="CH97" s="990" t="str">
        <f t="shared" si="245"/>
        <v/>
      </c>
      <c r="CI97" s="990" t="str">
        <f t="shared" si="245"/>
        <v/>
      </c>
      <c r="CJ97" s="989" t="str">
        <f t="shared" si="245"/>
        <v/>
      </c>
      <c r="CK97" s="989" t="str">
        <f t="shared" si="245"/>
        <v/>
      </c>
      <c r="CL97" s="989" t="str">
        <f t="shared" si="245"/>
        <v/>
      </c>
      <c r="CM97" s="988" t="str">
        <f t="shared" si="245"/>
        <v/>
      </c>
      <c r="CN97" s="533" t="str">
        <f t="shared" si="246"/>
        <v/>
      </c>
      <c r="CO97" s="534" t="str">
        <f t="shared" si="247"/>
        <v/>
      </c>
      <c r="CP97" s="535" t="str">
        <f t="shared" si="248"/>
        <v/>
      </c>
      <c r="CQ97" s="535" t="str">
        <f t="shared" si="249"/>
        <v/>
      </c>
      <c r="CR97" s="535" t="str">
        <f t="shared" si="250"/>
        <v/>
      </c>
      <c r="CS97" s="535" t="str">
        <f t="shared" si="251"/>
        <v/>
      </c>
      <c r="CT97" s="535" t="str">
        <f t="shared" si="252"/>
        <v/>
      </c>
      <c r="CU97" s="536" t="str">
        <f t="shared" si="253"/>
        <v/>
      </c>
      <c r="CV97" s="536" t="str">
        <f t="shared" si="254"/>
        <v/>
      </c>
      <c r="CW97" s="536" t="str">
        <f t="shared" si="255"/>
        <v/>
      </c>
      <c r="CX97" s="535" t="str">
        <f t="shared" si="256"/>
        <v/>
      </c>
      <c r="CY97" s="535" t="str">
        <f t="shared" si="257"/>
        <v/>
      </c>
      <c r="CZ97" s="535" t="str">
        <f t="shared" si="258"/>
        <v/>
      </c>
      <c r="DA97" s="535" t="str">
        <f t="shared" si="259"/>
        <v/>
      </c>
      <c r="DB97" s="535" t="str">
        <f t="shared" si="260"/>
        <v/>
      </c>
      <c r="DC97" s="534" t="str">
        <f t="shared" si="261"/>
        <v/>
      </c>
      <c r="DD97" s="533" t="str">
        <f t="shared" si="262"/>
        <v/>
      </c>
      <c r="DE97" s="583">
        <f t="shared" si="263"/>
        <v>0</v>
      </c>
      <c r="DF97" s="97">
        <f t="shared" si="264"/>
        <v>0</v>
      </c>
      <c r="DG97" s="97">
        <f t="shared" si="265"/>
        <v>0</v>
      </c>
      <c r="DH97" s="97">
        <f t="shared" si="266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1260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67"/>
        <v/>
      </c>
      <c r="CA98" s="582" t="str">
        <f t="shared" si="268"/>
        <v/>
      </c>
      <c r="CB98" s="582" t="str">
        <f t="shared" si="269"/>
        <v/>
      </c>
      <c r="CC98" s="582" t="str">
        <f t="shared" si="270"/>
        <v/>
      </c>
      <c r="CD98" s="988" t="str">
        <f t="shared" si="245"/>
        <v/>
      </c>
      <c r="CE98" s="989" t="str">
        <f t="shared" si="245"/>
        <v/>
      </c>
      <c r="CF98" s="989" t="str">
        <f t="shared" si="245"/>
        <v/>
      </c>
      <c r="CG98" s="989" t="str">
        <f t="shared" si="245"/>
        <v/>
      </c>
      <c r="CH98" s="990" t="str">
        <f t="shared" si="245"/>
        <v/>
      </c>
      <c r="CI98" s="990" t="str">
        <f t="shared" si="245"/>
        <v/>
      </c>
      <c r="CJ98" s="989" t="str">
        <f t="shared" si="245"/>
        <v/>
      </c>
      <c r="CK98" s="989" t="str">
        <f t="shared" si="245"/>
        <v/>
      </c>
      <c r="CL98" s="989" t="str">
        <f t="shared" si="245"/>
        <v/>
      </c>
      <c r="CM98" s="988" t="str">
        <f t="shared" si="245"/>
        <v/>
      </c>
      <c r="CN98" s="533" t="str">
        <f t="shared" si="246"/>
        <v/>
      </c>
      <c r="CO98" s="534" t="str">
        <f t="shared" si="247"/>
        <v/>
      </c>
      <c r="CP98" s="535" t="str">
        <f t="shared" si="248"/>
        <v/>
      </c>
      <c r="CQ98" s="535" t="str">
        <f t="shared" si="249"/>
        <v/>
      </c>
      <c r="CR98" s="535" t="str">
        <f t="shared" si="250"/>
        <v/>
      </c>
      <c r="CS98" s="535" t="str">
        <f t="shared" si="251"/>
        <v/>
      </c>
      <c r="CT98" s="535" t="str">
        <f t="shared" si="252"/>
        <v/>
      </c>
      <c r="CU98" s="536" t="str">
        <f t="shared" si="253"/>
        <v/>
      </c>
      <c r="CV98" s="536" t="str">
        <f t="shared" si="254"/>
        <v/>
      </c>
      <c r="CW98" s="536" t="str">
        <f t="shared" si="255"/>
        <v/>
      </c>
      <c r="CX98" s="535" t="str">
        <f t="shared" si="256"/>
        <v/>
      </c>
      <c r="CY98" s="535" t="str">
        <f t="shared" si="257"/>
        <v/>
      </c>
      <c r="CZ98" s="535" t="str">
        <f t="shared" si="258"/>
        <v/>
      </c>
      <c r="DA98" s="535" t="str">
        <f t="shared" si="259"/>
        <v/>
      </c>
      <c r="DB98" s="535" t="str">
        <f t="shared" si="260"/>
        <v/>
      </c>
      <c r="DC98" s="534" t="str">
        <f t="shared" si="261"/>
        <v/>
      </c>
      <c r="DD98" s="533" t="str">
        <f t="shared" si="262"/>
        <v/>
      </c>
      <c r="DE98" s="583">
        <f t="shared" si="263"/>
        <v>0</v>
      </c>
      <c r="DF98" s="97">
        <f t="shared" si="264"/>
        <v>0</v>
      </c>
      <c r="DG98" s="97">
        <f t="shared" si="265"/>
        <v>0</v>
      </c>
      <c r="DH98" s="97">
        <f t="shared" si="266"/>
        <v>0</v>
      </c>
      <c r="DI98" s="576"/>
      <c r="DJ98" s="191"/>
      <c r="DK98" s="584" t="s">
        <v>186</v>
      </c>
      <c r="DL98" s="585"/>
      <c r="DM98" s="590">
        <f>SUM(DO97:DP97)</f>
        <v>1260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75">IF(B97="","",B97*B98)</f>
        <v/>
      </c>
      <c r="C99" s="592" t="str">
        <f t="shared" si="275"/>
        <v/>
      </c>
      <c r="D99" s="592" t="str">
        <f t="shared" si="275"/>
        <v/>
      </c>
      <c r="E99" s="592" t="str">
        <f t="shared" si="275"/>
        <v/>
      </c>
      <c r="F99" s="592" t="str">
        <f t="shared" si="275"/>
        <v/>
      </c>
      <c r="G99" s="592" t="str">
        <f t="shared" si="275"/>
        <v/>
      </c>
      <c r="H99" s="592" t="str">
        <f t="shared" si="275"/>
        <v/>
      </c>
      <c r="I99" s="592" t="str">
        <f t="shared" si="275"/>
        <v/>
      </c>
      <c r="J99" s="592" t="str">
        <f t="shared" si="275"/>
        <v/>
      </c>
      <c r="K99" s="592" t="str">
        <f t="shared" si="275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76">IF(T97="","",T97*T98)</f>
        <v/>
      </c>
      <c r="U99" s="592" t="str">
        <f t="shared" si="276"/>
        <v/>
      </c>
      <c r="V99" s="592" t="str">
        <f t="shared" si="276"/>
        <v/>
      </c>
      <c r="W99" s="592" t="str">
        <f t="shared" si="276"/>
        <v/>
      </c>
      <c r="X99" s="592" t="str">
        <f t="shared" si="276"/>
        <v/>
      </c>
      <c r="Y99" s="592" t="str">
        <f t="shared" si="276"/>
        <v/>
      </c>
      <c r="Z99" s="592" t="str">
        <f t="shared" si="276"/>
        <v/>
      </c>
      <c r="AA99" s="592" t="str">
        <f t="shared" si="276"/>
        <v/>
      </c>
      <c r="AB99" s="592" t="str">
        <f t="shared" si="276"/>
        <v/>
      </c>
      <c r="AC99" s="592" t="str">
        <f t="shared" si="276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77">IF(AL97="","",AL97*AL98)</f>
        <v/>
      </c>
      <c r="AM99" s="592" t="str">
        <f t="shared" si="277"/>
        <v/>
      </c>
      <c r="AN99" s="592" t="str">
        <f t="shared" si="277"/>
        <v/>
      </c>
      <c r="AO99" s="592" t="str">
        <f t="shared" si="277"/>
        <v/>
      </c>
      <c r="AP99" s="592" t="str">
        <f t="shared" si="277"/>
        <v/>
      </c>
      <c r="AQ99" s="592" t="str">
        <f t="shared" si="277"/>
        <v/>
      </c>
      <c r="AR99" s="592" t="str">
        <f t="shared" si="277"/>
        <v/>
      </c>
      <c r="AS99" s="592" t="str">
        <f t="shared" si="277"/>
        <v/>
      </c>
      <c r="AT99" s="592" t="str">
        <f t="shared" si="277"/>
        <v/>
      </c>
      <c r="AU99" s="592" t="str">
        <f t="shared" si="277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78">IF(BD97="","",BD97*BD98)</f>
        <v/>
      </c>
      <c r="BE99" s="1195" t="str">
        <f t="shared" si="278"/>
        <v/>
      </c>
      <c r="BF99" s="1195" t="str">
        <f t="shared" si="278"/>
        <v/>
      </c>
      <c r="BG99" s="1195" t="str">
        <f t="shared" si="278"/>
        <v/>
      </c>
      <c r="BH99" s="1195" t="str">
        <f t="shared" si="278"/>
        <v/>
      </c>
      <c r="BI99" s="1195" t="str">
        <f t="shared" si="278"/>
        <v/>
      </c>
      <c r="BJ99" s="1195" t="str">
        <f t="shared" si="278"/>
        <v/>
      </c>
      <c r="BK99" s="1195" t="str">
        <f t="shared" si="278"/>
        <v/>
      </c>
      <c r="BL99" s="1195" t="str">
        <f t="shared" si="278"/>
        <v/>
      </c>
      <c r="BM99" s="1195" t="str">
        <f t="shared" si="278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67"/>
        <v/>
      </c>
      <c r="CA99" s="582" t="str">
        <f t="shared" si="268"/>
        <v/>
      </c>
      <c r="CB99" s="582" t="str">
        <f t="shared" si="269"/>
        <v/>
      </c>
      <c r="CC99" s="582" t="str">
        <f t="shared" si="270"/>
        <v/>
      </c>
      <c r="CD99" s="988" t="str">
        <f t="shared" si="245"/>
        <v/>
      </c>
      <c r="CE99" s="989" t="str">
        <f t="shared" si="245"/>
        <v/>
      </c>
      <c r="CF99" s="989" t="str">
        <f t="shared" si="245"/>
        <v/>
      </c>
      <c r="CG99" s="989" t="str">
        <f t="shared" si="245"/>
        <v/>
      </c>
      <c r="CH99" s="990" t="str">
        <f t="shared" si="245"/>
        <v/>
      </c>
      <c r="CI99" s="990" t="str">
        <f t="shared" si="245"/>
        <v/>
      </c>
      <c r="CJ99" s="989" t="str">
        <f t="shared" si="245"/>
        <v/>
      </c>
      <c r="CK99" s="989" t="str">
        <f t="shared" si="245"/>
        <v/>
      </c>
      <c r="CL99" s="989" t="str">
        <f t="shared" si="245"/>
        <v/>
      </c>
      <c r="CM99" s="988" t="str">
        <f t="shared" si="245"/>
        <v/>
      </c>
      <c r="CN99" s="533" t="str">
        <f t="shared" si="246"/>
        <v/>
      </c>
      <c r="CO99" s="534" t="str">
        <f t="shared" si="247"/>
        <v/>
      </c>
      <c r="CP99" s="535" t="str">
        <f t="shared" si="248"/>
        <v/>
      </c>
      <c r="CQ99" s="535" t="str">
        <f t="shared" si="249"/>
        <v/>
      </c>
      <c r="CR99" s="535" t="str">
        <f t="shared" si="250"/>
        <v/>
      </c>
      <c r="CS99" s="535" t="str">
        <f t="shared" si="251"/>
        <v/>
      </c>
      <c r="CT99" s="535" t="str">
        <f t="shared" si="252"/>
        <v/>
      </c>
      <c r="CU99" s="536" t="str">
        <f t="shared" si="253"/>
        <v/>
      </c>
      <c r="CV99" s="536" t="str">
        <f t="shared" si="254"/>
        <v/>
      </c>
      <c r="CW99" s="536" t="str">
        <f t="shared" si="255"/>
        <v/>
      </c>
      <c r="CX99" s="535" t="str">
        <f t="shared" si="256"/>
        <v/>
      </c>
      <c r="CY99" s="535" t="str">
        <f t="shared" si="257"/>
        <v/>
      </c>
      <c r="CZ99" s="535" t="str">
        <f t="shared" si="258"/>
        <v/>
      </c>
      <c r="DA99" s="535" t="str">
        <f t="shared" si="259"/>
        <v/>
      </c>
      <c r="DB99" s="535" t="str">
        <f t="shared" si="260"/>
        <v/>
      </c>
      <c r="DC99" s="534" t="str">
        <f t="shared" si="261"/>
        <v/>
      </c>
      <c r="DD99" s="533" t="str">
        <f t="shared" si="262"/>
        <v/>
      </c>
      <c r="DE99" s="583">
        <f t="shared" si="263"/>
        <v>0</v>
      </c>
      <c r="DF99" s="97">
        <f t="shared" si="264"/>
        <v>0</v>
      </c>
      <c r="DG99" s="97">
        <f t="shared" si="265"/>
        <v>0</v>
      </c>
      <c r="DH99" s="97">
        <f t="shared" si="266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67"/>
        <v/>
      </c>
      <c r="CA100" s="582" t="str">
        <f t="shared" si="268"/>
        <v/>
      </c>
      <c r="CB100" s="582" t="str">
        <f t="shared" si="269"/>
        <v/>
      </c>
      <c r="CC100" s="582" t="str">
        <f t="shared" si="270"/>
        <v/>
      </c>
      <c r="CD100" s="988" t="str">
        <f t="shared" si="245"/>
        <v/>
      </c>
      <c r="CE100" s="989" t="str">
        <f t="shared" si="245"/>
        <v/>
      </c>
      <c r="CF100" s="989" t="str">
        <f t="shared" si="245"/>
        <v/>
      </c>
      <c r="CG100" s="989" t="str">
        <f t="shared" si="245"/>
        <v/>
      </c>
      <c r="CH100" s="990" t="str">
        <f t="shared" si="245"/>
        <v/>
      </c>
      <c r="CI100" s="990" t="str">
        <f t="shared" si="245"/>
        <v/>
      </c>
      <c r="CJ100" s="989" t="str">
        <f t="shared" si="245"/>
        <v/>
      </c>
      <c r="CK100" s="989" t="str">
        <f t="shared" si="245"/>
        <v/>
      </c>
      <c r="CL100" s="989" t="str">
        <f t="shared" si="245"/>
        <v/>
      </c>
      <c r="CM100" s="988" t="str">
        <f t="shared" si="245"/>
        <v/>
      </c>
      <c r="CN100" s="533" t="str">
        <f t="shared" si="246"/>
        <v/>
      </c>
      <c r="CO100" s="534" t="str">
        <f t="shared" si="247"/>
        <v/>
      </c>
      <c r="CP100" s="535" t="str">
        <f t="shared" si="248"/>
        <v/>
      </c>
      <c r="CQ100" s="535" t="str">
        <f t="shared" si="249"/>
        <v/>
      </c>
      <c r="CR100" s="535" t="str">
        <f t="shared" si="250"/>
        <v/>
      </c>
      <c r="CS100" s="535" t="str">
        <f t="shared" si="251"/>
        <v/>
      </c>
      <c r="CT100" s="535" t="str">
        <f t="shared" si="252"/>
        <v/>
      </c>
      <c r="CU100" s="536" t="str">
        <f t="shared" si="253"/>
        <v/>
      </c>
      <c r="CV100" s="536" t="str">
        <f t="shared" si="254"/>
        <v/>
      </c>
      <c r="CW100" s="536" t="str">
        <f t="shared" si="255"/>
        <v/>
      </c>
      <c r="CX100" s="535" t="str">
        <f t="shared" si="256"/>
        <v/>
      </c>
      <c r="CY100" s="535" t="str">
        <f t="shared" si="257"/>
        <v/>
      </c>
      <c r="CZ100" s="535" t="str">
        <f t="shared" si="258"/>
        <v/>
      </c>
      <c r="DA100" s="535" t="str">
        <f t="shared" si="259"/>
        <v/>
      </c>
      <c r="DB100" s="535" t="str">
        <f t="shared" si="260"/>
        <v/>
      </c>
      <c r="DC100" s="534" t="str">
        <f t="shared" si="261"/>
        <v/>
      </c>
      <c r="DD100" s="533" t="str">
        <f t="shared" si="262"/>
        <v/>
      </c>
      <c r="DE100" s="583">
        <f t="shared" si="263"/>
        <v>0</v>
      </c>
      <c r="DF100" s="97">
        <f t="shared" si="264"/>
        <v>0</v>
      </c>
      <c r="DG100" s="97">
        <f t="shared" si="265"/>
        <v>0</v>
      </c>
      <c r="DH100" s="97">
        <f t="shared" si="266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67"/>
        <v/>
      </c>
      <c r="CA101" s="582" t="str">
        <f t="shared" si="268"/>
        <v/>
      </c>
      <c r="CB101" s="582" t="str">
        <f t="shared" si="269"/>
        <v/>
      </c>
      <c r="CC101" s="582" t="str">
        <f t="shared" si="270"/>
        <v/>
      </c>
      <c r="CD101" s="988" t="str">
        <f t="shared" si="245"/>
        <v/>
      </c>
      <c r="CE101" s="989" t="str">
        <f t="shared" si="245"/>
        <v/>
      </c>
      <c r="CF101" s="989" t="str">
        <f t="shared" si="245"/>
        <v/>
      </c>
      <c r="CG101" s="989" t="str">
        <f t="shared" si="245"/>
        <v/>
      </c>
      <c r="CH101" s="990" t="str">
        <f t="shared" si="245"/>
        <v/>
      </c>
      <c r="CI101" s="990" t="str">
        <f t="shared" si="245"/>
        <v/>
      </c>
      <c r="CJ101" s="989" t="str">
        <f t="shared" si="245"/>
        <v/>
      </c>
      <c r="CK101" s="989" t="str">
        <f t="shared" si="245"/>
        <v/>
      </c>
      <c r="CL101" s="989" t="str">
        <f t="shared" si="245"/>
        <v/>
      </c>
      <c r="CM101" s="988" t="str">
        <f t="shared" si="245"/>
        <v/>
      </c>
      <c r="CN101" s="533" t="str">
        <f t="shared" si="246"/>
        <v/>
      </c>
      <c r="CO101" s="534" t="str">
        <f t="shared" si="247"/>
        <v/>
      </c>
      <c r="CP101" s="535" t="str">
        <f t="shared" si="248"/>
        <v/>
      </c>
      <c r="CQ101" s="535" t="str">
        <f t="shared" si="249"/>
        <v/>
      </c>
      <c r="CR101" s="535" t="str">
        <f t="shared" si="250"/>
        <v/>
      </c>
      <c r="CS101" s="535" t="str">
        <f t="shared" si="251"/>
        <v/>
      </c>
      <c r="CT101" s="535" t="str">
        <f t="shared" si="252"/>
        <v/>
      </c>
      <c r="CU101" s="536" t="str">
        <f t="shared" si="253"/>
        <v/>
      </c>
      <c r="CV101" s="536" t="str">
        <f t="shared" si="254"/>
        <v/>
      </c>
      <c r="CW101" s="536" t="str">
        <f t="shared" si="255"/>
        <v/>
      </c>
      <c r="CX101" s="535" t="str">
        <f t="shared" si="256"/>
        <v/>
      </c>
      <c r="CY101" s="535" t="str">
        <f t="shared" si="257"/>
        <v/>
      </c>
      <c r="CZ101" s="535" t="str">
        <f t="shared" si="258"/>
        <v/>
      </c>
      <c r="DA101" s="535" t="str">
        <f t="shared" si="259"/>
        <v/>
      </c>
      <c r="DB101" s="535" t="str">
        <f t="shared" si="260"/>
        <v/>
      </c>
      <c r="DC101" s="534" t="str">
        <f t="shared" si="261"/>
        <v/>
      </c>
      <c r="DD101" s="533" t="str">
        <f t="shared" si="262"/>
        <v/>
      </c>
      <c r="DE101" s="583">
        <f t="shared" si="263"/>
        <v>0</v>
      </c>
      <c r="DF101" s="97">
        <f t="shared" si="264"/>
        <v>0</v>
      </c>
      <c r="DG101" s="97">
        <f t="shared" si="265"/>
        <v>0</v>
      </c>
      <c r="DH101" s="97">
        <f t="shared" si="266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67"/>
        <v/>
      </c>
      <c r="CA102" s="582" t="str">
        <f t="shared" si="268"/>
        <v/>
      </c>
      <c r="CB102" s="582" t="str">
        <f t="shared" si="269"/>
        <v/>
      </c>
      <c r="CC102" s="582" t="str">
        <f t="shared" si="270"/>
        <v/>
      </c>
      <c r="CD102" s="988" t="str">
        <f t="shared" si="245"/>
        <v/>
      </c>
      <c r="CE102" s="989" t="str">
        <f t="shared" si="245"/>
        <v/>
      </c>
      <c r="CF102" s="989" t="str">
        <f t="shared" si="245"/>
        <v/>
      </c>
      <c r="CG102" s="989" t="str">
        <f t="shared" si="245"/>
        <v/>
      </c>
      <c r="CH102" s="990" t="str">
        <f t="shared" si="245"/>
        <v/>
      </c>
      <c r="CI102" s="990" t="str">
        <f t="shared" si="245"/>
        <v/>
      </c>
      <c r="CJ102" s="989" t="str">
        <f t="shared" si="245"/>
        <v/>
      </c>
      <c r="CK102" s="989" t="str">
        <f t="shared" si="245"/>
        <v/>
      </c>
      <c r="CL102" s="989" t="str">
        <f t="shared" si="245"/>
        <v/>
      </c>
      <c r="CM102" s="988" t="str">
        <f t="shared" si="245"/>
        <v/>
      </c>
      <c r="CN102" s="533" t="str">
        <f t="shared" si="246"/>
        <v/>
      </c>
      <c r="CO102" s="534" t="str">
        <f t="shared" si="247"/>
        <v/>
      </c>
      <c r="CP102" s="535" t="str">
        <f t="shared" si="248"/>
        <v/>
      </c>
      <c r="CQ102" s="535" t="str">
        <f t="shared" si="249"/>
        <v/>
      </c>
      <c r="CR102" s="535" t="str">
        <f t="shared" si="250"/>
        <v/>
      </c>
      <c r="CS102" s="535" t="str">
        <f t="shared" si="251"/>
        <v/>
      </c>
      <c r="CT102" s="535" t="str">
        <f t="shared" si="252"/>
        <v/>
      </c>
      <c r="CU102" s="536" t="str">
        <f t="shared" si="253"/>
        <v/>
      </c>
      <c r="CV102" s="536" t="str">
        <f t="shared" si="254"/>
        <v/>
      </c>
      <c r="CW102" s="536" t="str">
        <f t="shared" si="255"/>
        <v/>
      </c>
      <c r="CX102" s="535" t="str">
        <f t="shared" si="256"/>
        <v/>
      </c>
      <c r="CY102" s="535" t="str">
        <f t="shared" si="257"/>
        <v/>
      </c>
      <c r="CZ102" s="535" t="str">
        <f t="shared" si="258"/>
        <v/>
      </c>
      <c r="DA102" s="535" t="str">
        <f t="shared" si="259"/>
        <v/>
      </c>
      <c r="DB102" s="535" t="str">
        <f t="shared" si="260"/>
        <v/>
      </c>
      <c r="DC102" s="534" t="str">
        <f t="shared" si="261"/>
        <v/>
      </c>
      <c r="DD102" s="533" t="str">
        <f t="shared" si="262"/>
        <v/>
      </c>
      <c r="DE102" s="583">
        <f t="shared" si="263"/>
        <v>0</v>
      </c>
      <c r="DF102" s="97">
        <f t="shared" si="264"/>
        <v>0</v>
      </c>
      <c r="DG102" s="97">
        <f t="shared" si="265"/>
        <v>0</v>
      </c>
      <c r="DH102" s="97">
        <f t="shared" si="266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67"/>
        <v/>
      </c>
      <c r="CA103" s="582" t="str">
        <f t="shared" si="268"/>
        <v/>
      </c>
      <c r="CB103" s="582" t="str">
        <f t="shared" si="269"/>
        <v/>
      </c>
      <c r="CC103" s="582" t="str">
        <f t="shared" si="270"/>
        <v/>
      </c>
      <c r="CD103" s="988" t="str">
        <f t="shared" si="245"/>
        <v/>
      </c>
      <c r="CE103" s="989" t="str">
        <f t="shared" si="245"/>
        <v/>
      </c>
      <c r="CF103" s="989" t="str">
        <f t="shared" si="245"/>
        <v/>
      </c>
      <c r="CG103" s="989" t="str">
        <f t="shared" si="245"/>
        <v/>
      </c>
      <c r="CH103" s="990" t="str">
        <f t="shared" si="245"/>
        <v/>
      </c>
      <c r="CI103" s="990" t="str">
        <f t="shared" si="245"/>
        <v/>
      </c>
      <c r="CJ103" s="989" t="str">
        <f t="shared" si="245"/>
        <v/>
      </c>
      <c r="CK103" s="989" t="str">
        <f t="shared" si="245"/>
        <v/>
      </c>
      <c r="CL103" s="989" t="str">
        <f t="shared" si="245"/>
        <v/>
      </c>
      <c r="CM103" s="988" t="str">
        <f t="shared" si="245"/>
        <v/>
      </c>
      <c r="CN103" s="533" t="str">
        <f t="shared" si="246"/>
        <v/>
      </c>
      <c r="CO103" s="534" t="str">
        <f t="shared" si="247"/>
        <v/>
      </c>
      <c r="CP103" s="535" t="str">
        <f t="shared" si="248"/>
        <v/>
      </c>
      <c r="CQ103" s="535" t="str">
        <f t="shared" si="249"/>
        <v/>
      </c>
      <c r="CR103" s="535" t="str">
        <f t="shared" si="250"/>
        <v/>
      </c>
      <c r="CS103" s="535" t="str">
        <f t="shared" si="251"/>
        <v/>
      </c>
      <c r="CT103" s="535" t="str">
        <f t="shared" si="252"/>
        <v/>
      </c>
      <c r="CU103" s="536" t="str">
        <f t="shared" si="253"/>
        <v/>
      </c>
      <c r="CV103" s="536" t="str">
        <f t="shared" si="254"/>
        <v/>
      </c>
      <c r="CW103" s="536" t="str">
        <f t="shared" si="255"/>
        <v/>
      </c>
      <c r="CX103" s="535" t="str">
        <f t="shared" si="256"/>
        <v/>
      </c>
      <c r="CY103" s="535" t="str">
        <f t="shared" si="257"/>
        <v/>
      </c>
      <c r="CZ103" s="535" t="str">
        <f t="shared" si="258"/>
        <v/>
      </c>
      <c r="DA103" s="535" t="str">
        <f t="shared" si="259"/>
        <v/>
      </c>
      <c r="DB103" s="535" t="str">
        <f t="shared" si="260"/>
        <v/>
      </c>
      <c r="DC103" s="534" t="str">
        <f t="shared" si="261"/>
        <v/>
      </c>
      <c r="DD103" s="533" t="str">
        <f t="shared" si="262"/>
        <v/>
      </c>
      <c r="DE103" s="635">
        <f t="shared" si="263"/>
        <v>0</v>
      </c>
      <c r="DF103" s="95">
        <f t="shared" si="264"/>
        <v>0</v>
      </c>
      <c r="DG103" s="95">
        <f t="shared" si="265"/>
        <v>0</v>
      </c>
      <c r="DH103" s="95">
        <f t="shared" si="266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79">IF(B103="","",B$93*B102*B103)</f>
        <v/>
      </c>
      <c r="C104" s="592" t="str">
        <f t="shared" si="279"/>
        <v/>
      </c>
      <c r="D104" s="592" t="str">
        <f t="shared" si="279"/>
        <v/>
      </c>
      <c r="E104" s="592" t="str">
        <f t="shared" si="279"/>
        <v/>
      </c>
      <c r="F104" s="592" t="str">
        <f t="shared" si="279"/>
        <v/>
      </c>
      <c r="G104" s="592" t="str">
        <f t="shared" si="279"/>
        <v/>
      </c>
      <c r="H104" s="592" t="str">
        <f t="shared" si="279"/>
        <v/>
      </c>
      <c r="I104" s="592" t="str">
        <f t="shared" si="279"/>
        <v/>
      </c>
      <c r="J104" s="592" t="str">
        <f t="shared" si="279"/>
        <v/>
      </c>
      <c r="K104" s="592" t="str">
        <f t="shared" si="279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0">IF(T103="","",T$93*T102*T103)</f>
        <v/>
      </c>
      <c r="U104" s="592" t="str">
        <f t="shared" si="280"/>
        <v/>
      </c>
      <c r="V104" s="592" t="str">
        <f t="shared" si="280"/>
        <v/>
      </c>
      <c r="W104" s="592" t="str">
        <f t="shared" si="280"/>
        <v/>
      </c>
      <c r="X104" s="592" t="str">
        <f t="shared" si="280"/>
        <v/>
      </c>
      <c r="Y104" s="592" t="str">
        <f t="shared" si="280"/>
        <v/>
      </c>
      <c r="Z104" s="592" t="str">
        <f t="shared" si="280"/>
        <v/>
      </c>
      <c r="AA104" s="592" t="str">
        <f t="shared" si="280"/>
        <v/>
      </c>
      <c r="AB104" s="592" t="str">
        <f t="shared" si="280"/>
        <v/>
      </c>
      <c r="AC104" s="592" t="str">
        <f t="shared" si="280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1">IF(AL103="","",AL$93*AL102*AL103)</f>
        <v/>
      </c>
      <c r="AM104" s="592" t="str">
        <f t="shared" si="281"/>
        <v/>
      </c>
      <c r="AN104" s="592" t="str">
        <f t="shared" si="281"/>
        <v/>
      </c>
      <c r="AO104" s="592" t="str">
        <f t="shared" si="281"/>
        <v/>
      </c>
      <c r="AP104" s="592" t="str">
        <f t="shared" si="281"/>
        <v/>
      </c>
      <c r="AQ104" s="592" t="str">
        <f t="shared" si="281"/>
        <v/>
      </c>
      <c r="AR104" s="592" t="str">
        <f t="shared" si="281"/>
        <v/>
      </c>
      <c r="AS104" s="592" t="str">
        <f t="shared" si="281"/>
        <v/>
      </c>
      <c r="AT104" s="592" t="str">
        <f t="shared" si="281"/>
        <v/>
      </c>
      <c r="AU104" s="592" t="str">
        <f t="shared" si="281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2">IF(BD103="","",BD$93*BD102*BD103)</f>
        <v/>
      </c>
      <c r="BE104" s="1195" t="str">
        <f t="shared" si="282"/>
        <v/>
      </c>
      <c r="BF104" s="1195" t="str">
        <f t="shared" si="282"/>
        <v/>
      </c>
      <c r="BG104" s="1195" t="str">
        <f t="shared" si="282"/>
        <v/>
      </c>
      <c r="BH104" s="1195" t="str">
        <f t="shared" si="282"/>
        <v/>
      </c>
      <c r="BI104" s="1195" t="str">
        <f t="shared" si="282"/>
        <v/>
      </c>
      <c r="BJ104" s="1195" t="str">
        <f t="shared" si="282"/>
        <v/>
      </c>
      <c r="BK104" s="1195" t="str">
        <f t="shared" si="282"/>
        <v/>
      </c>
      <c r="BL104" s="1195" t="str">
        <f t="shared" si="282"/>
        <v/>
      </c>
      <c r="BM104" s="1195" t="str">
        <f t="shared" si="282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67"/>
        <v/>
      </c>
      <c r="CA104" s="582" t="str">
        <f t="shared" si="268"/>
        <v/>
      </c>
      <c r="CB104" s="582" t="str">
        <f t="shared" si="269"/>
        <v/>
      </c>
      <c r="CC104" s="582" t="str">
        <f t="shared" si="270"/>
        <v/>
      </c>
      <c r="CD104" s="988" t="str">
        <f t="shared" si="245"/>
        <v/>
      </c>
      <c r="CE104" s="989" t="str">
        <f t="shared" si="245"/>
        <v/>
      </c>
      <c r="CF104" s="989" t="str">
        <f t="shared" si="245"/>
        <v/>
      </c>
      <c r="CG104" s="989" t="str">
        <f t="shared" si="245"/>
        <v/>
      </c>
      <c r="CH104" s="990" t="str">
        <f t="shared" si="245"/>
        <v/>
      </c>
      <c r="CI104" s="990" t="str">
        <f t="shared" si="245"/>
        <v/>
      </c>
      <c r="CJ104" s="989" t="str">
        <f t="shared" si="245"/>
        <v/>
      </c>
      <c r="CK104" s="989" t="str">
        <f t="shared" si="245"/>
        <v/>
      </c>
      <c r="CL104" s="989" t="str">
        <f t="shared" si="245"/>
        <v/>
      </c>
      <c r="CM104" s="988" t="str">
        <f t="shared" si="245"/>
        <v/>
      </c>
      <c r="CN104" s="533" t="str">
        <f t="shared" si="246"/>
        <v/>
      </c>
      <c r="CO104" s="534" t="str">
        <f t="shared" si="247"/>
        <v/>
      </c>
      <c r="CP104" s="535" t="str">
        <f t="shared" si="248"/>
        <v/>
      </c>
      <c r="CQ104" s="535" t="str">
        <f t="shared" si="249"/>
        <v/>
      </c>
      <c r="CR104" s="535" t="str">
        <f t="shared" si="250"/>
        <v/>
      </c>
      <c r="CS104" s="535" t="str">
        <f t="shared" si="251"/>
        <v/>
      </c>
      <c r="CT104" s="535" t="str">
        <f t="shared" si="252"/>
        <v/>
      </c>
      <c r="CU104" s="536" t="str">
        <f t="shared" si="253"/>
        <v/>
      </c>
      <c r="CV104" s="536" t="str">
        <f t="shared" si="254"/>
        <v/>
      </c>
      <c r="CW104" s="536" t="str">
        <f t="shared" si="255"/>
        <v/>
      </c>
      <c r="CX104" s="535" t="str">
        <f t="shared" si="256"/>
        <v/>
      </c>
      <c r="CY104" s="535" t="str">
        <f t="shared" si="257"/>
        <v/>
      </c>
      <c r="CZ104" s="535" t="str">
        <f t="shared" si="258"/>
        <v/>
      </c>
      <c r="DA104" s="535" t="str">
        <f t="shared" si="259"/>
        <v/>
      </c>
      <c r="DB104" s="535" t="str">
        <f t="shared" si="260"/>
        <v/>
      </c>
      <c r="DC104" s="534" t="str">
        <f t="shared" si="261"/>
        <v/>
      </c>
      <c r="DD104" s="533" t="str">
        <f t="shared" si="262"/>
        <v/>
      </c>
      <c r="DE104" s="635">
        <f t="shared" si="263"/>
        <v>0</v>
      </c>
      <c r="DF104" s="95">
        <f t="shared" si="264"/>
        <v>0</v>
      </c>
      <c r="DG104" s="95">
        <f t="shared" si="265"/>
        <v>0</v>
      </c>
      <c r="DH104" s="95">
        <f t="shared" si="266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67"/>
        <v/>
      </c>
      <c r="CA105" s="582" t="str">
        <f t="shared" si="268"/>
        <v/>
      </c>
      <c r="CB105" s="582" t="str">
        <f t="shared" si="269"/>
        <v/>
      </c>
      <c r="CC105" s="582" t="str">
        <f t="shared" si="270"/>
        <v/>
      </c>
      <c r="CD105" s="988" t="str">
        <f t="shared" si="245"/>
        <v/>
      </c>
      <c r="CE105" s="989" t="str">
        <f t="shared" si="245"/>
        <v/>
      </c>
      <c r="CF105" s="989" t="str">
        <f t="shared" si="245"/>
        <v/>
      </c>
      <c r="CG105" s="989" t="str">
        <f t="shared" si="245"/>
        <v/>
      </c>
      <c r="CH105" s="990" t="str">
        <f t="shared" si="245"/>
        <v/>
      </c>
      <c r="CI105" s="990" t="str">
        <f t="shared" si="245"/>
        <v/>
      </c>
      <c r="CJ105" s="989" t="str">
        <f t="shared" si="245"/>
        <v/>
      </c>
      <c r="CK105" s="989" t="str">
        <f t="shared" si="245"/>
        <v/>
      </c>
      <c r="CL105" s="989" t="str">
        <f t="shared" si="245"/>
        <v/>
      </c>
      <c r="CM105" s="988" t="str">
        <f t="shared" si="245"/>
        <v/>
      </c>
      <c r="CN105" s="533" t="str">
        <f t="shared" si="246"/>
        <v/>
      </c>
      <c r="CO105" s="534" t="str">
        <f t="shared" si="247"/>
        <v/>
      </c>
      <c r="CP105" s="535" t="str">
        <f t="shared" si="248"/>
        <v/>
      </c>
      <c r="CQ105" s="535" t="str">
        <f t="shared" si="249"/>
        <v/>
      </c>
      <c r="CR105" s="535" t="str">
        <f t="shared" si="250"/>
        <v/>
      </c>
      <c r="CS105" s="535" t="str">
        <f t="shared" si="251"/>
        <v/>
      </c>
      <c r="CT105" s="535" t="str">
        <f t="shared" si="252"/>
        <v/>
      </c>
      <c r="CU105" s="536" t="str">
        <f t="shared" si="253"/>
        <v/>
      </c>
      <c r="CV105" s="536" t="str">
        <f t="shared" si="254"/>
        <v/>
      </c>
      <c r="CW105" s="536" t="str">
        <f t="shared" si="255"/>
        <v/>
      </c>
      <c r="CX105" s="535" t="str">
        <f t="shared" si="256"/>
        <v/>
      </c>
      <c r="CY105" s="535" t="str">
        <f t="shared" si="257"/>
        <v/>
      </c>
      <c r="CZ105" s="535" t="str">
        <f t="shared" si="258"/>
        <v/>
      </c>
      <c r="DA105" s="535" t="str">
        <f t="shared" si="259"/>
        <v/>
      </c>
      <c r="DB105" s="535" t="str">
        <f t="shared" si="260"/>
        <v/>
      </c>
      <c r="DC105" s="534" t="str">
        <f t="shared" si="261"/>
        <v/>
      </c>
      <c r="DD105" s="533" t="str">
        <f t="shared" si="262"/>
        <v/>
      </c>
      <c r="DE105" s="635">
        <f t="shared" si="263"/>
        <v>0</v>
      </c>
      <c r="DF105" s="95">
        <f t="shared" si="264"/>
        <v>0</v>
      </c>
      <c r="DG105" s="95">
        <f t="shared" si="265"/>
        <v>0</v>
      </c>
      <c r="DH105" s="95">
        <f t="shared" si="266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67"/>
        <v/>
      </c>
      <c r="CA106" s="582" t="str">
        <f t="shared" si="268"/>
        <v/>
      </c>
      <c r="CB106" s="582" t="str">
        <f t="shared" si="269"/>
        <v/>
      </c>
      <c r="CC106" s="582" t="str">
        <f t="shared" si="270"/>
        <v/>
      </c>
      <c r="CD106" s="988" t="str">
        <f t="shared" si="245"/>
        <v/>
      </c>
      <c r="CE106" s="989" t="str">
        <f t="shared" si="245"/>
        <v/>
      </c>
      <c r="CF106" s="989" t="str">
        <f t="shared" si="245"/>
        <v/>
      </c>
      <c r="CG106" s="989" t="str">
        <f t="shared" si="245"/>
        <v/>
      </c>
      <c r="CH106" s="990" t="str">
        <f t="shared" si="245"/>
        <v/>
      </c>
      <c r="CI106" s="990" t="str">
        <f t="shared" si="245"/>
        <v/>
      </c>
      <c r="CJ106" s="989" t="str">
        <f t="shared" si="245"/>
        <v/>
      </c>
      <c r="CK106" s="989" t="str">
        <f t="shared" si="245"/>
        <v/>
      </c>
      <c r="CL106" s="989" t="str">
        <f t="shared" si="245"/>
        <v/>
      </c>
      <c r="CM106" s="988" t="str">
        <f t="shared" si="245"/>
        <v/>
      </c>
      <c r="CN106" s="533" t="str">
        <f t="shared" si="246"/>
        <v/>
      </c>
      <c r="CO106" s="534" t="str">
        <f t="shared" si="247"/>
        <v/>
      </c>
      <c r="CP106" s="535" t="str">
        <f t="shared" si="248"/>
        <v/>
      </c>
      <c r="CQ106" s="535" t="str">
        <f t="shared" si="249"/>
        <v/>
      </c>
      <c r="CR106" s="535" t="str">
        <f t="shared" si="250"/>
        <v/>
      </c>
      <c r="CS106" s="535" t="str">
        <f t="shared" si="251"/>
        <v/>
      </c>
      <c r="CT106" s="535" t="str">
        <f t="shared" si="252"/>
        <v/>
      </c>
      <c r="CU106" s="536" t="str">
        <f t="shared" si="253"/>
        <v/>
      </c>
      <c r="CV106" s="536" t="str">
        <f t="shared" si="254"/>
        <v/>
      </c>
      <c r="CW106" s="536" t="str">
        <f t="shared" si="255"/>
        <v/>
      </c>
      <c r="CX106" s="535" t="str">
        <f t="shared" si="256"/>
        <v/>
      </c>
      <c r="CY106" s="535" t="str">
        <f t="shared" si="257"/>
        <v/>
      </c>
      <c r="CZ106" s="535" t="str">
        <f t="shared" si="258"/>
        <v/>
      </c>
      <c r="DA106" s="535" t="str">
        <f t="shared" si="259"/>
        <v/>
      </c>
      <c r="DB106" s="535" t="str">
        <f t="shared" si="260"/>
        <v/>
      </c>
      <c r="DC106" s="534" t="str">
        <f t="shared" si="261"/>
        <v/>
      </c>
      <c r="DD106" s="533" t="str">
        <f t="shared" si="262"/>
        <v/>
      </c>
      <c r="DE106" s="635">
        <f t="shared" si="263"/>
        <v>0</v>
      </c>
      <c r="DF106" s="95">
        <f t="shared" si="264"/>
        <v>0</v>
      </c>
      <c r="DG106" s="95">
        <f t="shared" si="265"/>
        <v>0</v>
      </c>
      <c r="DH106" s="95">
        <f t="shared" si="266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3">IF(B105="","",B105*B106)</f>
        <v/>
      </c>
      <c r="C107" s="591" t="str">
        <f t="shared" si="283"/>
        <v/>
      </c>
      <c r="D107" s="591" t="str">
        <f t="shared" si="283"/>
        <v/>
      </c>
      <c r="E107" s="591" t="str">
        <f t="shared" si="283"/>
        <v/>
      </c>
      <c r="F107" s="591" t="str">
        <f t="shared" si="283"/>
        <v/>
      </c>
      <c r="G107" s="591" t="str">
        <f t="shared" si="283"/>
        <v/>
      </c>
      <c r="H107" s="591" t="str">
        <f t="shared" si="283"/>
        <v/>
      </c>
      <c r="I107" s="591" t="str">
        <f t="shared" si="283"/>
        <v/>
      </c>
      <c r="J107" s="591" t="str">
        <f t="shared" si="283"/>
        <v/>
      </c>
      <c r="K107" s="591" t="str">
        <f t="shared" si="283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84">IF(T105="","",T105*T106)</f>
        <v/>
      </c>
      <c r="U107" s="591" t="str">
        <f t="shared" si="284"/>
        <v/>
      </c>
      <c r="V107" s="591" t="str">
        <f t="shared" si="284"/>
        <v/>
      </c>
      <c r="W107" s="591" t="str">
        <f t="shared" si="284"/>
        <v/>
      </c>
      <c r="X107" s="591" t="str">
        <f t="shared" si="284"/>
        <v/>
      </c>
      <c r="Y107" s="591" t="str">
        <f t="shared" si="284"/>
        <v/>
      </c>
      <c r="Z107" s="591" t="str">
        <f t="shared" si="284"/>
        <v/>
      </c>
      <c r="AA107" s="591" t="str">
        <f t="shared" si="284"/>
        <v/>
      </c>
      <c r="AB107" s="591" t="str">
        <f t="shared" si="284"/>
        <v/>
      </c>
      <c r="AC107" s="591" t="str">
        <f t="shared" si="284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85">IF(AL105="","",AL105*AL106)</f>
        <v/>
      </c>
      <c r="AM107" s="591" t="str">
        <f t="shared" si="285"/>
        <v/>
      </c>
      <c r="AN107" s="591" t="str">
        <f t="shared" si="285"/>
        <v/>
      </c>
      <c r="AO107" s="591" t="str">
        <f t="shared" si="285"/>
        <v/>
      </c>
      <c r="AP107" s="591" t="str">
        <f t="shared" si="285"/>
        <v/>
      </c>
      <c r="AQ107" s="591" t="str">
        <f t="shared" si="285"/>
        <v/>
      </c>
      <c r="AR107" s="591" t="str">
        <f t="shared" si="285"/>
        <v/>
      </c>
      <c r="AS107" s="591" t="str">
        <f t="shared" si="285"/>
        <v/>
      </c>
      <c r="AT107" s="591" t="str">
        <f t="shared" si="285"/>
        <v/>
      </c>
      <c r="AU107" s="591" t="str">
        <f t="shared" si="285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86">IF(BD105="","",BD105*BD106)</f>
        <v/>
      </c>
      <c r="BE107" s="1194" t="str">
        <f t="shared" si="286"/>
        <v/>
      </c>
      <c r="BF107" s="1194" t="str">
        <f t="shared" si="286"/>
        <v/>
      </c>
      <c r="BG107" s="1194" t="str">
        <f t="shared" si="286"/>
        <v/>
      </c>
      <c r="BH107" s="1194" t="str">
        <f t="shared" si="286"/>
        <v/>
      </c>
      <c r="BI107" s="1194" t="str">
        <f t="shared" si="286"/>
        <v/>
      </c>
      <c r="BJ107" s="1194" t="str">
        <f t="shared" si="286"/>
        <v/>
      </c>
      <c r="BK107" s="1194" t="str">
        <f t="shared" si="286"/>
        <v/>
      </c>
      <c r="BL107" s="1194" t="str">
        <f t="shared" si="286"/>
        <v/>
      </c>
      <c r="BM107" s="1194" t="str">
        <f t="shared" si="286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67"/>
        <v/>
      </c>
      <c r="CA107" s="582" t="str">
        <f t="shared" si="268"/>
        <v/>
      </c>
      <c r="CB107" s="582" t="str">
        <f t="shared" si="269"/>
        <v/>
      </c>
      <c r="CC107" s="582" t="str">
        <f t="shared" si="270"/>
        <v/>
      </c>
      <c r="CD107" s="988" t="str">
        <f t="shared" si="245"/>
        <v/>
      </c>
      <c r="CE107" s="989" t="str">
        <f t="shared" si="245"/>
        <v/>
      </c>
      <c r="CF107" s="989" t="str">
        <f t="shared" si="245"/>
        <v/>
      </c>
      <c r="CG107" s="989" t="str">
        <f t="shared" si="245"/>
        <v/>
      </c>
      <c r="CH107" s="990" t="str">
        <f t="shared" si="245"/>
        <v/>
      </c>
      <c r="CI107" s="990" t="str">
        <f t="shared" si="245"/>
        <v/>
      </c>
      <c r="CJ107" s="989" t="str">
        <f t="shared" si="245"/>
        <v/>
      </c>
      <c r="CK107" s="989" t="str">
        <f t="shared" si="245"/>
        <v/>
      </c>
      <c r="CL107" s="989" t="str">
        <f t="shared" si="245"/>
        <v/>
      </c>
      <c r="CM107" s="988" t="str">
        <f t="shared" si="245"/>
        <v/>
      </c>
      <c r="CN107" s="533" t="str">
        <f t="shared" si="246"/>
        <v/>
      </c>
      <c r="CO107" s="534" t="str">
        <f t="shared" si="247"/>
        <v/>
      </c>
      <c r="CP107" s="535" t="str">
        <f t="shared" si="248"/>
        <v/>
      </c>
      <c r="CQ107" s="535" t="str">
        <f t="shared" si="249"/>
        <v/>
      </c>
      <c r="CR107" s="535" t="str">
        <f t="shared" si="250"/>
        <v/>
      </c>
      <c r="CS107" s="535" t="str">
        <f t="shared" si="251"/>
        <v/>
      </c>
      <c r="CT107" s="535" t="str">
        <f t="shared" si="252"/>
        <v/>
      </c>
      <c r="CU107" s="536" t="str">
        <f t="shared" si="253"/>
        <v/>
      </c>
      <c r="CV107" s="536" t="str">
        <f t="shared" si="254"/>
        <v/>
      </c>
      <c r="CW107" s="536" t="str">
        <f t="shared" si="255"/>
        <v/>
      </c>
      <c r="CX107" s="535" t="str">
        <f t="shared" si="256"/>
        <v/>
      </c>
      <c r="CY107" s="535" t="str">
        <f t="shared" si="257"/>
        <v/>
      </c>
      <c r="CZ107" s="535" t="str">
        <f t="shared" si="258"/>
        <v/>
      </c>
      <c r="DA107" s="535" t="str">
        <f t="shared" si="259"/>
        <v/>
      </c>
      <c r="DB107" s="535" t="str">
        <f t="shared" si="260"/>
        <v/>
      </c>
      <c r="DC107" s="534" t="str">
        <f t="shared" si="261"/>
        <v/>
      </c>
      <c r="DD107" s="533" t="str">
        <f t="shared" si="262"/>
        <v/>
      </c>
      <c r="DE107" s="635">
        <f t="shared" si="263"/>
        <v>0</v>
      </c>
      <c r="DF107" s="95">
        <f t="shared" si="264"/>
        <v>0</v>
      </c>
      <c r="DG107" s="95">
        <f t="shared" si="265"/>
        <v>0</v>
      </c>
      <c r="DH107" s="95">
        <f t="shared" si="266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67"/>
        <v>1</v>
      </c>
      <c r="CA108" s="582">
        <f t="shared" si="268"/>
        <v>1</v>
      </c>
      <c r="CB108" s="582">
        <f t="shared" si="269"/>
        <v>1</v>
      </c>
      <c r="CC108" s="582">
        <f t="shared" si="270"/>
        <v>1</v>
      </c>
      <c r="CD108" s="988">
        <f t="shared" si="245"/>
        <v>1</v>
      </c>
      <c r="CE108" s="989">
        <f t="shared" si="245"/>
        <v>1</v>
      </c>
      <c r="CF108" s="989">
        <f t="shared" si="245"/>
        <v>1</v>
      </c>
      <c r="CG108" s="989">
        <f t="shared" si="245"/>
        <v>1</v>
      </c>
      <c r="CH108" s="990">
        <f t="shared" si="245"/>
        <v>1</v>
      </c>
      <c r="CI108" s="990">
        <f t="shared" si="245"/>
        <v>1</v>
      </c>
      <c r="CJ108" s="989">
        <f t="shared" si="245"/>
        <v>1</v>
      </c>
      <c r="CK108" s="989">
        <f t="shared" si="245"/>
        <v>1</v>
      </c>
      <c r="CL108" s="989">
        <f t="shared" si="245"/>
        <v>1</v>
      </c>
      <c r="CM108" s="988">
        <f t="shared" si="245"/>
        <v>1</v>
      </c>
      <c r="CN108" s="533" t="str">
        <f t="shared" si="246"/>
        <v/>
      </c>
      <c r="CO108" s="534" t="str">
        <f t="shared" si="247"/>
        <v/>
      </c>
      <c r="CP108" s="535" t="str">
        <f t="shared" si="248"/>
        <v/>
      </c>
      <c r="CQ108" s="535" t="str">
        <f t="shared" si="249"/>
        <v/>
      </c>
      <c r="CR108" s="535">
        <f t="shared" si="250"/>
        <v>1</v>
      </c>
      <c r="CS108" s="535">
        <f t="shared" si="251"/>
        <v>1</v>
      </c>
      <c r="CT108" s="535">
        <f t="shared" si="252"/>
        <v>1</v>
      </c>
      <c r="CU108" s="536">
        <f t="shared" si="253"/>
        <v>1</v>
      </c>
      <c r="CV108" s="536">
        <f t="shared" si="254"/>
        <v>1</v>
      </c>
      <c r="CW108" s="536">
        <f t="shared" si="255"/>
        <v>1</v>
      </c>
      <c r="CX108" s="535">
        <f t="shared" si="256"/>
        <v>1</v>
      </c>
      <c r="CY108" s="535">
        <f t="shared" si="257"/>
        <v>1</v>
      </c>
      <c r="CZ108" s="535">
        <f t="shared" si="258"/>
        <v>1</v>
      </c>
      <c r="DA108" s="535">
        <f t="shared" si="259"/>
        <v>1</v>
      </c>
      <c r="DB108" s="535" t="str">
        <f t="shared" si="260"/>
        <v/>
      </c>
      <c r="DC108" s="534" t="str">
        <f t="shared" si="261"/>
        <v/>
      </c>
      <c r="DD108" s="533" t="str">
        <f t="shared" si="262"/>
        <v/>
      </c>
      <c r="DE108" s="635">
        <f t="shared" si="263"/>
        <v>10</v>
      </c>
      <c r="DF108" s="95">
        <f t="shared" si="264"/>
        <v>10</v>
      </c>
      <c r="DG108" s="95">
        <f t="shared" si="265"/>
        <v>10</v>
      </c>
      <c r="DH108" s="95">
        <f t="shared" si="266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67"/>
        <v/>
      </c>
      <c r="CA109" s="582" t="str">
        <f t="shared" si="268"/>
        <v/>
      </c>
      <c r="CB109" s="582" t="str">
        <f t="shared" si="269"/>
        <v/>
      </c>
      <c r="CC109" s="582" t="str">
        <f t="shared" si="270"/>
        <v/>
      </c>
      <c r="CD109" s="988" t="str">
        <f t="shared" ref="CD109:CD118" si="28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8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88"/>
        <v/>
      </c>
      <c r="CG109" s="989" t="str">
        <f t="shared" si="288"/>
        <v/>
      </c>
      <c r="CH109" s="990" t="str">
        <f t="shared" si="288"/>
        <v/>
      </c>
      <c r="CI109" s="990" t="str">
        <f t="shared" si="288"/>
        <v/>
      </c>
      <c r="CJ109" s="989" t="str">
        <f t="shared" si="288"/>
        <v/>
      </c>
      <c r="CK109" s="989" t="str">
        <f t="shared" si="288"/>
        <v/>
      </c>
      <c r="CL109" s="989" t="str">
        <f t="shared" si="288"/>
        <v/>
      </c>
      <c r="CM109" s="988" t="str">
        <f t="shared" si="288"/>
        <v/>
      </c>
      <c r="CN109" s="533" t="str">
        <f t="shared" si="246"/>
        <v/>
      </c>
      <c r="CO109" s="534" t="str">
        <f t="shared" si="247"/>
        <v/>
      </c>
      <c r="CP109" s="535" t="str">
        <f t="shared" si="248"/>
        <v/>
      </c>
      <c r="CQ109" s="535" t="str">
        <f t="shared" si="249"/>
        <v/>
      </c>
      <c r="CR109" s="535" t="str">
        <f t="shared" si="250"/>
        <v/>
      </c>
      <c r="CS109" s="535" t="str">
        <f t="shared" si="251"/>
        <v/>
      </c>
      <c r="CT109" s="535" t="str">
        <f t="shared" si="252"/>
        <v/>
      </c>
      <c r="CU109" s="536" t="str">
        <f t="shared" si="253"/>
        <v/>
      </c>
      <c r="CV109" s="536" t="str">
        <f t="shared" si="254"/>
        <v/>
      </c>
      <c r="CW109" s="536" t="str">
        <f t="shared" si="255"/>
        <v/>
      </c>
      <c r="CX109" s="535" t="str">
        <f t="shared" si="256"/>
        <v/>
      </c>
      <c r="CY109" s="535" t="str">
        <f t="shared" si="257"/>
        <v/>
      </c>
      <c r="CZ109" s="535" t="str">
        <f t="shared" si="258"/>
        <v/>
      </c>
      <c r="DA109" s="535" t="str">
        <f t="shared" si="259"/>
        <v/>
      </c>
      <c r="DB109" s="535" t="str">
        <f t="shared" si="260"/>
        <v/>
      </c>
      <c r="DC109" s="534" t="str">
        <f t="shared" si="261"/>
        <v/>
      </c>
      <c r="DD109" s="533" t="str">
        <f t="shared" si="262"/>
        <v/>
      </c>
      <c r="DE109" s="635">
        <f t="shared" si="263"/>
        <v>0</v>
      </c>
      <c r="DF109" s="95">
        <f t="shared" si="264"/>
        <v>0</v>
      </c>
      <c r="DG109" s="95">
        <f t="shared" si="265"/>
        <v>0</v>
      </c>
      <c r="DH109" s="95">
        <f t="shared" si="266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89">IF(SUM(B96,B104)&gt;0,SUM(B97,B105)/SUM(B96,B104),"")</f>
        <v/>
      </c>
      <c r="C110" s="605" t="str">
        <f t="shared" si="289"/>
        <v/>
      </c>
      <c r="D110" s="605" t="str">
        <f t="shared" si="289"/>
        <v/>
      </c>
      <c r="E110" s="605" t="str">
        <f t="shared" si="289"/>
        <v/>
      </c>
      <c r="F110" s="605" t="str">
        <f t="shared" si="289"/>
        <v/>
      </c>
      <c r="G110" s="605" t="str">
        <f t="shared" si="289"/>
        <v/>
      </c>
      <c r="H110" s="605" t="str">
        <f t="shared" si="289"/>
        <v/>
      </c>
      <c r="I110" s="605" t="str">
        <f t="shared" si="289"/>
        <v/>
      </c>
      <c r="J110" s="605" t="str">
        <f t="shared" si="289"/>
        <v/>
      </c>
      <c r="K110" s="605" t="str">
        <f t="shared" si="289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0">IF(SUM(T96,T104)&gt;0,SUM(T97,T105)/SUM(T96,T104),"")</f>
        <v/>
      </c>
      <c r="U110" s="605" t="str">
        <f t="shared" si="290"/>
        <v/>
      </c>
      <c r="V110" s="605" t="str">
        <f t="shared" si="290"/>
        <v/>
      </c>
      <c r="W110" s="605" t="str">
        <f t="shared" si="290"/>
        <v/>
      </c>
      <c r="X110" s="605" t="str">
        <f t="shared" si="290"/>
        <v/>
      </c>
      <c r="Y110" s="605" t="str">
        <f t="shared" si="290"/>
        <v/>
      </c>
      <c r="Z110" s="605" t="str">
        <f t="shared" si="290"/>
        <v/>
      </c>
      <c r="AA110" s="605" t="str">
        <f t="shared" si="290"/>
        <v/>
      </c>
      <c r="AB110" s="605" t="str">
        <f t="shared" si="290"/>
        <v/>
      </c>
      <c r="AC110" s="605" t="str">
        <f t="shared" si="290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1">IF(SUM(AL96,AL104)&gt;0,SUM(AL97,AL105)/SUM(AL96,AL104),"")</f>
        <v/>
      </c>
      <c r="AM110" s="605" t="str">
        <f t="shared" si="291"/>
        <v/>
      </c>
      <c r="AN110" s="605" t="str">
        <f t="shared" si="291"/>
        <v/>
      </c>
      <c r="AO110" s="605" t="str">
        <f t="shared" si="291"/>
        <v/>
      </c>
      <c r="AP110" s="605" t="str">
        <f t="shared" si="291"/>
        <v/>
      </c>
      <c r="AQ110" s="605" t="str">
        <f t="shared" si="291"/>
        <v/>
      </c>
      <c r="AR110" s="605" t="str">
        <f t="shared" si="291"/>
        <v/>
      </c>
      <c r="AS110" s="605" t="str">
        <f t="shared" si="291"/>
        <v/>
      </c>
      <c r="AT110" s="605" t="str">
        <f t="shared" si="291"/>
        <v/>
      </c>
      <c r="AU110" s="605" t="str">
        <f t="shared" si="291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2">IF(SUM(BD96,BD104)&gt;0,SUM(BD97,BD105)/SUM(BD96,BD104),"")</f>
        <v/>
      </c>
      <c r="BE110" s="1197" t="str">
        <f t="shared" si="292"/>
        <v/>
      </c>
      <c r="BF110" s="1197" t="str">
        <f t="shared" si="292"/>
        <v/>
      </c>
      <c r="BG110" s="1197" t="str">
        <f t="shared" si="292"/>
        <v/>
      </c>
      <c r="BH110" s="1197" t="str">
        <f t="shared" si="292"/>
        <v/>
      </c>
      <c r="BI110" s="1197" t="str">
        <f t="shared" si="292"/>
        <v/>
      </c>
      <c r="BJ110" s="1197" t="str">
        <f t="shared" si="292"/>
        <v/>
      </c>
      <c r="BK110" s="1197" t="str">
        <f t="shared" si="292"/>
        <v/>
      </c>
      <c r="BL110" s="1197" t="str">
        <f t="shared" si="292"/>
        <v/>
      </c>
      <c r="BM110" s="1197" t="str">
        <f t="shared" si="292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67"/>
        <v/>
      </c>
      <c r="CA110" s="607" t="str">
        <f t="shared" si="268"/>
        <v/>
      </c>
      <c r="CB110" s="607" t="str">
        <f t="shared" si="269"/>
        <v/>
      </c>
      <c r="CC110" s="607" t="str">
        <f t="shared" si="270"/>
        <v/>
      </c>
      <c r="CD110" s="991" t="str">
        <f t="shared" si="287"/>
        <v/>
      </c>
      <c r="CE110" s="992" t="str">
        <f t="shared" ref="CE110:CM110" si="29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3"/>
        <v/>
      </c>
      <c r="CG110" s="992" t="str">
        <f t="shared" si="293"/>
        <v/>
      </c>
      <c r="CH110" s="993" t="str">
        <f t="shared" si="293"/>
        <v/>
      </c>
      <c r="CI110" s="993" t="str">
        <f t="shared" si="293"/>
        <v/>
      </c>
      <c r="CJ110" s="992" t="str">
        <f t="shared" si="293"/>
        <v/>
      </c>
      <c r="CK110" s="992" t="str">
        <f t="shared" si="293"/>
        <v/>
      </c>
      <c r="CL110" s="992" t="str">
        <f t="shared" si="293"/>
        <v/>
      </c>
      <c r="CM110" s="991" t="str">
        <f t="shared" si="293"/>
        <v/>
      </c>
      <c r="CN110" s="521" t="str">
        <f t="shared" si="246"/>
        <v/>
      </c>
      <c r="CO110" s="522" t="str">
        <f t="shared" si="247"/>
        <v/>
      </c>
      <c r="CP110" s="523" t="str">
        <f t="shared" si="248"/>
        <v/>
      </c>
      <c r="CQ110" s="523" t="str">
        <f t="shared" si="249"/>
        <v/>
      </c>
      <c r="CR110" s="523" t="str">
        <f t="shared" si="250"/>
        <v/>
      </c>
      <c r="CS110" s="523" t="str">
        <f t="shared" si="251"/>
        <v/>
      </c>
      <c r="CT110" s="523" t="str">
        <f t="shared" si="252"/>
        <v/>
      </c>
      <c r="CU110" s="524" t="str">
        <f t="shared" si="253"/>
        <v/>
      </c>
      <c r="CV110" s="524" t="str">
        <f t="shared" si="254"/>
        <v/>
      </c>
      <c r="CW110" s="524" t="str">
        <f t="shared" si="255"/>
        <v/>
      </c>
      <c r="CX110" s="523" t="str">
        <f t="shared" si="256"/>
        <v/>
      </c>
      <c r="CY110" s="523" t="str">
        <f t="shared" si="257"/>
        <v/>
      </c>
      <c r="CZ110" s="523" t="str">
        <f t="shared" si="258"/>
        <v/>
      </c>
      <c r="DA110" s="523" t="str">
        <f t="shared" si="259"/>
        <v/>
      </c>
      <c r="DB110" s="523" t="str">
        <f t="shared" si="260"/>
        <v/>
      </c>
      <c r="DC110" s="522" t="str">
        <f t="shared" si="261"/>
        <v/>
      </c>
      <c r="DD110" s="521" t="str">
        <f t="shared" si="262"/>
        <v/>
      </c>
      <c r="DE110" s="635">
        <f t="shared" si="263"/>
        <v>0</v>
      </c>
      <c r="DF110" s="95">
        <f t="shared" si="264"/>
        <v>0</v>
      </c>
      <c r="DG110" s="95">
        <f t="shared" si="265"/>
        <v>0</v>
      </c>
      <c r="DH110" s="95">
        <f t="shared" si="266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294">IF(SUM(B96,B104)=0,"",SUM(B96,-B97*B100,-B101*B100,B104,-B105*B108,-B109*B108)*0.04)</f>
        <v/>
      </c>
      <c r="C111" s="608" t="str">
        <f t="shared" si="294"/>
        <v/>
      </c>
      <c r="D111" s="608" t="str">
        <f t="shared" si="294"/>
        <v/>
      </c>
      <c r="E111" s="608" t="str">
        <f t="shared" si="294"/>
        <v/>
      </c>
      <c r="F111" s="608" t="str">
        <f t="shared" si="294"/>
        <v/>
      </c>
      <c r="G111" s="608" t="str">
        <f t="shared" si="294"/>
        <v/>
      </c>
      <c r="H111" s="608" t="str">
        <f t="shared" si="294"/>
        <v/>
      </c>
      <c r="I111" s="608" t="str">
        <f t="shared" si="294"/>
        <v/>
      </c>
      <c r="J111" s="608" t="str">
        <f t="shared" si="294"/>
        <v/>
      </c>
      <c r="K111" s="608" t="str">
        <f t="shared" si="294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295">IF(SUM(T96,T104)=0,"",SUM(T96,-T97*T100,-T101*T100,T104,-T105*T108,-T109*T108)*0.04)</f>
        <v/>
      </c>
      <c r="U111" s="608" t="str">
        <f t="shared" si="295"/>
        <v/>
      </c>
      <c r="V111" s="608" t="str">
        <f t="shared" si="295"/>
        <v/>
      </c>
      <c r="W111" s="608" t="str">
        <f t="shared" si="295"/>
        <v/>
      </c>
      <c r="X111" s="608" t="str">
        <f t="shared" si="295"/>
        <v/>
      </c>
      <c r="Y111" s="608" t="str">
        <f t="shared" si="295"/>
        <v/>
      </c>
      <c r="Z111" s="608" t="str">
        <f t="shared" si="295"/>
        <v/>
      </c>
      <c r="AA111" s="608" t="str">
        <f t="shared" si="295"/>
        <v/>
      </c>
      <c r="AB111" s="608" t="str">
        <f t="shared" si="295"/>
        <v/>
      </c>
      <c r="AC111" s="608" t="str">
        <f t="shared" si="295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296">IF(SUM(AL96,AL104)=0,"",SUM(AL96,-AL97*AL100,-AL101*AL100,AL104,-AL105*AL108,-AL109*AL108)*0.04)</f>
        <v/>
      </c>
      <c r="AM111" s="608" t="str">
        <f t="shared" si="296"/>
        <v/>
      </c>
      <c r="AN111" s="608" t="str">
        <f t="shared" si="296"/>
        <v/>
      </c>
      <c r="AO111" s="608" t="str">
        <f t="shared" si="296"/>
        <v/>
      </c>
      <c r="AP111" s="608" t="str">
        <f t="shared" si="296"/>
        <v/>
      </c>
      <c r="AQ111" s="608" t="str">
        <f t="shared" si="296"/>
        <v/>
      </c>
      <c r="AR111" s="608" t="str">
        <f t="shared" si="296"/>
        <v/>
      </c>
      <c r="AS111" s="608" t="str">
        <f t="shared" si="296"/>
        <v/>
      </c>
      <c r="AT111" s="608" t="str">
        <f t="shared" si="296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297">IF(SUM(BD96,BD104)=0,"",SUM(BD96,-BD97*BD100,-BD101*BD100,BD104,-BD105*BD108,-BD109*BD108)*0.04)</f>
        <v/>
      </c>
      <c r="BE111" s="1198" t="str">
        <f t="shared" si="297"/>
        <v/>
      </c>
      <c r="BF111" s="1198" t="str">
        <f t="shared" si="297"/>
        <v/>
      </c>
      <c r="BG111" s="1198" t="str">
        <f t="shared" si="297"/>
        <v/>
      </c>
      <c r="BH111" s="1198" t="str">
        <f t="shared" si="297"/>
        <v/>
      </c>
      <c r="BI111" s="1198" t="str">
        <f t="shared" si="297"/>
        <v/>
      </c>
      <c r="BJ111" s="1198" t="str">
        <f t="shared" si="297"/>
        <v/>
      </c>
      <c r="BK111" s="1198" t="str">
        <f t="shared" si="297"/>
        <v/>
      </c>
      <c r="BL111" s="1198" t="str">
        <f t="shared" si="297"/>
        <v/>
      </c>
      <c r="BM111" s="1198" t="str">
        <f t="shared" si="297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67"/>
        <v/>
      </c>
      <c r="CA111" s="582" t="str">
        <f t="shared" si="268"/>
        <v/>
      </c>
      <c r="CB111" s="582" t="str">
        <f t="shared" si="269"/>
        <v/>
      </c>
      <c r="CC111" s="582" t="str">
        <f t="shared" si="270"/>
        <v/>
      </c>
      <c r="CD111" s="991" t="str">
        <f t="shared" si="287"/>
        <v/>
      </c>
      <c r="CE111" s="992" t="str">
        <f t="shared" ref="CE111:CM118" si="29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298"/>
        <v/>
      </c>
      <c r="CG111" s="992" t="str">
        <f t="shared" si="298"/>
        <v/>
      </c>
      <c r="CH111" s="993" t="str">
        <f t="shared" si="298"/>
        <v/>
      </c>
      <c r="CI111" s="993" t="str">
        <f t="shared" si="298"/>
        <v/>
      </c>
      <c r="CJ111" s="992" t="str">
        <f t="shared" si="298"/>
        <v/>
      </c>
      <c r="CK111" s="992" t="str">
        <f t="shared" si="298"/>
        <v/>
      </c>
      <c r="CL111" s="992" t="str">
        <f t="shared" si="298"/>
        <v/>
      </c>
      <c r="CM111" s="991" t="str">
        <f t="shared" si="298"/>
        <v/>
      </c>
      <c r="CN111" s="533" t="str">
        <f t="shared" si="246"/>
        <v/>
      </c>
      <c r="CO111" s="534" t="str">
        <f t="shared" si="247"/>
        <v/>
      </c>
      <c r="CP111" s="535" t="str">
        <f t="shared" si="248"/>
        <v/>
      </c>
      <c r="CQ111" s="535" t="str">
        <f t="shared" si="249"/>
        <v/>
      </c>
      <c r="CR111" s="535" t="str">
        <f t="shared" si="250"/>
        <v/>
      </c>
      <c r="CS111" s="535" t="str">
        <f t="shared" si="251"/>
        <v/>
      </c>
      <c r="CT111" s="535" t="str">
        <f t="shared" si="252"/>
        <v/>
      </c>
      <c r="CU111" s="536" t="str">
        <f t="shared" si="253"/>
        <v/>
      </c>
      <c r="CV111" s="536" t="str">
        <f t="shared" si="254"/>
        <v/>
      </c>
      <c r="CW111" s="536" t="str">
        <f t="shared" si="255"/>
        <v/>
      </c>
      <c r="CX111" s="535" t="str">
        <f t="shared" si="256"/>
        <v/>
      </c>
      <c r="CY111" s="535" t="str">
        <f t="shared" si="257"/>
        <v/>
      </c>
      <c r="CZ111" s="535" t="str">
        <f t="shared" si="258"/>
        <v/>
      </c>
      <c r="DA111" s="535" t="str">
        <f t="shared" si="259"/>
        <v/>
      </c>
      <c r="DB111" s="535" t="str">
        <f t="shared" si="260"/>
        <v/>
      </c>
      <c r="DC111" s="534" t="str">
        <f t="shared" si="261"/>
        <v/>
      </c>
      <c r="DD111" s="533" t="str">
        <f t="shared" si="262"/>
        <v/>
      </c>
      <c r="DE111" s="635">
        <f t="shared" si="263"/>
        <v>0</v>
      </c>
      <c r="DF111" s="95">
        <f t="shared" si="264"/>
        <v>0</v>
      </c>
      <c r="DG111" s="95">
        <f t="shared" si="265"/>
        <v>0</v>
      </c>
      <c r="DH111" s="95">
        <f t="shared" si="266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67"/>
        <v/>
      </c>
      <c r="CA112" s="582" t="str">
        <f t="shared" si="268"/>
        <v/>
      </c>
      <c r="CB112" s="582" t="str">
        <f t="shared" si="269"/>
        <v/>
      </c>
      <c r="CC112" s="582" t="str">
        <f t="shared" si="270"/>
        <v/>
      </c>
      <c r="CD112" s="991" t="str">
        <f t="shared" si="287"/>
        <v/>
      </c>
      <c r="CE112" s="992" t="str">
        <f t="shared" si="298"/>
        <v/>
      </c>
      <c r="CF112" s="992" t="str">
        <f t="shared" si="298"/>
        <v/>
      </c>
      <c r="CG112" s="992" t="str">
        <f t="shared" si="298"/>
        <v/>
      </c>
      <c r="CH112" s="993" t="str">
        <f t="shared" si="298"/>
        <v/>
      </c>
      <c r="CI112" s="993" t="str">
        <f t="shared" si="298"/>
        <v/>
      </c>
      <c r="CJ112" s="992" t="str">
        <f t="shared" si="298"/>
        <v/>
      </c>
      <c r="CK112" s="992" t="str">
        <f t="shared" si="298"/>
        <v/>
      </c>
      <c r="CL112" s="992" t="str">
        <f t="shared" si="298"/>
        <v/>
      </c>
      <c r="CM112" s="991" t="str">
        <f t="shared" si="298"/>
        <v/>
      </c>
      <c r="CN112" s="533" t="str">
        <f t="shared" si="246"/>
        <v/>
      </c>
      <c r="CO112" s="534" t="str">
        <f t="shared" si="247"/>
        <v/>
      </c>
      <c r="CP112" s="535" t="str">
        <f t="shared" si="248"/>
        <v/>
      </c>
      <c r="CQ112" s="535" t="str">
        <f t="shared" si="249"/>
        <v/>
      </c>
      <c r="CR112" s="535" t="str">
        <f t="shared" si="250"/>
        <v/>
      </c>
      <c r="CS112" s="535" t="str">
        <f t="shared" si="251"/>
        <v/>
      </c>
      <c r="CT112" s="535" t="str">
        <f t="shared" si="252"/>
        <v/>
      </c>
      <c r="CU112" s="536" t="str">
        <f t="shared" si="253"/>
        <v/>
      </c>
      <c r="CV112" s="536" t="str">
        <f t="shared" si="254"/>
        <v/>
      </c>
      <c r="CW112" s="536" t="str">
        <f t="shared" si="255"/>
        <v/>
      </c>
      <c r="CX112" s="535" t="str">
        <f t="shared" si="256"/>
        <v/>
      </c>
      <c r="CY112" s="535" t="str">
        <f t="shared" si="257"/>
        <v/>
      </c>
      <c r="CZ112" s="535" t="str">
        <f t="shared" si="258"/>
        <v/>
      </c>
      <c r="DA112" s="535" t="str">
        <f t="shared" si="259"/>
        <v/>
      </c>
      <c r="DB112" s="535" t="str">
        <f t="shared" si="260"/>
        <v/>
      </c>
      <c r="DC112" s="534" t="str">
        <f t="shared" si="261"/>
        <v/>
      </c>
      <c r="DD112" s="533" t="str">
        <f t="shared" si="262"/>
        <v/>
      </c>
      <c r="DE112" s="635">
        <f t="shared" si="263"/>
        <v>0</v>
      </c>
      <c r="DF112" s="95">
        <f t="shared" si="264"/>
        <v>0</v>
      </c>
      <c r="DG112" s="95">
        <f t="shared" si="265"/>
        <v>0</v>
      </c>
      <c r="DH112" s="95">
        <f t="shared" si="266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67"/>
        <v/>
      </c>
      <c r="CA113" s="582" t="str">
        <f t="shared" si="268"/>
        <v/>
      </c>
      <c r="CB113" s="582" t="str">
        <f t="shared" si="269"/>
        <v/>
      </c>
      <c r="CC113" s="582" t="str">
        <f t="shared" si="270"/>
        <v/>
      </c>
      <c r="CD113" s="991" t="str">
        <f t="shared" si="287"/>
        <v/>
      </c>
      <c r="CE113" s="992" t="str">
        <f t="shared" si="298"/>
        <v/>
      </c>
      <c r="CF113" s="992" t="str">
        <f t="shared" si="298"/>
        <v/>
      </c>
      <c r="CG113" s="992" t="str">
        <f t="shared" si="298"/>
        <v/>
      </c>
      <c r="CH113" s="993" t="str">
        <f t="shared" si="298"/>
        <v/>
      </c>
      <c r="CI113" s="993" t="str">
        <f t="shared" si="298"/>
        <v/>
      </c>
      <c r="CJ113" s="992" t="str">
        <f t="shared" si="298"/>
        <v/>
      </c>
      <c r="CK113" s="992" t="str">
        <f t="shared" si="298"/>
        <v/>
      </c>
      <c r="CL113" s="992" t="str">
        <f t="shared" si="298"/>
        <v/>
      </c>
      <c r="CM113" s="991" t="str">
        <f t="shared" si="298"/>
        <v/>
      </c>
      <c r="CN113" s="533" t="str">
        <f t="shared" si="246"/>
        <v/>
      </c>
      <c r="CO113" s="534" t="str">
        <f t="shared" si="247"/>
        <v/>
      </c>
      <c r="CP113" s="535" t="str">
        <f t="shared" si="248"/>
        <v/>
      </c>
      <c r="CQ113" s="535" t="str">
        <f t="shared" si="249"/>
        <v/>
      </c>
      <c r="CR113" s="535" t="str">
        <f t="shared" si="250"/>
        <v/>
      </c>
      <c r="CS113" s="535" t="str">
        <f t="shared" si="251"/>
        <v/>
      </c>
      <c r="CT113" s="535" t="str">
        <f t="shared" si="252"/>
        <v/>
      </c>
      <c r="CU113" s="536" t="str">
        <f t="shared" si="253"/>
        <v/>
      </c>
      <c r="CV113" s="536" t="str">
        <f t="shared" si="254"/>
        <v/>
      </c>
      <c r="CW113" s="536" t="str">
        <f t="shared" si="255"/>
        <v/>
      </c>
      <c r="CX113" s="535" t="str">
        <f t="shared" si="256"/>
        <v/>
      </c>
      <c r="CY113" s="535" t="str">
        <f t="shared" si="257"/>
        <v/>
      </c>
      <c r="CZ113" s="535" t="str">
        <f t="shared" si="258"/>
        <v/>
      </c>
      <c r="DA113" s="535" t="str">
        <f t="shared" si="259"/>
        <v/>
      </c>
      <c r="DB113" s="535" t="str">
        <f t="shared" si="260"/>
        <v/>
      </c>
      <c r="DC113" s="534" t="str">
        <f t="shared" si="261"/>
        <v/>
      </c>
      <c r="DD113" s="533" t="str">
        <f t="shared" si="262"/>
        <v/>
      </c>
      <c r="DE113" s="635">
        <f t="shared" si="263"/>
        <v>0</v>
      </c>
      <c r="DF113" s="95">
        <f t="shared" si="264"/>
        <v>0</v>
      </c>
      <c r="DG113" s="95">
        <f t="shared" si="265"/>
        <v>0</v>
      </c>
      <c r="DH113" s="95">
        <f t="shared" si="266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67"/>
        <v/>
      </c>
      <c r="CA114" s="582" t="str">
        <f t="shared" si="268"/>
        <v/>
      </c>
      <c r="CB114" s="582" t="str">
        <f t="shared" si="269"/>
        <v/>
      </c>
      <c r="CC114" s="582" t="str">
        <f t="shared" si="270"/>
        <v/>
      </c>
      <c r="CD114" s="991" t="str">
        <f t="shared" si="287"/>
        <v/>
      </c>
      <c r="CE114" s="992" t="str">
        <f t="shared" si="298"/>
        <v/>
      </c>
      <c r="CF114" s="992" t="str">
        <f t="shared" si="298"/>
        <v/>
      </c>
      <c r="CG114" s="992" t="str">
        <f t="shared" si="298"/>
        <v/>
      </c>
      <c r="CH114" s="993" t="str">
        <f t="shared" si="298"/>
        <v/>
      </c>
      <c r="CI114" s="993" t="str">
        <f t="shared" si="298"/>
        <v/>
      </c>
      <c r="CJ114" s="992" t="str">
        <f t="shared" si="298"/>
        <v/>
      </c>
      <c r="CK114" s="992" t="str">
        <f t="shared" si="298"/>
        <v/>
      </c>
      <c r="CL114" s="992" t="str">
        <f t="shared" si="298"/>
        <v/>
      </c>
      <c r="CM114" s="991" t="str">
        <f t="shared" si="298"/>
        <v/>
      </c>
      <c r="CN114" s="533" t="str">
        <f t="shared" si="246"/>
        <v/>
      </c>
      <c r="CO114" s="534" t="str">
        <f t="shared" si="247"/>
        <v/>
      </c>
      <c r="CP114" s="535" t="str">
        <f t="shared" si="248"/>
        <v/>
      </c>
      <c r="CQ114" s="535" t="str">
        <f t="shared" si="249"/>
        <v/>
      </c>
      <c r="CR114" s="535" t="str">
        <f t="shared" si="250"/>
        <v/>
      </c>
      <c r="CS114" s="535" t="str">
        <f t="shared" si="251"/>
        <v/>
      </c>
      <c r="CT114" s="535" t="str">
        <f t="shared" si="252"/>
        <v/>
      </c>
      <c r="CU114" s="536" t="str">
        <f t="shared" si="253"/>
        <v/>
      </c>
      <c r="CV114" s="536" t="str">
        <f t="shared" si="254"/>
        <v/>
      </c>
      <c r="CW114" s="536" t="str">
        <f t="shared" si="255"/>
        <v/>
      </c>
      <c r="CX114" s="535" t="str">
        <f t="shared" si="256"/>
        <v/>
      </c>
      <c r="CY114" s="535" t="str">
        <f t="shared" si="257"/>
        <v/>
      </c>
      <c r="CZ114" s="535" t="str">
        <f t="shared" si="258"/>
        <v/>
      </c>
      <c r="DA114" s="535" t="str">
        <f t="shared" si="259"/>
        <v/>
      </c>
      <c r="DB114" s="535" t="str">
        <f t="shared" si="260"/>
        <v/>
      </c>
      <c r="DC114" s="534" t="str">
        <f t="shared" si="261"/>
        <v/>
      </c>
      <c r="DD114" s="533" t="str">
        <f t="shared" si="262"/>
        <v/>
      </c>
      <c r="DE114" s="635">
        <f t="shared" si="263"/>
        <v>0</v>
      </c>
      <c r="DF114" s="95">
        <f t="shared" si="264"/>
        <v>0</v>
      </c>
      <c r="DG114" s="95">
        <f t="shared" si="265"/>
        <v>0</v>
      </c>
      <c r="DH114" s="95">
        <f t="shared" si="266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299">IF(B113="","",B113*B114)</f>
        <v/>
      </c>
      <c r="C115" s="612" t="str">
        <f t="shared" si="299"/>
        <v/>
      </c>
      <c r="D115" s="612" t="str">
        <f t="shared" si="299"/>
        <v/>
      </c>
      <c r="E115" s="612" t="str">
        <f t="shared" si="299"/>
        <v/>
      </c>
      <c r="F115" s="612" t="str">
        <f t="shared" si="299"/>
        <v/>
      </c>
      <c r="G115" s="612" t="str">
        <f t="shared" si="299"/>
        <v/>
      </c>
      <c r="H115" s="612" t="str">
        <f t="shared" si="299"/>
        <v/>
      </c>
      <c r="I115" s="612" t="str">
        <f t="shared" si="299"/>
        <v/>
      </c>
      <c r="J115" s="612" t="str">
        <f t="shared" si="299"/>
        <v/>
      </c>
      <c r="K115" s="612" t="str">
        <f t="shared" si="299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0">IF(T113="","",T113*T114)</f>
        <v/>
      </c>
      <c r="U115" s="612" t="str">
        <f t="shared" si="300"/>
        <v/>
      </c>
      <c r="V115" s="612" t="str">
        <f t="shared" si="300"/>
        <v/>
      </c>
      <c r="W115" s="612" t="str">
        <f t="shared" si="300"/>
        <v/>
      </c>
      <c r="X115" s="612" t="str">
        <f t="shared" si="300"/>
        <v/>
      </c>
      <c r="Y115" s="612" t="str">
        <f t="shared" si="300"/>
        <v/>
      </c>
      <c r="Z115" s="612" t="str">
        <f t="shared" si="300"/>
        <v/>
      </c>
      <c r="AA115" s="612" t="str">
        <f t="shared" si="300"/>
        <v/>
      </c>
      <c r="AB115" s="612" t="str">
        <f t="shared" si="300"/>
        <v/>
      </c>
      <c r="AC115" s="612" t="str">
        <f t="shared" si="300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1">IF(AL113="","",AL113*AL114)</f>
        <v/>
      </c>
      <c r="AM115" s="612" t="str">
        <f t="shared" si="301"/>
        <v/>
      </c>
      <c r="AN115" s="612" t="str">
        <f t="shared" si="301"/>
        <v/>
      </c>
      <c r="AO115" s="612" t="str">
        <f t="shared" si="301"/>
        <v/>
      </c>
      <c r="AP115" s="612" t="str">
        <f t="shared" si="301"/>
        <v/>
      </c>
      <c r="AQ115" s="612" t="str">
        <f t="shared" si="301"/>
        <v/>
      </c>
      <c r="AR115" s="612" t="str">
        <f t="shared" si="301"/>
        <v/>
      </c>
      <c r="AS115" s="612" t="str">
        <f t="shared" si="301"/>
        <v/>
      </c>
      <c r="AT115" s="612" t="str">
        <f t="shared" si="301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2">IF(BD113="","",BD113*BD114)</f>
        <v/>
      </c>
      <c r="BE115" s="1201" t="str">
        <f t="shared" si="302"/>
        <v/>
      </c>
      <c r="BF115" s="1201" t="str">
        <f t="shared" si="302"/>
        <v/>
      </c>
      <c r="BG115" s="1201" t="str">
        <f t="shared" si="302"/>
        <v/>
      </c>
      <c r="BH115" s="1201" t="str">
        <f t="shared" si="302"/>
        <v/>
      </c>
      <c r="BI115" s="1201" t="str">
        <f t="shared" si="302"/>
        <v/>
      </c>
      <c r="BJ115" s="1201" t="str">
        <f t="shared" si="302"/>
        <v/>
      </c>
      <c r="BK115" s="1201" t="str">
        <f t="shared" si="302"/>
        <v/>
      </c>
      <c r="BL115" s="1201" t="str">
        <f t="shared" si="302"/>
        <v/>
      </c>
      <c r="BM115" s="1201" t="str">
        <f t="shared" si="302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67"/>
        <v/>
      </c>
      <c r="CA115" s="582" t="str">
        <f t="shared" si="268"/>
        <v/>
      </c>
      <c r="CB115" s="582" t="str">
        <f t="shared" si="269"/>
        <v/>
      </c>
      <c r="CC115" s="582" t="str">
        <f t="shared" si="270"/>
        <v/>
      </c>
      <c r="CD115" s="991" t="str">
        <f t="shared" si="287"/>
        <v/>
      </c>
      <c r="CE115" s="992" t="str">
        <f t="shared" si="298"/>
        <v/>
      </c>
      <c r="CF115" s="992" t="str">
        <f t="shared" si="298"/>
        <v/>
      </c>
      <c r="CG115" s="992" t="str">
        <f t="shared" si="298"/>
        <v/>
      </c>
      <c r="CH115" s="993" t="str">
        <f t="shared" si="298"/>
        <v/>
      </c>
      <c r="CI115" s="993" t="str">
        <f t="shared" si="298"/>
        <v/>
      </c>
      <c r="CJ115" s="992" t="str">
        <f t="shared" si="298"/>
        <v/>
      </c>
      <c r="CK115" s="992" t="str">
        <f t="shared" si="298"/>
        <v/>
      </c>
      <c r="CL115" s="992" t="str">
        <f t="shared" si="298"/>
        <v/>
      </c>
      <c r="CM115" s="991" t="str">
        <f t="shared" si="298"/>
        <v/>
      </c>
      <c r="CN115" s="533" t="str">
        <f t="shared" si="246"/>
        <v/>
      </c>
      <c r="CO115" s="534" t="str">
        <f t="shared" si="247"/>
        <v/>
      </c>
      <c r="CP115" s="535" t="str">
        <f t="shared" si="248"/>
        <v/>
      </c>
      <c r="CQ115" s="535" t="str">
        <f t="shared" si="249"/>
        <v/>
      </c>
      <c r="CR115" s="535" t="str">
        <f t="shared" si="250"/>
        <v/>
      </c>
      <c r="CS115" s="535" t="str">
        <f t="shared" si="251"/>
        <v/>
      </c>
      <c r="CT115" s="535" t="str">
        <f t="shared" si="252"/>
        <v/>
      </c>
      <c r="CU115" s="536" t="str">
        <f t="shared" si="253"/>
        <v/>
      </c>
      <c r="CV115" s="536" t="str">
        <f t="shared" si="254"/>
        <v/>
      </c>
      <c r="CW115" s="536" t="str">
        <f t="shared" si="255"/>
        <v/>
      </c>
      <c r="CX115" s="535" t="str">
        <f t="shared" si="256"/>
        <v/>
      </c>
      <c r="CY115" s="535" t="str">
        <f t="shared" si="257"/>
        <v/>
      </c>
      <c r="CZ115" s="535" t="str">
        <f t="shared" si="258"/>
        <v/>
      </c>
      <c r="DA115" s="535" t="str">
        <f t="shared" si="259"/>
        <v/>
      </c>
      <c r="DB115" s="535" t="str">
        <f t="shared" si="260"/>
        <v/>
      </c>
      <c r="DC115" s="534" t="str">
        <f t="shared" si="261"/>
        <v/>
      </c>
      <c r="DD115" s="533" t="str">
        <f t="shared" si="262"/>
        <v/>
      </c>
      <c r="DE115" s="635">
        <f t="shared" si="263"/>
        <v>0</v>
      </c>
      <c r="DF115" s="95">
        <f t="shared" si="264"/>
        <v>0</v>
      </c>
      <c r="DG115" s="95">
        <f t="shared" si="265"/>
        <v>0</v>
      </c>
      <c r="DH115" s="95">
        <f t="shared" si="266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3">IF(B111="","",(SUM(B96)*2680-SUM(B97,B101)*(2680-1256*(B100=0))-SUM(B112,B113)*32930)/$G$1/365/B$46)</f>
        <v/>
      </c>
      <c r="C116" s="615" t="str">
        <f t="shared" si="303"/>
        <v/>
      </c>
      <c r="D116" s="615" t="str">
        <f t="shared" si="303"/>
        <v/>
      </c>
      <c r="E116" s="615" t="str">
        <f t="shared" si="303"/>
        <v/>
      </c>
      <c r="F116" s="615" t="str">
        <f t="shared" si="303"/>
        <v/>
      </c>
      <c r="G116" s="615" t="str">
        <f t="shared" si="303"/>
        <v/>
      </c>
      <c r="H116" s="615" t="str">
        <f t="shared" si="303"/>
        <v/>
      </c>
      <c r="I116" s="615" t="str">
        <f t="shared" si="303"/>
        <v/>
      </c>
      <c r="J116" s="615" t="str">
        <f t="shared" si="303"/>
        <v/>
      </c>
      <c r="K116" s="615" t="str">
        <f t="shared" si="303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04">IF(T111="","",(SUM(T96)*2680-SUM(T97,T101)*(2680-1256*(T100=0))-SUM(T112,T113)*32930)/$G$1/365/T$46)</f>
        <v/>
      </c>
      <c r="U116" s="615" t="str">
        <f t="shared" si="304"/>
        <v/>
      </c>
      <c r="V116" s="615" t="str">
        <f t="shared" si="304"/>
        <v/>
      </c>
      <c r="W116" s="615" t="str">
        <f t="shared" si="304"/>
        <v/>
      </c>
      <c r="X116" s="615" t="str">
        <f t="shared" si="304"/>
        <v/>
      </c>
      <c r="Y116" s="615" t="str">
        <f t="shared" si="304"/>
        <v/>
      </c>
      <c r="Z116" s="615" t="str">
        <f t="shared" si="304"/>
        <v/>
      </c>
      <c r="AA116" s="615" t="str">
        <f t="shared" si="304"/>
        <v/>
      </c>
      <c r="AB116" s="615" t="str">
        <f t="shared" si="304"/>
        <v/>
      </c>
      <c r="AC116" s="615" t="str">
        <f t="shared" si="304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05">IF(AL111="","",(SUM(AL96)*2680-SUM(AL97,AL101)*(2680-1256*(AL100=0))-SUM(AL112,AL113)*32930)/$G$1/365/AL$46)</f>
        <v/>
      </c>
      <c r="AM116" s="615" t="str">
        <f t="shared" si="305"/>
        <v/>
      </c>
      <c r="AN116" s="615" t="str">
        <f t="shared" si="305"/>
        <v/>
      </c>
      <c r="AO116" s="615" t="str">
        <f t="shared" si="305"/>
        <v/>
      </c>
      <c r="AP116" s="615" t="str">
        <f t="shared" si="305"/>
        <v/>
      </c>
      <c r="AQ116" s="615" t="str">
        <f t="shared" si="305"/>
        <v/>
      </c>
      <c r="AR116" s="615" t="str">
        <f t="shared" si="305"/>
        <v/>
      </c>
      <c r="AS116" s="615" t="str">
        <f t="shared" si="305"/>
        <v/>
      </c>
      <c r="AT116" s="615" t="str">
        <f t="shared" si="305"/>
        <v/>
      </c>
      <c r="AU116" s="615" t="str">
        <f t="shared" si="305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06">IF(BD111="","",(SUM(BD96)*2680-SUM(BD97,BD101)*(2680-1256*(BD100=0))-SUM(BD112,BD113)*32930)/$G$1/365/BD$46)</f>
        <v/>
      </c>
      <c r="BE116" s="1202" t="str">
        <f t="shared" si="306"/>
        <v/>
      </c>
      <c r="BF116" s="1202" t="str">
        <f t="shared" si="306"/>
        <v/>
      </c>
      <c r="BG116" s="1202" t="str">
        <f t="shared" si="306"/>
        <v/>
      </c>
      <c r="BH116" s="1202" t="str">
        <f t="shared" si="306"/>
        <v/>
      </c>
      <c r="BI116" s="1202" t="str">
        <f t="shared" si="306"/>
        <v/>
      </c>
      <c r="BJ116" s="1202" t="str">
        <f t="shared" si="306"/>
        <v/>
      </c>
      <c r="BK116" s="1202" t="str">
        <f t="shared" si="306"/>
        <v/>
      </c>
      <c r="BL116" s="1202" t="str">
        <f t="shared" si="306"/>
        <v/>
      </c>
      <c r="BM116" s="1202" t="str">
        <f t="shared" si="306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67"/>
        <v/>
      </c>
      <c r="CA116" s="607" t="str">
        <f t="shared" si="268"/>
        <v/>
      </c>
      <c r="CB116" s="607" t="str">
        <f t="shared" si="269"/>
        <v/>
      </c>
      <c r="CC116" s="607" t="str">
        <f t="shared" si="270"/>
        <v/>
      </c>
      <c r="CD116" s="991" t="str">
        <f t="shared" si="287"/>
        <v/>
      </c>
      <c r="CE116" s="992" t="str">
        <f t="shared" si="298"/>
        <v/>
      </c>
      <c r="CF116" s="992" t="str">
        <f t="shared" si="298"/>
        <v/>
      </c>
      <c r="CG116" s="992" t="str">
        <f t="shared" si="298"/>
        <v/>
      </c>
      <c r="CH116" s="993" t="str">
        <f t="shared" si="298"/>
        <v/>
      </c>
      <c r="CI116" s="993" t="str">
        <f t="shared" si="298"/>
        <v/>
      </c>
      <c r="CJ116" s="992" t="str">
        <f t="shared" si="298"/>
        <v/>
      </c>
      <c r="CK116" s="992" t="str">
        <f t="shared" si="298"/>
        <v/>
      </c>
      <c r="CL116" s="992" t="str">
        <f t="shared" si="298"/>
        <v/>
      </c>
      <c r="CM116" s="991" t="str">
        <f t="shared" si="298"/>
        <v/>
      </c>
      <c r="CN116" s="521" t="str">
        <f t="shared" si="246"/>
        <v/>
      </c>
      <c r="CO116" s="522" t="str">
        <f t="shared" si="247"/>
        <v/>
      </c>
      <c r="CP116" s="523" t="str">
        <f t="shared" si="248"/>
        <v/>
      </c>
      <c r="CQ116" s="523" t="str">
        <f t="shared" si="249"/>
        <v/>
      </c>
      <c r="CR116" s="523" t="str">
        <f t="shared" si="250"/>
        <v/>
      </c>
      <c r="CS116" s="523" t="str">
        <f t="shared" si="251"/>
        <v/>
      </c>
      <c r="CT116" s="523" t="str">
        <f t="shared" si="252"/>
        <v/>
      </c>
      <c r="CU116" s="524" t="str">
        <f t="shared" si="253"/>
        <v/>
      </c>
      <c r="CV116" s="524" t="str">
        <f t="shared" si="254"/>
        <v/>
      </c>
      <c r="CW116" s="524" t="str">
        <f t="shared" si="255"/>
        <v/>
      </c>
      <c r="CX116" s="523" t="str">
        <f t="shared" si="256"/>
        <v/>
      </c>
      <c r="CY116" s="523" t="str">
        <f t="shared" si="257"/>
        <v/>
      </c>
      <c r="CZ116" s="523" t="str">
        <f t="shared" si="258"/>
        <v/>
      </c>
      <c r="DA116" s="523" t="str">
        <f t="shared" si="259"/>
        <v/>
      </c>
      <c r="DB116" s="523" t="str">
        <f t="shared" si="260"/>
        <v/>
      </c>
      <c r="DC116" s="522" t="str">
        <f t="shared" si="261"/>
        <v/>
      </c>
      <c r="DD116" s="521" t="str">
        <f t="shared" si="262"/>
        <v/>
      </c>
      <c r="DE116" s="635">
        <f t="shared" si="263"/>
        <v>0</v>
      </c>
      <c r="DF116" s="95">
        <f t="shared" si="264"/>
        <v>0</v>
      </c>
      <c r="DG116" s="95">
        <f t="shared" si="265"/>
        <v>0</v>
      </c>
      <c r="DH116" s="95">
        <f t="shared" si="266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07">IF(B111="","",(SUM(B104)*2680-SUM(B105,B109)*(2680-1256*(B108=0)))/$G$1/365/B$46)</f>
        <v/>
      </c>
      <c r="C117" s="615" t="str">
        <f t="shared" si="307"/>
        <v/>
      </c>
      <c r="D117" s="615" t="str">
        <f t="shared" si="307"/>
        <v/>
      </c>
      <c r="E117" s="615" t="str">
        <f t="shared" si="307"/>
        <v/>
      </c>
      <c r="F117" s="615" t="str">
        <f t="shared" si="307"/>
        <v/>
      </c>
      <c r="G117" s="615" t="str">
        <f t="shared" si="307"/>
        <v/>
      </c>
      <c r="H117" s="615" t="str">
        <f t="shared" si="307"/>
        <v/>
      </c>
      <c r="I117" s="615" t="str">
        <f t="shared" si="307"/>
        <v/>
      </c>
      <c r="J117" s="615" t="str">
        <f t="shared" si="307"/>
        <v/>
      </c>
      <c r="K117" s="615" t="str">
        <f t="shared" si="307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08">IF(T111="","",(SUM(T104)*2680-SUM(T105,T109)*(2680-1256*(T108=0)))/$G$1/365/T$46)</f>
        <v/>
      </c>
      <c r="U117" s="615" t="str">
        <f t="shared" si="308"/>
        <v/>
      </c>
      <c r="V117" s="615" t="str">
        <f t="shared" si="308"/>
        <v/>
      </c>
      <c r="W117" s="615" t="str">
        <f t="shared" si="308"/>
        <v/>
      </c>
      <c r="X117" s="615" t="str">
        <f t="shared" si="308"/>
        <v/>
      </c>
      <c r="Y117" s="615" t="str">
        <f t="shared" si="308"/>
        <v/>
      </c>
      <c r="Z117" s="615" t="str">
        <f t="shared" si="308"/>
        <v/>
      </c>
      <c r="AA117" s="615" t="str">
        <f t="shared" si="308"/>
        <v/>
      </c>
      <c r="AB117" s="615" t="str">
        <f t="shared" si="308"/>
        <v/>
      </c>
      <c r="AC117" s="615" t="str">
        <f t="shared" si="308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09">IF(AL111="","",(SUM(AL104)*2680-SUM(AL105,AL109)*(2680-1256*(AL108=0)))/$G$1/365/AL$46)</f>
        <v/>
      </c>
      <c r="AM117" s="615" t="str">
        <f t="shared" si="309"/>
        <v/>
      </c>
      <c r="AN117" s="615" t="str">
        <f t="shared" si="309"/>
        <v/>
      </c>
      <c r="AO117" s="615" t="str">
        <f t="shared" si="309"/>
        <v/>
      </c>
      <c r="AP117" s="615" t="str">
        <f t="shared" si="309"/>
        <v/>
      </c>
      <c r="AQ117" s="615" t="str">
        <f t="shared" si="309"/>
        <v/>
      </c>
      <c r="AR117" s="615" t="str">
        <f t="shared" si="309"/>
        <v/>
      </c>
      <c r="AS117" s="615" t="str">
        <f t="shared" si="309"/>
        <v/>
      </c>
      <c r="AT117" s="615" t="str">
        <f t="shared" si="309"/>
        <v/>
      </c>
      <c r="AU117" s="615" t="str">
        <f t="shared" si="309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0">IF(BD111="","",(SUM(BD104)*2680-SUM(BD105,BD109)*(2680-1256*(BD108=0)))/$G$1/365/BD$46)</f>
        <v/>
      </c>
      <c r="BE117" s="1202" t="str">
        <f t="shared" si="310"/>
        <v/>
      </c>
      <c r="BF117" s="1202" t="str">
        <f t="shared" si="310"/>
        <v/>
      </c>
      <c r="BG117" s="1202" t="str">
        <f t="shared" si="310"/>
        <v/>
      </c>
      <c r="BH117" s="1202" t="str">
        <f t="shared" si="310"/>
        <v/>
      </c>
      <c r="BI117" s="1202" t="str">
        <f t="shared" si="310"/>
        <v/>
      </c>
      <c r="BJ117" s="1202" t="str">
        <f t="shared" si="310"/>
        <v/>
      </c>
      <c r="BK117" s="1202" t="str">
        <f t="shared" si="310"/>
        <v/>
      </c>
      <c r="BL117" s="1202" t="str">
        <f t="shared" si="310"/>
        <v/>
      </c>
      <c r="BM117" s="1202" t="str">
        <f t="shared" si="310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67"/>
        <v/>
      </c>
      <c r="CA117" s="607" t="str">
        <f t="shared" si="268"/>
        <v/>
      </c>
      <c r="CB117" s="607" t="str">
        <f t="shared" si="269"/>
        <v/>
      </c>
      <c r="CC117" s="607" t="str">
        <f t="shared" si="270"/>
        <v/>
      </c>
      <c r="CD117" s="991" t="str">
        <f t="shared" si="287"/>
        <v/>
      </c>
      <c r="CE117" s="992" t="str">
        <f t="shared" si="298"/>
        <v/>
      </c>
      <c r="CF117" s="992" t="str">
        <f t="shared" si="298"/>
        <v/>
      </c>
      <c r="CG117" s="992" t="str">
        <f t="shared" si="298"/>
        <v/>
      </c>
      <c r="CH117" s="993" t="str">
        <f t="shared" si="298"/>
        <v/>
      </c>
      <c r="CI117" s="993" t="str">
        <f t="shared" si="298"/>
        <v/>
      </c>
      <c r="CJ117" s="992" t="str">
        <f t="shared" si="298"/>
        <v/>
      </c>
      <c r="CK117" s="992" t="str">
        <f t="shared" si="298"/>
        <v/>
      </c>
      <c r="CL117" s="992" t="str">
        <f t="shared" si="298"/>
        <v/>
      </c>
      <c r="CM117" s="991" t="str">
        <f t="shared" si="298"/>
        <v/>
      </c>
      <c r="CN117" s="521" t="str">
        <f t="shared" si="246"/>
        <v/>
      </c>
      <c r="CO117" s="522" t="str">
        <f t="shared" si="247"/>
        <v/>
      </c>
      <c r="CP117" s="523" t="str">
        <f t="shared" si="248"/>
        <v/>
      </c>
      <c r="CQ117" s="523" t="str">
        <f t="shared" si="249"/>
        <v/>
      </c>
      <c r="CR117" s="523" t="str">
        <f t="shared" si="250"/>
        <v/>
      </c>
      <c r="CS117" s="523" t="str">
        <f t="shared" si="251"/>
        <v/>
      </c>
      <c r="CT117" s="523" t="str">
        <f t="shared" si="252"/>
        <v/>
      </c>
      <c r="CU117" s="524" t="str">
        <f t="shared" si="253"/>
        <v/>
      </c>
      <c r="CV117" s="524" t="str">
        <f t="shared" si="254"/>
        <v/>
      </c>
      <c r="CW117" s="524" t="str">
        <f t="shared" si="255"/>
        <v/>
      </c>
      <c r="CX117" s="523" t="str">
        <f t="shared" si="256"/>
        <v/>
      </c>
      <c r="CY117" s="523" t="str">
        <f t="shared" si="257"/>
        <v/>
      </c>
      <c r="CZ117" s="523" t="str">
        <f t="shared" si="258"/>
        <v/>
      </c>
      <c r="DA117" s="523" t="str">
        <f t="shared" si="259"/>
        <v/>
      </c>
      <c r="DB117" s="523" t="str">
        <f t="shared" si="260"/>
        <v/>
      </c>
      <c r="DC117" s="522" t="str">
        <f t="shared" si="261"/>
        <v/>
      </c>
      <c r="DD117" s="521" t="str">
        <f t="shared" si="262"/>
        <v/>
      </c>
      <c r="DE117" s="635">
        <f t="shared" si="263"/>
        <v>0</v>
      </c>
      <c r="DF117" s="95">
        <f t="shared" si="264"/>
        <v>0</v>
      </c>
      <c r="DG117" s="95">
        <f t="shared" si="265"/>
        <v>0</v>
      </c>
      <c r="DH117" s="95">
        <f t="shared" si="266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1">IF(SUM(B111)&gt;0,B113/B111,"")</f>
        <v/>
      </c>
      <c r="C118" s="605" t="str">
        <f t="shared" si="311"/>
        <v/>
      </c>
      <c r="D118" s="605" t="str">
        <f t="shared" si="311"/>
        <v/>
      </c>
      <c r="E118" s="605" t="str">
        <f t="shared" si="311"/>
        <v/>
      </c>
      <c r="F118" s="605" t="str">
        <f t="shared" si="311"/>
        <v/>
      </c>
      <c r="G118" s="605" t="str">
        <f t="shared" si="311"/>
        <v/>
      </c>
      <c r="H118" s="605" t="str">
        <f t="shared" si="311"/>
        <v/>
      </c>
      <c r="I118" s="605" t="str">
        <f t="shared" si="311"/>
        <v/>
      </c>
      <c r="J118" s="605" t="str">
        <f t="shared" si="311"/>
        <v/>
      </c>
      <c r="K118" s="605" t="str">
        <f t="shared" si="311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2">IF(SUM(T111)&gt;0,T113/T111,"")</f>
        <v/>
      </c>
      <c r="U118" s="605" t="str">
        <f t="shared" si="312"/>
        <v/>
      </c>
      <c r="V118" s="605" t="str">
        <f t="shared" si="312"/>
        <v/>
      </c>
      <c r="W118" s="605" t="str">
        <f t="shared" si="312"/>
        <v/>
      </c>
      <c r="X118" s="605" t="str">
        <f t="shared" si="312"/>
        <v/>
      </c>
      <c r="Y118" s="605" t="str">
        <f t="shared" si="312"/>
        <v/>
      </c>
      <c r="Z118" s="605" t="str">
        <f t="shared" si="312"/>
        <v/>
      </c>
      <c r="AA118" s="605" t="str">
        <f t="shared" si="312"/>
        <v/>
      </c>
      <c r="AB118" s="605" t="str">
        <f t="shared" si="312"/>
        <v/>
      </c>
      <c r="AC118" s="605" t="str">
        <f t="shared" si="312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3">IF(SUM(AL111)&gt;0,AL113/AL111,"")</f>
        <v/>
      </c>
      <c r="AM118" s="605" t="str">
        <f t="shared" si="313"/>
        <v/>
      </c>
      <c r="AN118" s="605" t="str">
        <f t="shared" si="313"/>
        <v/>
      </c>
      <c r="AO118" s="605" t="str">
        <f t="shared" si="313"/>
        <v/>
      </c>
      <c r="AP118" s="605" t="str">
        <f t="shared" si="313"/>
        <v/>
      </c>
      <c r="AQ118" s="605" t="str">
        <f t="shared" si="313"/>
        <v/>
      </c>
      <c r="AR118" s="605" t="str">
        <f t="shared" si="313"/>
        <v/>
      </c>
      <c r="AS118" s="605" t="str">
        <f t="shared" si="313"/>
        <v/>
      </c>
      <c r="AT118" s="605" t="str">
        <f t="shared" si="313"/>
        <v/>
      </c>
      <c r="AU118" s="605" t="str">
        <f t="shared" si="313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14">IF(SUM(BD111)&gt;0,BD113/BD111,"")</f>
        <v/>
      </c>
      <c r="BE118" s="1197" t="str">
        <f t="shared" si="314"/>
        <v/>
      </c>
      <c r="BF118" s="1197" t="str">
        <f t="shared" si="314"/>
        <v/>
      </c>
      <c r="BG118" s="1197" t="str">
        <f t="shared" si="314"/>
        <v/>
      </c>
      <c r="BH118" s="1197" t="str">
        <f t="shared" si="314"/>
        <v/>
      </c>
      <c r="BI118" s="1197" t="str">
        <f t="shared" si="314"/>
        <v/>
      </c>
      <c r="BJ118" s="1197" t="str">
        <f t="shared" si="314"/>
        <v/>
      </c>
      <c r="BK118" s="1197" t="str">
        <f t="shared" si="314"/>
        <v/>
      </c>
      <c r="BL118" s="1197" t="str">
        <f t="shared" si="314"/>
        <v/>
      </c>
      <c r="BM118" s="1197" t="str">
        <f t="shared" si="314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67"/>
        <v/>
      </c>
      <c r="CA118" s="607" t="str">
        <f t="shared" si="268"/>
        <v/>
      </c>
      <c r="CB118" s="607" t="str">
        <f t="shared" si="269"/>
        <v/>
      </c>
      <c r="CC118" s="607" t="str">
        <f t="shared" si="270"/>
        <v/>
      </c>
      <c r="CD118" s="991" t="str">
        <f t="shared" si="287"/>
        <v/>
      </c>
      <c r="CE118" s="992" t="str">
        <f t="shared" si="298"/>
        <v/>
      </c>
      <c r="CF118" s="992" t="str">
        <f t="shared" si="298"/>
        <v/>
      </c>
      <c r="CG118" s="992" t="str">
        <f t="shared" si="298"/>
        <v/>
      </c>
      <c r="CH118" s="993" t="str">
        <f t="shared" si="298"/>
        <v/>
      </c>
      <c r="CI118" s="993" t="str">
        <f t="shared" si="298"/>
        <v/>
      </c>
      <c r="CJ118" s="992" t="str">
        <f t="shared" si="298"/>
        <v/>
      </c>
      <c r="CK118" s="992" t="str">
        <f t="shared" si="298"/>
        <v/>
      </c>
      <c r="CL118" s="992" t="str">
        <f t="shared" si="298"/>
        <v/>
      </c>
      <c r="CM118" s="991" t="str">
        <f t="shared" si="298"/>
        <v/>
      </c>
      <c r="CN118" s="521" t="str">
        <f t="shared" si="246"/>
        <v/>
      </c>
      <c r="CO118" s="522" t="str">
        <f t="shared" si="247"/>
        <v/>
      </c>
      <c r="CP118" s="523" t="str">
        <f t="shared" si="248"/>
        <v/>
      </c>
      <c r="CQ118" s="523" t="str">
        <f t="shared" si="249"/>
        <v/>
      </c>
      <c r="CR118" s="523" t="str">
        <f t="shared" si="250"/>
        <v/>
      </c>
      <c r="CS118" s="523" t="str">
        <f t="shared" si="251"/>
        <v/>
      </c>
      <c r="CT118" s="523" t="str">
        <f t="shared" si="252"/>
        <v/>
      </c>
      <c r="CU118" s="524" t="str">
        <f t="shared" si="253"/>
        <v/>
      </c>
      <c r="CV118" s="524" t="str">
        <f t="shared" si="254"/>
        <v/>
      </c>
      <c r="CW118" s="524" t="str">
        <f t="shared" si="255"/>
        <v/>
      </c>
      <c r="CX118" s="523" t="str">
        <f t="shared" si="256"/>
        <v/>
      </c>
      <c r="CY118" s="523" t="str">
        <f t="shared" si="257"/>
        <v/>
      </c>
      <c r="CZ118" s="523" t="str">
        <f t="shared" si="258"/>
        <v/>
      </c>
      <c r="DA118" s="523" t="str">
        <f t="shared" si="259"/>
        <v/>
      </c>
      <c r="DB118" s="523" t="str">
        <f t="shared" si="260"/>
        <v/>
      </c>
      <c r="DC118" s="522" t="str">
        <f t="shared" si="261"/>
        <v/>
      </c>
      <c r="DD118" s="521" t="str">
        <f t="shared" si="262"/>
        <v/>
      </c>
      <c r="DE118" s="635">
        <f t="shared" si="263"/>
        <v>0</v>
      </c>
      <c r="DF118" s="95">
        <f t="shared" si="264"/>
        <v>0</v>
      </c>
      <c r="DG118" s="95">
        <f t="shared" si="265"/>
        <v>0</v>
      </c>
      <c r="DH118" s="95">
        <f t="shared" si="266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67"/>
        <v/>
      </c>
      <c r="CA119" s="574" t="str">
        <f t="shared" si="268"/>
        <v/>
      </c>
      <c r="CB119" s="574" t="str">
        <f t="shared" si="269"/>
        <v/>
      </c>
      <c r="CC119" s="574" t="str">
        <f t="shared" si="270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67"/>
        <v>0</v>
      </c>
      <c r="CA120" s="582">
        <f t="shared" si="268"/>
        <v>0</v>
      </c>
      <c r="CB120" s="582">
        <f t="shared" si="269"/>
        <v>0</v>
      </c>
      <c r="CC120" s="582">
        <f t="shared" si="270"/>
        <v>0</v>
      </c>
      <c r="CD120" s="1008">
        <f t="shared" ref="CD120:CD146" si="31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1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1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1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1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2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2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2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2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2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2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3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3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3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3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3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3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2">COUNT(B120:R120)</f>
        <v>10</v>
      </c>
      <c r="DF120" s="95">
        <f t="shared" ref="DF120:DF146" si="343">COUNT(T120:AJ120)</f>
        <v>10</v>
      </c>
      <c r="DG120" s="95">
        <f t="shared" ref="DG120:DG146" si="344">COUNT(AL120:BB120)</f>
        <v>10</v>
      </c>
      <c r="DH120" s="95">
        <f t="shared" ref="DH120:DH146" si="345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67"/>
        <v>45</v>
      </c>
      <c r="CA121" s="582">
        <f t="shared" si="268"/>
        <v>45</v>
      </c>
      <c r="CB121" s="582">
        <f t="shared" si="269"/>
        <v>45</v>
      </c>
      <c r="CC121" s="582">
        <f t="shared" si="270"/>
        <v>45.375</v>
      </c>
      <c r="CD121" s="1008">
        <f t="shared" si="315"/>
        <v>45</v>
      </c>
      <c r="CE121" s="1010">
        <f t="shared" si="316"/>
        <v>45</v>
      </c>
      <c r="CF121" s="1010">
        <f t="shared" si="317"/>
        <v>45</v>
      </c>
      <c r="CG121" s="1010">
        <f t="shared" si="318"/>
        <v>45</v>
      </c>
      <c r="CH121" s="1011">
        <f t="shared" si="319"/>
        <v>45</v>
      </c>
      <c r="CI121" s="1011">
        <f t="shared" si="320"/>
        <v>45</v>
      </c>
      <c r="CJ121" s="1010">
        <f t="shared" si="321"/>
        <v>45</v>
      </c>
      <c r="CK121" s="1010">
        <f t="shared" si="322"/>
        <v>45</v>
      </c>
      <c r="CL121" s="1010">
        <f t="shared" si="323"/>
        <v>45</v>
      </c>
      <c r="CM121" s="1008">
        <f t="shared" si="324"/>
        <v>45</v>
      </c>
      <c r="CN121" s="533" t="str">
        <f t="shared" si="325"/>
        <v/>
      </c>
      <c r="CO121" s="534" t="str">
        <f t="shared" si="326"/>
        <v/>
      </c>
      <c r="CP121" s="535" t="str">
        <f t="shared" si="327"/>
        <v/>
      </c>
      <c r="CQ121" s="535" t="str">
        <f t="shared" si="328"/>
        <v/>
      </c>
      <c r="CR121" s="535">
        <f t="shared" si="329"/>
        <v>45</v>
      </c>
      <c r="CS121" s="535">
        <f t="shared" si="330"/>
        <v>45</v>
      </c>
      <c r="CT121" s="535">
        <f t="shared" si="331"/>
        <v>45</v>
      </c>
      <c r="CU121" s="536">
        <f t="shared" si="332"/>
        <v>45</v>
      </c>
      <c r="CV121" s="536">
        <f t="shared" si="333"/>
        <v>45</v>
      </c>
      <c r="CW121" s="536">
        <f t="shared" si="334"/>
        <v>45</v>
      </c>
      <c r="CX121" s="535">
        <f t="shared" si="335"/>
        <v>45</v>
      </c>
      <c r="CY121" s="535">
        <f t="shared" si="336"/>
        <v>46</v>
      </c>
      <c r="CZ121" s="535">
        <f t="shared" si="337"/>
        <v>47</v>
      </c>
      <c r="DA121" s="535">
        <f t="shared" si="338"/>
        <v>48</v>
      </c>
      <c r="DB121" s="535" t="str">
        <f t="shared" si="339"/>
        <v/>
      </c>
      <c r="DC121" s="534" t="str">
        <f t="shared" si="340"/>
        <v/>
      </c>
      <c r="DD121" s="533" t="str">
        <f t="shared" si="341"/>
        <v/>
      </c>
      <c r="DE121" s="635">
        <f t="shared" si="342"/>
        <v>10</v>
      </c>
      <c r="DF121" s="95">
        <f t="shared" si="343"/>
        <v>10</v>
      </c>
      <c r="DG121" s="95">
        <f t="shared" si="344"/>
        <v>10</v>
      </c>
      <c r="DH121" s="95">
        <f t="shared" si="345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67"/>
        <v/>
      </c>
      <c r="CA122" s="582" t="str">
        <f t="shared" si="268"/>
        <v/>
      </c>
      <c r="CB122" s="582" t="str">
        <f t="shared" si="269"/>
        <v/>
      </c>
      <c r="CC122" s="582" t="str">
        <f t="shared" si="270"/>
        <v/>
      </c>
      <c r="CD122" s="1008" t="str">
        <f t="shared" si="315"/>
        <v/>
      </c>
      <c r="CE122" s="1010" t="str">
        <f t="shared" si="316"/>
        <v/>
      </c>
      <c r="CF122" s="1010" t="str">
        <f t="shared" si="317"/>
        <v/>
      </c>
      <c r="CG122" s="1010" t="str">
        <f t="shared" si="318"/>
        <v/>
      </c>
      <c r="CH122" s="1011" t="str">
        <f t="shared" si="319"/>
        <v/>
      </c>
      <c r="CI122" s="1011" t="str">
        <f t="shared" si="320"/>
        <v/>
      </c>
      <c r="CJ122" s="1010" t="str">
        <f t="shared" si="321"/>
        <v/>
      </c>
      <c r="CK122" s="1010" t="str">
        <f t="shared" si="322"/>
        <v/>
      </c>
      <c r="CL122" s="1010" t="str">
        <f t="shared" si="323"/>
        <v/>
      </c>
      <c r="CM122" s="1008" t="str">
        <f t="shared" si="324"/>
        <v/>
      </c>
      <c r="CN122" s="533" t="str">
        <f t="shared" si="325"/>
        <v/>
      </c>
      <c r="CO122" s="534" t="str">
        <f t="shared" si="326"/>
        <v/>
      </c>
      <c r="CP122" s="535" t="str">
        <f t="shared" si="327"/>
        <v/>
      </c>
      <c r="CQ122" s="535" t="str">
        <f t="shared" si="328"/>
        <v/>
      </c>
      <c r="CR122" s="535" t="str">
        <f t="shared" si="329"/>
        <v/>
      </c>
      <c r="CS122" s="535" t="str">
        <f t="shared" si="330"/>
        <v/>
      </c>
      <c r="CT122" s="535" t="str">
        <f t="shared" si="331"/>
        <v/>
      </c>
      <c r="CU122" s="536" t="str">
        <f t="shared" si="332"/>
        <v/>
      </c>
      <c r="CV122" s="536" t="str">
        <f t="shared" si="333"/>
        <v/>
      </c>
      <c r="CW122" s="536" t="str">
        <f t="shared" si="334"/>
        <v/>
      </c>
      <c r="CX122" s="535" t="str">
        <f t="shared" si="335"/>
        <v/>
      </c>
      <c r="CY122" s="535" t="str">
        <f t="shared" si="336"/>
        <v/>
      </c>
      <c r="CZ122" s="535" t="str">
        <f t="shared" si="337"/>
        <v/>
      </c>
      <c r="DA122" s="535" t="str">
        <f t="shared" si="338"/>
        <v/>
      </c>
      <c r="DB122" s="535" t="str">
        <f t="shared" si="339"/>
        <v/>
      </c>
      <c r="DC122" s="534" t="str">
        <f t="shared" si="340"/>
        <v/>
      </c>
      <c r="DD122" s="533" t="str">
        <f t="shared" si="341"/>
        <v/>
      </c>
      <c r="DE122" s="635">
        <f t="shared" si="342"/>
        <v>2</v>
      </c>
      <c r="DF122" s="95">
        <f t="shared" si="343"/>
        <v>0</v>
      </c>
      <c r="DG122" s="95">
        <f t="shared" si="344"/>
        <v>0</v>
      </c>
      <c r="DH122" s="95">
        <f t="shared" si="345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46">IF(B122="","",B120*B121*B122)</f>
        <v>0</v>
      </c>
      <c r="C123" s="591">
        <f t="shared" si="346"/>
        <v>0</v>
      </c>
      <c r="D123" s="591" t="str">
        <f t="shared" si="346"/>
        <v/>
      </c>
      <c r="E123" s="591" t="str">
        <f t="shared" si="346"/>
        <v/>
      </c>
      <c r="F123" s="591" t="str">
        <f t="shared" si="346"/>
        <v/>
      </c>
      <c r="G123" s="591" t="str">
        <f t="shared" si="346"/>
        <v/>
      </c>
      <c r="H123" s="591" t="str">
        <f t="shared" si="346"/>
        <v/>
      </c>
      <c r="I123" s="591" t="str">
        <f t="shared" si="346"/>
        <v/>
      </c>
      <c r="J123" s="591" t="str">
        <f t="shared" si="346"/>
        <v/>
      </c>
      <c r="K123" s="591" t="str">
        <f t="shared" si="346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47">IF(T122="","",T120*T121*T122)</f>
        <v/>
      </c>
      <c r="U123" s="591" t="str">
        <f t="shared" si="347"/>
        <v/>
      </c>
      <c r="V123" s="591" t="str">
        <f t="shared" si="347"/>
        <v/>
      </c>
      <c r="W123" s="591" t="str">
        <f t="shared" si="347"/>
        <v/>
      </c>
      <c r="X123" s="591" t="str">
        <f t="shared" si="347"/>
        <v/>
      </c>
      <c r="Y123" s="591" t="str">
        <f t="shared" si="347"/>
        <v/>
      </c>
      <c r="Z123" s="591" t="str">
        <f t="shared" si="347"/>
        <v/>
      </c>
      <c r="AA123" s="591" t="str">
        <f t="shared" si="347"/>
        <v/>
      </c>
      <c r="AB123" s="591" t="str">
        <f t="shared" si="347"/>
        <v/>
      </c>
      <c r="AC123" s="591" t="str">
        <f t="shared" si="347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48">IF(AL122="","",AL120*AL121*AL122)</f>
        <v/>
      </c>
      <c r="AM123" s="591" t="str">
        <f t="shared" si="348"/>
        <v/>
      </c>
      <c r="AN123" s="591" t="str">
        <f t="shared" si="348"/>
        <v/>
      </c>
      <c r="AO123" s="591" t="str">
        <f t="shared" si="348"/>
        <v/>
      </c>
      <c r="AP123" s="591" t="str">
        <f t="shared" si="348"/>
        <v/>
      </c>
      <c r="AQ123" s="591" t="str">
        <f t="shared" si="348"/>
        <v/>
      </c>
      <c r="AR123" s="591" t="str">
        <f t="shared" si="348"/>
        <v/>
      </c>
      <c r="AS123" s="591" t="str">
        <f t="shared" si="348"/>
        <v/>
      </c>
      <c r="AT123" s="591" t="str">
        <f t="shared" si="348"/>
        <v/>
      </c>
      <c r="AU123" s="591" t="str">
        <f t="shared" si="348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49">IF(BD122="","",BD120*BD121*BD122)</f>
        <v/>
      </c>
      <c r="BE123" s="1194" t="str">
        <f t="shared" si="349"/>
        <v/>
      </c>
      <c r="BF123" s="1194" t="str">
        <f t="shared" si="349"/>
        <v/>
      </c>
      <c r="BG123" s="1194" t="str">
        <f t="shared" si="349"/>
        <v/>
      </c>
      <c r="BH123" s="1194" t="str">
        <f t="shared" si="349"/>
        <v/>
      </c>
      <c r="BI123" s="1194" t="str">
        <f t="shared" si="349"/>
        <v/>
      </c>
      <c r="BJ123" s="1194" t="str">
        <f t="shared" si="349"/>
        <v/>
      </c>
      <c r="BK123" s="1194" t="str">
        <f t="shared" si="349"/>
        <v/>
      </c>
      <c r="BL123" s="1194" t="str">
        <f t="shared" si="349"/>
        <v/>
      </c>
      <c r="BM123" s="1194" t="str">
        <f t="shared" si="349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67"/>
        <v/>
      </c>
      <c r="CA123" s="582" t="str">
        <f t="shared" si="268"/>
        <v/>
      </c>
      <c r="CB123" s="582" t="str">
        <f t="shared" si="269"/>
        <v/>
      </c>
      <c r="CC123" s="582" t="str">
        <f t="shared" si="270"/>
        <v/>
      </c>
      <c r="CD123" s="1008" t="str">
        <f t="shared" si="315"/>
        <v/>
      </c>
      <c r="CE123" s="1010" t="str">
        <f t="shared" si="316"/>
        <v/>
      </c>
      <c r="CF123" s="1010" t="str">
        <f t="shared" si="317"/>
        <v/>
      </c>
      <c r="CG123" s="1010" t="str">
        <f t="shared" si="318"/>
        <v/>
      </c>
      <c r="CH123" s="1011" t="str">
        <f t="shared" si="319"/>
        <v/>
      </c>
      <c r="CI123" s="1011" t="str">
        <f t="shared" si="320"/>
        <v/>
      </c>
      <c r="CJ123" s="1010" t="str">
        <f t="shared" si="321"/>
        <v/>
      </c>
      <c r="CK123" s="1010" t="str">
        <f t="shared" si="322"/>
        <v/>
      </c>
      <c r="CL123" s="1010" t="str">
        <f t="shared" si="323"/>
        <v/>
      </c>
      <c r="CM123" s="1008" t="str">
        <f t="shared" si="324"/>
        <v/>
      </c>
      <c r="CN123" s="533" t="str">
        <f t="shared" si="325"/>
        <v/>
      </c>
      <c r="CO123" s="534" t="str">
        <f t="shared" si="326"/>
        <v/>
      </c>
      <c r="CP123" s="535" t="str">
        <f t="shared" si="327"/>
        <v/>
      </c>
      <c r="CQ123" s="535" t="str">
        <f t="shared" si="328"/>
        <v/>
      </c>
      <c r="CR123" s="535" t="str">
        <f t="shared" si="329"/>
        <v/>
      </c>
      <c r="CS123" s="535" t="str">
        <f t="shared" si="330"/>
        <v/>
      </c>
      <c r="CT123" s="535" t="str">
        <f t="shared" si="331"/>
        <v/>
      </c>
      <c r="CU123" s="536" t="str">
        <f t="shared" si="332"/>
        <v/>
      </c>
      <c r="CV123" s="536" t="str">
        <f t="shared" si="333"/>
        <v/>
      </c>
      <c r="CW123" s="536" t="str">
        <f t="shared" si="334"/>
        <v/>
      </c>
      <c r="CX123" s="535" t="str">
        <f t="shared" si="335"/>
        <v/>
      </c>
      <c r="CY123" s="535" t="str">
        <f t="shared" si="336"/>
        <v/>
      </c>
      <c r="CZ123" s="535" t="str">
        <f t="shared" si="337"/>
        <v/>
      </c>
      <c r="DA123" s="535" t="str">
        <f t="shared" si="338"/>
        <v/>
      </c>
      <c r="DB123" s="535" t="str">
        <f t="shared" si="339"/>
        <v/>
      </c>
      <c r="DC123" s="534" t="str">
        <f t="shared" si="340"/>
        <v/>
      </c>
      <c r="DD123" s="533" t="str">
        <f t="shared" si="341"/>
        <v/>
      </c>
      <c r="DE123" s="635">
        <f t="shared" si="342"/>
        <v>2</v>
      </c>
      <c r="DF123" s="95">
        <f t="shared" si="343"/>
        <v>0</v>
      </c>
      <c r="DG123" s="95">
        <f t="shared" si="344"/>
        <v>0</v>
      </c>
      <c r="DH123" s="95">
        <f t="shared" si="345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67"/>
        <v/>
      </c>
      <c r="CA124" s="582" t="str">
        <f t="shared" si="268"/>
        <v/>
      </c>
      <c r="CB124" s="582" t="str">
        <f t="shared" si="269"/>
        <v/>
      </c>
      <c r="CC124" s="582" t="str">
        <f t="shared" si="270"/>
        <v/>
      </c>
      <c r="CD124" s="1008" t="str">
        <f t="shared" si="315"/>
        <v/>
      </c>
      <c r="CE124" s="1010" t="str">
        <f t="shared" si="316"/>
        <v/>
      </c>
      <c r="CF124" s="1010" t="str">
        <f t="shared" si="317"/>
        <v/>
      </c>
      <c r="CG124" s="1010" t="str">
        <f t="shared" si="318"/>
        <v/>
      </c>
      <c r="CH124" s="1011" t="str">
        <f t="shared" si="319"/>
        <v/>
      </c>
      <c r="CI124" s="1011" t="str">
        <f t="shared" si="320"/>
        <v/>
      </c>
      <c r="CJ124" s="1010" t="str">
        <f t="shared" si="321"/>
        <v/>
      </c>
      <c r="CK124" s="1010" t="str">
        <f t="shared" si="322"/>
        <v/>
      </c>
      <c r="CL124" s="1010" t="str">
        <f t="shared" si="323"/>
        <v/>
      </c>
      <c r="CM124" s="1008" t="str">
        <f t="shared" si="324"/>
        <v/>
      </c>
      <c r="CN124" s="533" t="str">
        <f t="shared" si="325"/>
        <v/>
      </c>
      <c r="CO124" s="534" t="str">
        <f t="shared" si="326"/>
        <v/>
      </c>
      <c r="CP124" s="535" t="str">
        <f t="shared" si="327"/>
        <v/>
      </c>
      <c r="CQ124" s="535" t="str">
        <f t="shared" si="328"/>
        <v/>
      </c>
      <c r="CR124" s="535" t="str">
        <f t="shared" si="329"/>
        <v/>
      </c>
      <c r="CS124" s="535" t="str">
        <f t="shared" si="330"/>
        <v/>
      </c>
      <c r="CT124" s="535" t="str">
        <f t="shared" si="331"/>
        <v/>
      </c>
      <c r="CU124" s="536" t="str">
        <f t="shared" si="332"/>
        <v/>
      </c>
      <c r="CV124" s="536" t="str">
        <f t="shared" si="333"/>
        <v/>
      </c>
      <c r="CW124" s="536" t="str">
        <f t="shared" si="334"/>
        <v/>
      </c>
      <c r="CX124" s="535" t="str">
        <f t="shared" si="335"/>
        <v/>
      </c>
      <c r="CY124" s="535" t="str">
        <f t="shared" si="336"/>
        <v/>
      </c>
      <c r="CZ124" s="535" t="str">
        <f t="shared" si="337"/>
        <v/>
      </c>
      <c r="DA124" s="535" t="str">
        <f t="shared" si="338"/>
        <v/>
      </c>
      <c r="DB124" s="535" t="str">
        <f t="shared" si="339"/>
        <v/>
      </c>
      <c r="DC124" s="534" t="str">
        <f t="shared" si="340"/>
        <v/>
      </c>
      <c r="DD124" s="533" t="str">
        <f t="shared" si="341"/>
        <v/>
      </c>
      <c r="DE124" s="635">
        <f t="shared" si="342"/>
        <v>0</v>
      </c>
      <c r="DF124" s="95">
        <f t="shared" si="343"/>
        <v>0</v>
      </c>
      <c r="DG124" s="95">
        <f t="shared" si="344"/>
        <v>0</v>
      </c>
      <c r="DH124" s="95">
        <f t="shared" si="345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67"/>
        <v/>
      </c>
      <c r="CA125" s="582" t="str">
        <f t="shared" si="268"/>
        <v/>
      </c>
      <c r="CB125" s="582" t="str">
        <f t="shared" si="269"/>
        <v/>
      </c>
      <c r="CC125" s="582" t="str">
        <f t="shared" si="270"/>
        <v/>
      </c>
      <c r="CD125" s="1008" t="str">
        <f t="shared" si="315"/>
        <v/>
      </c>
      <c r="CE125" s="1010" t="str">
        <f t="shared" si="316"/>
        <v/>
      </c>
      <c r="CF125" s="1010" t="str">
        <f t="shared" si="317"/>
        <v/>
      </c>
      <c r="CG125" s="1010" t="str">
        <f t="shared" si="318"/>
        <v/>
      </c>
      <c r="CH125" s="1011" t="str">
        <f t="shared" si="319"/>
        <v/>
      </c>
      <c r="CI125" s="1011" t="str">
        <f t="shared" si="320"/>
        <v/>
      </c>
      <c r="CJ125" s="1010" t="str">
        <f t="shared" si="321"/>
        <v/>
      </c>
      <c r="CK125" s="1010" t="str">
        <f t="shared" si="322"/>
        <v/>
      </c>
      <c r="CL125" s="1010" t="str">
        <f t="shared" si="323"/>
        <v/>
      </c>
      <c r="CM125" s="1008" t="str">
        <f t="shared" si="324"/>
        <v/>
      </c>
      <c r="CN125" s="533" t="str">
        <f t="shared" si="325"/>
        <v/>
      </c>
      <c r="CO125" s="534" t="str">
        <f t="shared" si="326"/>
        <v/>
      </c>
      <c r="CP125" s="535" t="str">
        <f t="shared" si="327"/>
        <v/>
      </c>
      <c r="CQ125" s="535" t="str">
        <f t="shared" si="328"/>
        <v/>
      </c>
      <c r="CR125" s="535" t="str">
        <f t="shared" si="329"/>
        <v/>
      </c>
      <c r="CS125" s="535" t="str">
        <f t="shared" si="330"/>
        <v/>
      </c>
      <c r="CT125" s="535" t="str">
        <f t="shared" si="331"/>
        <v/>
      </c>
      <c r="CU125" s="536" t="str">
        <f t="shared" si="332"/>
        <v/>
      </c>
      <c r="CV125" s="536" t="str">
        <f t="shared" si="333"/>
        <v/>
      </c>
      <c r="CW125" s="536" t="str">
        <f t="shared" si="334"/>
        <v/>
      </c>
      <c r="CX125" s="535" t="str">
        <f t="shared" si="335"/>
        <v/>
      </c>
      <c r="CY125" s="535" t="str">
        <f t="shared" si="336"/>
        <v/>
      </c>
      <c r="CZ125" s="535" t="str">
        <f t="shared" si="337"/>
        <v/>
      </c>
      <c r="DA125" s="535" t="str">
        <f t="shared" si="338"/>
        <v/>
      </c>
      <c r="DB125" s="535" t="str">
        <f t="shared" si="339"/>
        <v/>
      </c>
      <c r="DC125" s="534" t="str">
        <f t="shared" si="340"/>
        <v/>
      </c>
      <c r="DD125" s="533" t="str">
        <f t="shared" si="341"/>
        <v/>
      </c>
      <c r="DE125" s="635">
        <f t="shared" si="342"/>
        <v>0</v>
      </c>
      <c r="DF125" s="95">
        <f t="shared" si="343"/>
        <v>0</v>
      </c>
      <c r="DG125" s="95">
        <f t="shared" si="344"/>
        <v>0</v>
      </c>
      <c r="DH125" s="95">
        <f t="shared" si="345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0">IF(B124="","",B124*B125)</f>
        <v/>
      </c>
      <c r="C126" s="592" t="str">
        <f t="shared" si="350"/>
        <v/>
      </c>
      <c r="D126" s="592" t="str">
        <f t="shared" si="350"/>
        <v/>
      </c>
      <c r="E126" s="592" t="str">
        <f t="shared" si="350"/>
        <v/>
      </c>
      <c r="F126" s="592" t="str">
        <f t="shared" si="350"/>
        <v/>
      </c>
      <c r="G126" s="592" t="str">
        <f t="shared" si="350"/>
        <v/>
      </c>
      <c r="H126" s="592" t="str">
        <f t="shared" si="350"/>
        <v/>
      </c>
      <c r="I126" s="592" t="str">
        <f t="shared" si="350"/>
        <v/>
      </c>
      <c r="J126" s="592" t="str">
        <f t="shared" si="350"/>
        <v/>
      </c>
      <c r="K126" s="592" t="str">
        <f t="shared" si="350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1">IF(T124="","",T124*T125)</f>
        <v/>
      </c>
      <c r="U126" s="592" t="str">
        <f t="shared" si="351"/>
        <v/>
      </c>
      <c r="V126" s="592" t="str">
        <f t="shared" si="351"/>
        <v/>
      </c>
      <c r="W126" s="592" t="str">
        <f t="shared" si="351"/>
        <v/>
      </c>
      <c r="X126" s="592" t="str">
        <f t="shared" si="351"/>
        <v/>
      </c>
      <c r="Y126" s="592" t="str">
        <f t="shared" si="351"/>
        <v/>
      </c>
      <c r="Z126" s="592" t="str">
        <f t="shared" si="351"/>
        <v/>
      </c>
      <c r="AA126" s="592" t="str">
        <f t="shared" si="351"/>
        <v/>
      </c>
      <c r="AB126" s="592" t="str">
        <f t="shared" si="351"/>
        <v/>
      </c>
      <c r="AC126" s="592" t="str">
        <f t="shared" si="351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2">IF(AL124="","",AL124*AL125)</f>
        <v/>
      </c>
      <c r="AM126" s="592" t="str">
        <f t="shared" si="352"/>
        <v/>
      </c>
      <c r="AN126" s="592" t="str">
        <f t="shared" si="352"/>
        <v/>
      </c>
      <c r="AO126" s="592" t="str">
        <f t="shared" si="352"/>
        <v/>
      </c>
      <c r="AP126" s="592" t="str">
        <f t="shared" si="352"/>
        <v/>
      </c>
      <c r="AQ126" s="592" t="str">
        <f t="shared" si="352"/>
        <v/>
      </c>
      <c r="AR126" s="592" t="str">
        <f t="shared" si="352"/>
        <v/>
      </c>
      <c r="AS126" s="592" t="str">
        <f t="shared" si="352"/>
        <v/>
      </c>
      <c r="AT126" s="592" t="str">
        <f t="shared" si="352"/>
        <v/>
      </c>
      <c r="AU126" s="592" t="str">
        <f t="shared" si="352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3">IF(BD124="","",BD124*BD125)</f>
        <v/>
      </c>
      <c r="BE126" s="1195" t="str">
        <f t="shared" si="353"/>
        <v/>
      </c>
      <c r="BF126" s="1195" t="str">
        <f t="shared" si="353"/>
        <v/>
      </c>
      <c r="BG126" s="1195" t="str">
        <f t="shared" si="353"/>
        <v/>
      </c>
      <c r="BH126" s="1195" t="str">
        <f t="shared" si="353"/>
        <v/>
      </c>
      <c r="BI126" s="1195" t="str">
        <f t="shared" si="353"/>
        <v/>
      </c>
      <c r="BJ126" s="1195" t="str">
        <f t="shared" si="353"/>
        <v/>
      </c>
      <c r="BK126" s="1195" t="str">
        <f t="shared" si="353"/>
        <v/>
      </c>
      <c r="BL126" s="1195" t="str">
        <f t="shared" si="353"/>
        <v/>
      </c>
      <c r="BM126" s="1195" t="str">
        <f t="shared" si="353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67"/>
        <v/>
      </c>
      <c r="CA126" s="582" t="str">
        <f t="shared" si="268"/>
        <v/>
      </c>
      <c r="CB126" s="582" t="str">
        <f t="shared" si="269"/>
        <v/>
      </c>
      <c r="CC126" s="582" t="str">
        <f t="shared" si="270"/>
        <v/>
      </c>
      <c r="CD126" s="1008" t="str">
        <f t="shared" si="315"/>
        <v/>
      </c>
      <c r="CE126" s="1010" t="str">
        <f t="shared" si="316"/>
        <v/>
      </c>
      <c r="CF126" s="1010" t="str">
        <f t="shared" si="317"/>
        <v/>
      </c>
      <c r="CG126" s="1010" t="str">
        <f t="shared" si="318"/>
        <v/>
      </c>
      <c r="CH126" s="1011" t="str">
        <f t="shared" si="319"/>
        <v/>
      </c>
      <c r="CI126" s="1011" t="str">
        <f t="shared" si="320"/>
        <v/>
      </c>
      <c r="CJ126" s="1010" t="str">
        <f t="shared" si="321"/>
        <v/>
      </c>
      <c r="CK126" s="1010" t="str">
        <f t="shared" si="322"/>
        <v/>
      </c>
      <c r="CL126" s="1010" t="str">
        <f t="shared" si="323"/>
        <v/>
      </c>
      <c r="CM126" s="1008" t="str">
        <f t="shared" si="324"/>
        <v/>
      </c>
      <c r="CN126" s="533" t="str">
        <f t="shared" si="325"/>
        <v/>
      </c>
      <c r="CO126" s="534" t="str">
        <f t="shared" si="326"/>
        <v/>
      </c>
      <c r="CP126" s="535" t="str">
        <f t="shared" si="327"/>
        <v/>
      </c>
      <c r="CQ126" s="535" t="str">
        <f t="shared" si="328"/>
        <v/>
      </c>
      <c r="CR126" s="535" t="str">
        <f t="shared" si="329"/>
        <v/>
      </c>
      <c r="CS126" s="535" t="str">
        <f t="shared" si="330"/>
        <v/>
      </c>
      <c r="CT126" s="535" t="str">
        <f t="shared" si="331"/>
        <v/>
      </c>
      <c r="CU126" s="536" t="str">
        <f t="shared" si="332"/>
        <v/>
      </c>
      <c r="CV126" s="536" t="str">
        <f t="shared" si="333"/>
        <v/>
      </c>
      <c r="CW126" s="536" t="str">
        <f t="shared" si="334"/>
        <v/>
      </c>
      <c r="CX126" s="535" t="str">
        <f t="shared" si="335"/>
        <v/>
      </c>
      <c r="CY126" s="535" t="str">
        <f t="shared" si="336"/>
        <v/>
      </c>
      <c r="CZ126" s="535" t="str">
        <f t="shared" si="337"/>
        <v/>
      </c>
      <c r="DA126" s="535" t="str">
        <f t="shared" si="338"/>
        <v/>
      </c>
      <c r="DB126" s="535" t="str">
        <f t="shared" si="339"/>
        <v/>
      </c>
      <c r="DC126" s="534" t="str">
        <f t="shared" si="340"/>
        <v/>
      </c>
      <c r="DD126" s="533" t="str">
        <f t="shared" si="341"/>
        <v/>
      </c>
      <c r="DE126" s="635">
        <f t="shared" si="342"/>
        <v>0</v>
      </c>
      <c r="DF126" s="95">
        <f t="shared" si="343"/>
        <v>0</v>
      </c>
      <c r="DG126" s="95">
        <f t="shared" si="344"/>
        <v>0</v>
      </c>
      <c r="DH126" s="95">
        <f t="shared" si="345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67"/>
        <v>1</v>
      </c>
      <c r="CA127" s="582">
        <f t="shared" si="268"/>
        <v>1</v>
      </c>
      <c r="CB127" s="582">
        <f t="shared" si="269"/>
        <v>1</v>
      </c>
      <c r="CC127" s="582">
        <f t="shared" si="270"/>
        <v>1</v>
      </c>
      <c r="CD127" s="1008">
        <f t="shared" si="315"/>
        <v>1</v>
      </c>
      <c r="CE127" s="1010">
        <f t="shared" si="316"/>
        <v>1</v>
      </c>
      <c r="CF127" s="1010">
        <f t="shared" si="317"/>
        <v>1</v>
      </c>
      <c r="CG127" s="1010">
        <f t="shared" si="318"/>
        <v>1</v>
      </c>
      <c r="CH127" s="1011">
        <f t="shared" si="319"/>
        <v>1</v>
      </c>
      <c r="CI127" s="1011">
        <f t="shared" si="320"/>
        <v>1</v>
      </c>
      <c r="CJ127" s="1010">
        <f t="shared" si="321"/>
        <v>1</v>
      </c>
      <c r="CK127" s="1010">
        <f t="shared" si="322"/>
        <v>1</v>
      </c>
      <c r="CL127" s="1010">
        <f t="shared" si="323"/>
        <v>1</v>
      </c>
      <c r="CM127" s="1008">
        <f t="shared" si="324"/>
        <v>1</v>
      </c>
      <c r="CN127" s="533" t="str">
        <f t="shared" si="325"/>
        <v/>
      </c>
      <c r="CO127" s="534" t="str">
        <f t="shared" si="326"/>
        <v/>
      </c>
      <c r="CP127" s="535" t="str">
        <f t="shared" si="327"/>
        <v/>
      </c>
      <c r="CQ127" s="535" t="str">
        <f t="shared" si="328"/>
        <v/>
      </c>
      <c r="CR127" s="535">
        <f t="shared" si="329"/>
        <v>1</v>
      </c>
      <c r="CS127" s="535">
        <f t="shared" si="330"/>
        <v>1</v>
      </c>
      <c r="CT127" s="535">
        <f t="shared" si="331"/>
        <v>1</v>
      </c>
      <c r="CU127" s="536">
        <f t="shared" si="332"/>
        <v>1</v>
      </c>
      <c r="CV127" s="536">
        <f t="shared" si="333"/>
        <v>1</v>
      </c>
      <c r="CW127" s="536">
        <f t="shared" si="334"/>
        <v>1</v>
      </c>
      <c r="CX127" s="535">
        <f t="shared" si="335"/>
        <v>1</v>
      </c>
      <c r="CY127" s="535">
        <f t="shared" si="336"/>
        <v>1</v>
      </c>
      <c r="CZ127" s="535">
        <f t="shared" si="337"/>
        <v>1</v>
      </c>
      <c r="DA127" s="535">
        <f t="shared" si="338"/>
        <v>1</v>
      </c>
      <c r="DB127" s="535" t="str">
        <f t="shared" si="339"/>
        <v/>
      </c>
      <c r="DC127" s="534" t="str">
        <f t="shared" si="340"/>
        <v/>
      </c>
      <c r="DD127" s="533" t="str">
        <f t="shared" si="341"/>
        <v/>
      </c>
      <c r="DE127" s="635">
        <f t="shared" si="342"/>
        <v>10</v>
      </c>
      <c r="DF127" s="95">
        <f t="shared" si="343"/>
        <v>10</v>
      </c>
      <c r="DG127" s="95">
        <f t="shared" si="344"/>
        <v>10</v>
      </c>
      <c r="DH127" s="95">
        <f t="shared" si="345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67"/>
        <v/>
      </c>
      <c r="CA128" s="582" t="str">
        <f t="shared" si="268"/>
        <v/>
      </c>
      <c r="CB128" s="582" t="str">
        <f t="shared" si="269"/>
        <v/>
      </c>
      <c r="CC128" s="582" t="str">
        <f t="shared" si="270"/>
        <v/>
      </c>
      <c r="CD128" s="1008" t="str">
        <f t="shared" si="315"/>
        <v/>
      </c>
      <c r="CE128" s="1010" t="str">
        <f t="shared" si="316"/>
        <v/>
      </c>
      <c r="CF128" s="1010" t="str">
        <f t="shared" si="317"/>
        <v/>
      </c>
      <c r="CG128" s="1010" t="str">
        <f t="shared" si="318"/>
        <v/>
      </c>
      <c r="CH128" s="1011" t="str">
        <f t="shared" si="319"/>
        <v/>
      </c>
      <c r="CI128" s="1011" t="str">
        <f t="shared" si="320"/>
        <v/>
      </c>
      <c r="CJ128" s="1010" t="str">
        <f t="shared" si="321"/>
        <v/>
      </c>
      <c r="CK128" s="1010" t="str">
        <f t="shared" si="322"/>
        <v/>
      </c>
      <c r="CL128" s="1010" t="str">
        <f t="shared" si="323"/>
        <v/>
      </c>
      <c r="CM128" s="1008" t="str">
        <f t="shared" si="324"/>
        <v/>
      </c>
      <c r="CN128" s="533" t="str">
        <f t="shared" si="325"/>
        <v/>
      </c>
      <c r="CO128" s="534" t="str">
        <f t="shared" si="326"/>
        <v/>
      </c>
      <c r="CP128" s="535" t="str">
        <f t="shared" si="327"/>
        <v/>
      </c>
      <c r="CQ128" s="535" t="str">
        <f t="shared" si="328"/>
        <v/>
      </c>
      <c r="CR128" s="535" t="str">
        <f t="shared" si="329"/>
        <v/>
      </c>
      <c r="CS128" s="535" t="str">
        <f t="shared" si="330"/>
        <v/>
      </c>
      <c r="CT128" s="535" t="str">
        <f t="shared" si="331"/>
        <v/>
      </c>
      <c r="CU128" s="536" t="str">
        <f t="shared" si="332"/>
        <v/>
      </c>
      <c r="CV128" s="536" t="str">
        <f t="shared" si="333"/>
        <v/>
      </c>
      <c r="CW128" s="536" t="str">
        <f t="shared" si="334"/>
        <v/>
      </c>
      <c r="CX128" s="535" t="str">
        <f t="shared" si="335"/>
        <v/>
      </c>
      <c r="CY128" s="535" t="str">
        <f t="shared" si="336"/>
        <v/>
      </c>
      <c r="CZ128" s="535" t="str">
        <f t="shared" si="337"/>
        <v/>
      </c>
      <c r="DA128" s="535" t="str">
        <f t="shared" si="338"/>
        <v/>
      </c>
      <c r="DB128" s="535" t="str">
        <f t="shared" si="339"/>
        <v/>
      </c>
      <c r="DC128" s="534" t="str">
        <f t="shared" si="340"/>
        <v/>
      </c>
      <c r="DD128" s="533" t="str">
        <f t="shared" si="341"/>
        <v/>
      </c>
      <c r="DE128" s="635">
        <f t="shared" si="342"/>
        <v>0</v>
      </c>
      <c r="DF128" s="95">
        <f t="shared" si="343"/>
        <v>0</v>
      </c>
      <c r="DG128" s="95">
        <f t="shared" si="344"/>
        <v>0</v>
      </c>
      <c r="DH128" s="95">
        <f t="shared" si="345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67"/>
        <v/>
      </c>
      <c r="CA129" s="582" t="str">
        <f t="shared" si="268"/>
        <v/>
      </c>
      <c r="CB129" s="582" t="str">
        <f t="shared" si="269"/>
        <v/>
      </c>
      <c r="CC129" s="582" t="str">
        <f t="shared" si="270"/>
        <v/>
      </c>
      <c r="CD129" s="1008" t="str">
        <f t="shared" si="315"/>
        <v/>
      </c>
      <c r="CE129" s="1010" t="str">
        <f t="shared" si="316"/>
        <v/>
      </c>
      <c r="CF129" s="1010" t="str">
        <f t="shared" si="317"/>
        <v/>
      </c>
      <c r="CG129" s="1010" t="str">
        <f t="shared" si="318"/>
        <v/>
      </c>
      <c r="CH129" s="1011" t="str">
        <f t="shared" si="319"/>
        <v/>
      </c>
      <c r="CI129" s="1011" t="str">
        <f t="shared" si="320"/>
        <v/>
      </c>
      <c r="CJ129" s="1010" t="str">
        <f t="shared" si="321"/>
        <v/>
      </c>
      <c r="CK129" s="1010" t="str">
        <f t="shared" si="322"/>
        <v/>
      </c>
      <c r="CL129" s="1010" t="str">
        <f t="shared" si="323"/>
        <v/>
      </c>
      <c r="CM129" s="1008" t="str">
        <f t="shared" si="324"/>
        <v/>
      </c>
      <c r="CN129" s="533" t="str">
        <f t="shared" si="325"/>
        <v/>
      </c>
      <c r="CO129" s="534" t="str">
        <f t="shared" si="326"/>
        <v/>
      </c>
      <c r="CP129" s="535" t="str">
        <f t="shared" si="327"/>
        <v/>
      </c>
      <c r="CQ129" s="535" t="str">
        <f t="shared" si="328"/>
        <v/>
      </c>
      <c r="CR129" s="535" t="str">
        <f t="shared" si="329"/>
        <v/>
      </c>
      <c r="CS129" s="535" t="str">
        <f t="shared" si="330"/>
        <v/>
      </c>
      <c r="CT129" s="535" t="str">
        <f t="shared" si="331"/>
        <v/>
      </c>
      <c r="CU129" s="536" t="str">
        <f t="shared" si="332"/>
        <v/>
      </c>
      <c r="CV129" s="536" t="str">
        <f t="shared" si="333"/>
        <v/>
      </c>
      <c r="CW129" s="536" t="str">
        <f t="shared" si="334"/>
        <v/>
      </c>
      <c r="CX129" s="535" t="str">
        <f t="shared" si="335"/>
        <v/>
      </c>
      <c r="CY129" s="535" t="str">
        <f t="shared" si="336"/>
        <v/>
      </c>
      <c r="CZ129" s="535" t="str">
        <f t="shared" si="337"/>
        <v/>
      </c>
      <c r="DA129" s="535" t="str">
        <f t="shared" si="338"/>
        <v/>
      </c>
      <c r="DB129" s="535" t="str">
        <f t="shared" si="339"/>
        <v/>
      </c>
      <c r="DC129" s="534" t="str">
        <f t="shared" si="340"/>
        <v/>
      </c>
      <c r="DD129" s="533" t="str">
        <f t="shared" si="341"/>
        <v/>
      </c>
      <c r="DE129" s="635">
        <f t="shared" si="342"/>
        <v>0</v>
      </c>
      <c r="DF129" s="95">
        <f t="shared" si="343"/>
        <v>0</v>
      </c>
      <c r="DG129" s="95">
        <f t="shared" si="344"/>
        <v>0</v>
      </c>
      <c r="DH129" s="95">
        <f t="shared" si="345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67"/>
        <v>45</v>
      </c>
      <c r="CA130" s="582">
        <f t="shared" si="268"/>
        <v>45</v>
      </c>
      <c r="CB130" s="582">
        <f t="shared" si="269"/>
        <v>45</v>
      </c>
      <c r="CC130" s="582">
        <f t="shared" si="270"/>
        <v>45</v>
      </c>
      <c r="CD130" s="1008">
        <f t="shared" si="315"/>
        <v>45</v>
      </c>
      <c r="CE130" s="1010">
        <f t="shared" si="316"/>
        <v>45</v>
      </c>
      <c r="CF130" s="1010">
        <f t="shared" si="317"/>
        <v>45</v>
      </c>
      <c r="CG130" s="1010">
        <f t="shared" si="318"/>
        <v>45</v>
      </c>
      <c r="CH130" s="1011">
        <f t="shared" si="319"/>
        <v>45</v>
      </c>
      <c r="CI130" s="1011">
        <f t="shared" si="320"/>
        <v>45</v>
      </c>
      <c r="CJ130" s="1010">
        <f t="shared" si="321"/>
        <v>45</v>
      </c>
      <c r="CK130" s="1010">
        <f t="shared" si="322"/>
        <v>45</v>
      </c>
      <c r="CL130" s="1010">
        <f t="shared" si="323"/>
        <v>45</v>
      </c>
      <c r="CM130" s="1008">
        <f t="shared" si="324"/>
        <v>45</v>
      </c>
      <c r="CN130" s="533" t="str">
        <f t="shared" si="325"/>
        <v/>
      </c>
      <c r="CO130" s="534" t="str">
        <f t="shared" si="326"/>
        <v/>
      </c>
      <c r="CP130" s="535" t="str">
        <f t="shared" si="327"/>
        <v/>
      </c>
      <c r="CQ130" s="535" t="str">
        <f t="shared" si="328"/>
        <v/>
      </c>
      <c r="CR130" s="535">
        <f t="shared" si="329"/>
        <v>45</v>
      </c>
      <c r="CS130" s="535">
        <f t="shared" si="330"/>
        <v>45</v>
      </c>
      <c r="CT130" s="535">
        <f t="shared" si="331"/>
        <v>45</v>
      </c>
      <c r="CU130" s="536">
        <f t="shared" si="332"/>
        <v>45</v>
      </c>
      <c r="CV130" s="536">
        <f t="shared" si="333"/>
        <v>45</v>
      </c>
      <c r="CW130" s="536">
        <f t="shared" si="334"/>
        <v>45</v>
      </c>
      <c r="CX130" s="535">
        <f t="shared" si="335"/>
        <v>45</v>
      </c>
      <c r="CY130" s="535">
        <f t="shared" si="336"/>
        <v>45</v>
      </c>
      <c r="CZ130" s="535">
        <f t="shared" si="337"/>
        <v>45</v>
      </c>
      <c r="DA130" s="535">
        <f t="shared" si="338"/>
        <v>45</v>
      </c>
      <c r="DB130" s="535" t="str">
        <f t="shared" si="339"/>
        <v/>
      </c>
      <c r="DC130" s="534" t="str">
        <f t="shared" si="340"/>
        <v/>
      </c>
      <c r="DD130" s="533" t="str">
        <f t="shared" si="341"/>
        <v/>
      </c>
      <c r="DE130" s="635">
        <f t="shared" si="342"/>
        <v>10</v>
      </c>
      <c r="DF130" s="95">
        <f t="shared" si="343"/>
        <v>10</v>
      </c>
      <c r="DG130" s="95">
        <f t="shared" si="344"/>
        <v>10</v>
      </c>
      <c r="DH130" s="95">
        <f t="shared" si="345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67"/>
        <v/>
      </c>
      <c r="CA131" s="582" t="str">
        <f t="shared" si="268"/>
        <v/>
      </c>
      <c r="CB131" s="582" t="str">
        <f t="shared" si="269"/>
        <v/>
      </c>
      <c r="CC131" s="582" t="str">
        <f t="shared" si="270"/>
        <v/>
      </c>
      <c r="CD131" s="1008" t="str">
        <f t="shared" si="315"/>
        <v/>
      </c>
      <c r="CE131" s="1010" t="str">
        <f t="shared" si="316"/>
        <v/>
      </c>
      <c r="CF131" s="1010" t="str">
        <f t="shared" si="317"/>
        <v/>
      </c>
      <c r="CG131" s="1010" t="str">
        <f t="shared" si="318"/>
        <v/>
      </c>
      <c r="CH131" s="1011" t="str">
        <f t="shared" si="319"/>
        <v/>
      </c>
      <c r="CI131" s="1011" t="str">
        <f t="shared" si="320"/>
        <v/>
      </c>
      <c r="CJ131" s="1010" t="str">
        <f t="shared" si="321"/>
        <v/>
      </c>
      <c r="CK131" s="1010" t="str">
        <f t="shared" si="322"/>
        <v/>
      </c>
      <c r="CL131" s="1010" t="str">
        <f t="shared" si="323"/>
        <v/>
      </c>
      <c r="CM131" s="1008" t="str">
        <f t="shared" si="324"/>
        <v/>
      </c>
      <c r="CN131" s="533" t="str">
        <f t="shared" si="325"/>
        <v/>
      </c>
      <c r="CO131" s="534" t="str">
        <f t="shared" si="326"/>
        <v/>
      </c>
      <c r="CP131" s="535" t="str">
        <f t="shared" si="327"/>
        <v/>
      </c>
      <c r="CQ131" s="535" t="str">
        <f t="shared" si="328"/>
        <v/>
      </c>
      <c r="CR131" s="535" t="str">
        <f t="shared" si="329"/>
        <v/>
      </c>
      <c r="CS131" s="535" t="str">
        <f t="shared" si="330"/>
        <v/>
      </c>
      <c r="CT131" s="535" t="str">
        <f t="shared" si="331"/>
        <v/>
      </c>
      <c r="CU131" s="536" t="str">
        <f t="shared" si="332"/>
        <v/>
      </c>
      <c r="CV131" s="536" t="str">
        <f t="shared" si="333"/>
        <v/>
      </c>
      <c r="CW131" s="536" t="str">
        <f t="shared" si="334"/>
        <v/>
      </c>
      <c r="CX131" s="535" t="str">
        <f t="shared" si="335"/>
        <v/>
      </c>
      <c r="CY131" s="535" t="str">
        <f t="shared" si="336"/>
        <v/>
      </c>
      <c r="CZ131" s="535" t="str">
        <f t="shared" si="337"/>
        <v/>
      </c>
      <c r="DA131" s="535" t="str">
        <f t="shared" si="338"/>
        <v/>
      </c>
      <c r="DB131" s="535" t="str">
        <f t="shared" si="339"/>
        <v/>
      </c>
      <c r="DC131" s="534" t="str">
        <f t="shared" si="340"/>
        <v/>
      </c>
      <c r="DD131" s="533" t="str">
        <f t="shared" si="341"/>
        <v/>
      </c>
      <c r="DE131" s="635">
        <f t="shared" si="342"/>
        <v>0</v>
      </c>
      <c r="DF131" s="95">
        <f t="shared" si="343"/>
        <v>0</v>
      </c>
      <c r="DG131" s="95">
        <f t="shared" si="344"/>
        <v>0</v>
      </c>
      <c r="DH131" s="95">
        <f t="shared" si="345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54">IF(B131="","",IF(B129="",B120*B130*B131,B129*B130*B131))</f>
        <v/>
      </c>
      <c r="C132" s="591" t="str">
        <f t="shared" si="354"/>
        <v/>
      </c>
      <c r="D132" s="591" t="str">
        <f t="shared" si="354"/>
        <v/>
      </c>
      <c r="E132" s="591" t="str">
        <f t="shared" si="354"/>
        <v/>
      </c>
      <c r="F132" s="591" t="str">
        <f t="shared" si="354"/>
        <v/>
      </c>
      <c r="G132" s="591" t="str">
        <f t="shared" si="354"/>
        <v/>
      </c>
      <c r="H132" s="591" t="str">
        <f t="shared" si="354"/>
        <v/>
      </c>
      <c r="I132" s="591" t="str">
        <f t="shared" si="354"/>
        <v/>
      </c>
      <c r="J132" s="591" t="str">
        <f t="shared" si="354"/>
        <v/>
      </c>
      <c r="K132" s="591" t="str">
        <f t="shared" si="354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55">IF(T131="","",IF(T129="",T120*T130*T131,T129*T130*T131))</f>
        <v/>
      </c>
      <c r="U132" s="591" t="str">
        <f t="shared" si="355"/>
        <v/>
      </c>
      <c r="V132" s="591" t="str">
        <f t="shared" si="355"/>
        <v/>
      </c>
      <c r="W132" s="591" t="str">
        <f t="shared" si="355"/>
        <v/>
      </c>
      <c r="X132" s="591" t="str">
        <f t="shared" si="355"/>
        <v/>
      </c>
      <c r="Y132" s="591" t="str">
        <f t="shared" si="355"/>
        <v/>
      </c>
      <c r="Z132" s="591" t="str">
        <f t="shared" si="355"/>
        <v/>
      </c>
      <c r="AA132" s="591" t="str">
        <f t="shared" si="355"/>
        <v/>
      </c>
      <c r="AB132" s="591" t="str">
        <f t="shared" si="355"/>
        <v/>
      </c>
      <c r="AC132" s="591" t="str">
        <f t="shared" si="355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56">IF(AL131="","",IF(AL129="",AL120*AL130*AL131,AL129*AL130*AL131))</f>
        <v/>
      </c>
      <c r="AM132" s="591" t="str">
        <f t="shared" si="356"/>
        <v/>
      </c>
      <c r="AN132" s="591" t="str">
        <f t="shared" si="356"/>
        <v/>
      </c>
      <c r="AO132" s="591" t="str">
        <f t="shared" si="356"/>
        <v/>
      </c>
      <c r="AP132" s="591" t="str">
        <f t="shared" si="356"/>
        <v/>
      </c>
      <c r="AQ132" s="591" t="str">
        <f t="shared" si="356"/>
        <v/>
      </c>
      <c r="AR132" s="591" t="str">
        <f t="shared" si="356"/>
        <v/>
      </c>
      <c r="AS132" s="591" t="str">
        <f t="shared" si="356"/>
        <v/>
      </c>
      <c r="AT132" s="591" t="str">
        <f t="shared" si="356"/>
        <v/>
      </c>
      <c r="AU132" s="591" t="str">
        <f t="shared" si="356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57">IF(BD131="","",IF(BD129="",BD120*BD130*BD131,BD129*BD130*BD131))</f>
        <v/>
      </c>
      <c r="BE132" s="1194" t="str">
        <f t="shared" si="357"/>
        <v/>
      </c>
      <c r="BF132" s="1194" t="str">
        <f t="shared" si="357"/>
        <v/>
      </c>
      <c r="BG132" s="1194" t="str">
        <f t="shared" si="357"/>
        <v/>
      </c>
      <c r="BH132" s="1194" t="str">
        <f t="shared" si="357"/>
        <v/>
      </c>
      <c r="BI132" s="1194" t="str">
        <f t="shared" si="357"/>
        <v/>
      </c>
      <c r="BJ132" s="1194" t="str">
        <f t="shared" si="357"/>
        <v/>
      </c>
      <c r="BK132" s="1194" t="str">
        <f t="shared" si="357"/>
        <v/>
      </c>
      <c r="BL132" s="1194" t="str">
        <f t="shared" si="357"/>
        <v/>
      </c>
      <c r="BM132" s="1194" t="str">
        <f t="shared" si="357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67"/>
        <v/>
      </c>
      <c r="CA132" s="582" t="str">
        <f t="shared" si="268"/>
        <v/>
      </c>
      <c r="CB132" s="582" t="str">
        <f t="shared" si="269"/>
        <v/>
      </c>
      <c r="CC132" s="582" t="str">
        <f t="shared" si="270"/>
        <v/>
      </c>
      <c r="CD132" s="1008" t="str">
        <f t="shared" si="315"/>
        <v/>
      </c>
      <c r="CE132" s="1010" t="str">
        <f t="shared" si="316"/>
        <v/>
      </c>
      <c r="CF132" s="1010" t="str">
        <f t="shared" si="317"/>
        <v/>
      </c>
      <c r="CG132" s="1010" t="str">
        <f t="shared" si="318"/>
        <v/>
      </c>
      <c r="CH132" s="1011" t="str">
        <f t="shared" si="319"/>
        <v/>
      </c>
      <c r="CI132" s="1011" t="str">
        <f t="shared" si="320"/>
        <v/>
      </c>
      <c r="CJ132" s="1010" t="str">
        <f t="shared" si="321"/>
        <v/>
      </c>
      <c r="CK132" s="1010" t="str">
        <f t="shared" si="322"/>
        <v/>
      </c>
      <c r="CL132" s="1010" t="str">
        <f t="shared" si="323"/>
        <v/>
      </c>
      <c r="CM132" s="1008" t="str">
        <f t="shared" si="324"/>
        <v/>
      </c>
      <c r="CN132" s="533" t="str">
        <f t="shared" si="325"/>
        <v/>
      </c>
      <c r="CO132" s="534" t="str">
        <f t="shared" si="326"/>
        <v/>
      </c>
      <c r="CP132" s="535" t="str">
        <f t="shared" si="327"/>
        <v/>
      </c>
      <c r="CQ132" s="535" t="str">
        <f t="shared" si="328"/>
        <v/>
      </c>
      <c r="CR132" s="535" t="str">
        <f t="shared" si="329"/>
        <v/>
      </c>
      <c r="CS132" s="535" t="str">
        <f t="shared" si="330"/>
        <v/>
      </c>
      <c r="CT132" s="535" t="str">
        <f t="shared" si="331"/>
        <v/>
      </c>
      <c r="CU132" s="536" t="str">
        <f t="shared" si="332"/>
        <v/>
      </c>
      <c r="CV132" s="536" t="str">
        <f t="shared" si="333"/>
        <v/>
      </c>
      <c r="CW132" s="536" t="str">
        <f t="shared" si="334"/>
        <v/>
      </c>
      <c r="CX132" s="535" t="str">
        <f t="shared" si="335"/>
        <v/>
      </c>
      <c r="CY132" s="535" t="str">
        <f t="shared" si="336"/>
        <v/>
      </c>
      <c r="CZ132" s="535" t="str">
        <f t="shared" si="337"/>
        <v/>
      </c>
      <c r="DA132" s="535" t="str">
        <f t="shared" si="338"/>
        <v/>
      </c>
      <c r="DB132" s="535" t="str">
        <f t="shared" si="339"/>
        <v/>
      </c>
      <c r="DC132" s="534" t="str">
        <f t="shared" si="340"/>
        <v/>
      </c>
      <c r="DD132" s="533" t="str">
        <f t="shared" si="341"/>
        <v/>
      </c>
      <c r="DE132" s="635">
        <f t="shared" si="342"/>
        <v>0</v>
      </c>
      <c r="DF132" s="95">
        <f t="shared" si="343"/>
        <v>0</v>
      </c>
      <c r="DG132" s="95">
        <f t="shared" si="344"/>
        <v>0</v>
      </c>
      <c r="DH132" s="95">
        <f t="shared" si="345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67"/>
        <v/>
      </c>
      <c r="CA133" s="582" t="str">
        <f t="shared" si="268"/>
        <v/>
      </c>
      <c r="CB133" s="582" t="str">
        <f t="shared" si="269"/>
        <v/>
      </c>
      <c r="CC133" s="582" t="str">
        <f t="shared" si="270"/>
        <v/>
      </c>
      <c r="CD133" s="1008" t="str">
        <f t="shared" si="315"/>
        <v/>
      </c>
      <c r="CE133" s="1010" t="str">
        <f t="shared" si="316"/>
        <v/>
      </c>
      <c r="CF133" s="1010" t="str">
        <f t="shared" si="317"/>
        <v/>
      </c>
      <c r="CG133" s="1010" t="str">
        <f t="shared" si="318"/>
        <v/>
      </c>
      <c r="CH133" s="1011" t="str">
        <f t="shared" si="319"/>
        <v/>
      </c>
      <c r="CI133" s="1011" t="str">
        <f t="shared" si="320"/>
        <v/>
      </c>
      <c r="CJ133" s="1010" t="str">
        <f t="shared" si="321"/>
        <v/>
      </c>
      <c r="CK133" s="1010" t="str">
        <f t="shared" si="322"/>
        <v/>
      </c>
      <c r="CL133" s="1010" t="str">
        <f t="shared" si="323"/>
        <v/>
      </c>
      <c r="CM133" s="1008" t="str">
        <f t="shared" si="324"/>
        <v/>
      </c>
      <c r="CN133" s="533" t="str">
        <f t="shared" si="325"/>
        <v/>
      </c>
      <c r="CO133" s="534" t="str">
        <f t="shared" si="326"/>
        <v/>
      </c>
      <c r="CP133" s="535" t="str">
        <f t="shared" si="327"/>
        <v/>
      </c>
      <c r="CQ133" s="535" t="str">
        <f t="shared" si="328"/>
        <v/>
      </c>
      <c r="CR133" s="535" t="str">
        <f t="shared" si="329"/>
        <v/>
      </c>
      <c r="CS133" s="535" t="str">
        <f t="shared" si="330"/>
        <v/>
      </c>
      <c r="CT133" s="535" t="str">
        <f t="shared" si="331"/>
        <v/>
      </c>
      <c r="CU133" s="536" t="str">
        <f t="shared" si="332"/>
        <v/>
      </c>
      <c r="CV133" s="536" t="str">
        <f t="shared" si="333"/>
        <v/>
      </c>
      <c r="CW133" s="536" t="str">
        <f t="shared" si="334"/>
        <v/>
      </c>
      <c r="CX133" s="535" t="str">
        <f t="shared" si="335"/>
        <v/>
      </c>
      <c r="CY133" s="535" t="str">
        <f t="shared" si="336"/>
        <v/>
      </c>
      <c r="CZ133" s="535" t="str">
        <f t="shared" si="337"/>
        <v/>
      </c>
      <c r="DA133" s="535" t="str">
        <f t="shared" si="338"/>
        <v/>
      </c>
      <c r="DB133" s="535" t="str">
        <f t="shared" si="339"/>
        <v/>
      </c>
      <c r="DC133" s="534" t="str">
        <f t="shared" si="340"/>
        <v/>
      </c>
      <c r="DD133" s="533" t="str">
        <f t="shared" si="341"/>
        <v/>
      </c>
      <c r="DE133" s="635">
        <f t="shared" si="342"/>
        <v>0</v>
      </c>
      <c r="DF133" s="95">
        <f t="shared" si="343"/>
        <v>0</v>
      </c>
      <c r="DG133" s="95">
        <f t="shared" si="344"/>
        <v>0</v>
      </c>
      <c r="DH133" s="95">
        <f t="shared" si="345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67"/>
        <v/>
      </c>
      <c r="CA134" s="582" t="str">
        <f t="shared" si="268"/>
        <v/>
      </c>
      <c r="CB134" s="582" t="str">
        <f t="shared" si="269"/>
        <v/>
      </c>
      <c r="CC134" s="582" t="str">
        <f t="shared" si="270"/>
        <v/>
      </c>
      <c r="CD134" s="1008" t="str">
        <f t="shared" si="315"/>
        <v/>
      </c>
      <c r="CE134" s="1010" t="str">
        <f t="shared" si="316"/>
        <v/>
      </c>
      <c r="CF134" s="1010" t="str">
        <f t="shared" si="317"/>
        <v/>
      </c>
      <c r="CG134" s="1010" t="str">
        <f t="shared" si="318"/>
        <v/>
      </c>
      <c r="CH134" s="1011" t="str">
        <f t="shared" si="319"/>
        <v/>
      </c>
      <c r="CI134" s="1011" t="str">
        <f t="shared" si="320"/>
        <v/>
      </c>
      <c r="CJ134" s="1010" t="str">
        <f t="shared" si="321"/>
        <v/>
      </c>
      <c r="CK134" s="1010" t="str">
        <f t="shared" si="322"/>
        <v/>
      </c>
      <c r="CL134" s="1010" t="str">
        <f t="shared" si="323"/>
        <v/>
      </c>
      <c r="CM134" s="1008" t="str">
        <f t="shared" si="324"/>
        <v/>
      </c>
      <c r="CN134" s="533" t="str">
        <f t="shared" si="325"/>
        <v/>
      </c>
      <c r="CO134" s="534" t="str">
        <f t="shared" si="326"/>
        <v/>
      </c>
      <c r="CP134" s="535" t="str">
        <f t="shared" si="327"/>
        <v/>
      </c>
      <c r="CQ134" s="535" t="str">
        <f t="shared" si="328"/>
        <v/>
      </c>
      <c r="CR134" s="535" t="str">
        <f t="shared" si="329"/>
        <v/>
      </c>
      <c r="CS134" s="535" t="str">
        <f t="shared" si="330"/>
        <v/>
      </c>
      <c r="CT134" s="535" t="str">
        <f t="shared" si="331"/>
        <v/>
      </c>
      <c r="CU134" s="536" t="str">
        <f t="shared" si="332"/>
        <v/>
      </c>
      <c r="CV134" s="536" t="str">
        <f t="shared" si="333"/>
        <v/>
      </c>
      <c r="CW134" s="536" t="str">
        <f t="shared" si="334"/>
        <v/>
      </c>
      <c r="CX134" s="535" t="str">
        <f t="shared" si="335"/>
        <v/>
      </c>
      <c r="CY134" s="535" t="str">
        <f t="shared" si="336"/>
        <v/>
      </c>
      <c r="CZ134" s="535" t="str">
        <f t="shared" si="337"/>
        <v/>
      </c>
      <c r="DA134" s="535" t="str">
        <f t="shared" si="338"/>
        <v/>
      </c>
      <c r="DB134" s="535" t="str">
        <f t="shared" si="339"/>
        <v/>
      </c>
      <c r="DC134" s="534" t="str">
        <f t="shared" si="340"/>
        <v/>
      </c>
      <c r="DD134" s="533" t="str">
        <f t="shared" si="341"/>
        <v/>
      </c>
      <c r="DE134" s="635">
        <f t="shared" si="342"/>
        <v>0</v>
      </c>
      <c r="DF134" s="95">
        <f t="shared" si="343"/>
        <v>0</v>
      </c>
      <c r="DG134" s="95">
        <f t="shared" si="344"/>
        <v>0</v>
      </c>
      <c r="DH134" s="95">
        <f t="shared" si="345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58">IF(B133="","",B133*B134)</f>
        <v/>
      </c>
      <c r="C135" s="591" t="str">
        <f t="shared" si="358"/>
        <v/>
      </c>
      <c r="D135" s="591" t="str">
        <f t="shared" si="358"/>
        <v/>
      </c>
      <c r="E135" s="591" t="str">
        <f t="shared" si="358"/>
        <v/>
      </c>
      <c r="F135" s="591" t="str">
        <f t="shared" si="358"/>
        <v/>
      </c>
      <c r="G135" s="591" t="str">
        <f t="shared" si="358"/>
        <v/>
      </c>
      <c r="H135" s="591" t="str">
        <f t="shared" si="358"/>
        <v/>
      </c>
      <c r="I135" s="591" t="str">
        <f t="shared" si="358"/>
        <v/>
      </c>
      <c r="J135" s="591" t="str">
        <f t="shared" si="358"/>
        <v/>
      </c>
      <c r="K135" s="591" t="str">
        <f t="shared" si="358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59">IF(T133="","",T133*T134)</f>
        <v/>
      </c>
      <c r="U135" s="591" t="str">
        <f t="shared" si="359"/>
        <v/>
      </c>
      <c r="V135" s="591" t="str">
        <f t="shared" si="359"/>
        <v/>
      </c>
      <c r="W135" s="591" t="str">
        <f t="shared" si="359"/>
        <v/>
      </c>
      <c r="X135" s="591" t="str">
        <f t="shared" si="359"/>
        <v/>
      </c>
      <c r="Y135" s="591" t="str">
        <f t="shared" si="359"/>
        <v/>
      </c>
      <c r="Z135" s="591" t="str">
        <f t="shared" si="359"/>
        <v/>
      </c>
      <c r="AA135" s="591" t="str">
        <f t="shared" si="359"/>
        <v/>
      </c>
      <c r="AB135" s="591" t="str">
        <f t="shared" si="359"/>
        <v/>
      </c>
      <c r="AC135" s="591" t="str">
        <f t="shared" si="359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0">IF(AL133="","",AL133*AL134)</f>
        <v/>
      </c>
      <c r="AM135" s="591" t="str">
        <f t="shared" si="360"/>
        <v/>
      </c>
      <c r="AN135" s="591" t="str">
        <f t="shared" si="360"/>
        <v/>
      </c>
      <c r="AO135" s="591" t="str">
        <f t="shared" si="360"/>
        <v/>
      </c>
      <c r="AP135" s="591" t="str">
        <f t="shared" si="360"/>
        <v/>
      </c>
      <c r="AQ135" s="591" t="str">
        <f t="shared" si="360"/>
        <v/>
      </c>
      <c r="AR135" s="591" t="str">
        <f t="shared" si="360"/>
        <v/>
      </c>
      <c r="AS135" s="591" t="str">
        <f t="shared" si="360"/>
        <v/>
      </c>
      <c r="AT135" s="591" t="str">
        <f t="shared" si="360"/>
        <v/>
      </c>
      <c r="AU135" s="591" t="str">
        <f t="shared" si="360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1">IF(BD133="","",BD133*BD134)</f>
        <v/>
      </c>
      <c r="BE135" s="1194" t="str">
        <f t="shared" si="361"/>
        <v/>
      </c>
      <c r="BF135" s="1194" t="str">
        <f t="shared" si="361"/>
        <v/>
      </c>
      <c r="BG135" s="1194" t="str">
        <f t="shared" si="361"/>
        <v/>
      </c>
      <c r="BH135" s="1194" t="str">
        <f t="shared" si="361"/>
        <v/>
      </c>
      <c r="BI135" s="1194" t="str">
        <f t="shared" si="361"/>
        <v/>
      </c>
      <c r="BJ135" s="1194" t="str">
        <f t="shared" si="361"/>
        <v/>
      </c>
      <c r="BK135" s="1194" t="str">
        <f t="shared" si="361"/>
        <v/>
      </c>
      <c r="BL135" s="1194" t="str">
        <f t="shared" si="361"/>
        <v/>
      </c>
      <c r="BM135" s="1194" t="str">
        <f t="shared" si="361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67"/>
        <v/>
      </c>
      <c r="CA135" s="582" t="str">
        <f t="shared" si="268"/>
        <v/>
      </c>
      <c r="CB135" s="582" t="str">
        <f t="shared" si="269"/>
        <v/>
      </c>
      <c r="CC135" s="582" t="str">
        <f t="shared" si="270"/>
        <v/>
      </c>
      <c r="CD135" s="1008" t="str">
        <f t="shared" si="315"/>
        <v/>
      </c>
      <c r="CE135" s="1010" t="str">
        <f t="shared" si="316"/>
        <v/>
      </c>
      <c r="CF135" s="1010" t="str">
        <f t="shared" si="317"/>
        <v/>
      </c>
      <c r="CG135" s="1010" t="str">
        <f t="shared" si="318"/>
        <v/>
      </c>
      <c r="CH135" s="1011" t="str">
        <f t="shared" si="319"/>
        <v/>
      </c>
      <c r="CI135" s="1011" t="str">
        <f t="shared" si="320"/>
        <v/>
      </c>
      <c r="CJ135" s="1010" t="str">
        <f t="shared" si="321"/>
        <v/>
      </c>
      <c r="CK135" s="1010" t="str">
        <f t="shared" si="322"/>
        <v/>
      </c>
      <c r="CL135" s="1010" t="str">
        <f t="shared" si="323"/>
        <v/>
      </c>
      <c r="CM135" s="1008" t="str">
        <f t="shared" si="324"/>
        <v/>
      </c>
      <c r="CN135" s="533" t="str">
        <f t="shared" si="325"/>
        <v/>
      </c>
      <c r="CO135" s="534" t="str">
        <f t="shared" si="326"/>
        <v/>
      </c>
      <c r="CP135" s="535" t="str">
        <f t="shared" si="327"/>
        <v/>
      </c>
      <c r="CQ135" s="535" t="str">
        <f t="shared" si="328"/>
        <v/>
      </c>
      <c r="CR135" s="535" t="str">
        <f t="shared" si="329"/>
        <v/>
      </c>
      <c r="CS135" s="535" t="str">
        <f t="shared" si="330"/>
        <v/>
      </c>
      <c r="CT135" s="535" t="str">
        <f t="shared" si="331"/>
        <v/>
      </c>
      <c r="CU135" s="536" t="str">
        <f t="shared" si="332"/>
        <v/>
      </c>
      <c r="CV135" s="536" t="str">
        <f t="shared" si="333"/>
        <v/>
      </c>
      <c r="CW135" s="536" t="str">
        <f t="shared" si="334"/>
        <v/>
      </c>
      <c r="CX135" s="535" t="str">
        <f t="shared" si="335"/>
        <v/>
      </c>
      <c r="CY135" s="535" t="str">
        <f t="shared" si="336"/>
        <v/>
      </c>
      <c r="CZ135" s="535" t="str">
        <f t="shared" si="337"/>
        <v/>
      </c>
      <c r="DA135" s="535" t="str">
        <f t="shared" si="338"/>
        <v/>
      </c>
      <c r="DB135" s="535" t="str">
        <f t="shared" si="339"/>
        <v/>
      </c>
      <c r="DC135" s="534" t="str">
        <f t="shared" si="340"/>
        <v/>
      </c>
      <c r="DD135" s="533" t="str">
        <f t="shared" si="341"/>
        <v/>
      </c>
      <c r="DE135" s="635">
        <f t="shared" si="342"/>
        <v>0</v>
      </c>
      <c r="DF135" s="95">
        <f t="shared" si="343"/>
        <v>0</v>
      </c>
      <c r="DG135" s="95">
        <f t="shared" si="344"/>
        <v>0</v>
      </c>
      <c r="DH135" s="95">
        <f t="shared" si="345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67"/>
        <v>1</v>
      </c>
      <c r="CA136" s="582">
        <f t="shared" si="268"/>
        <v>1</v>
      </c>
      <c r="CB136" s="582">
        <f t="shared" si="269"/>
        <v>1</v>
      </c>
      <c r="CC136" s="582">
        <f t="shared" si="270"/>
        <v>1.375</v>
      </c>
      <c r="CD136" s="1008">
        <f t="shared" si="315"/>
        <v>1</v>
      </c>
      <c r="CE136" s="1010">
        <f t="shared" si="316"/>
        <v>1</v>
      </c>
      <c r="CF136" s="1010">
        <f t="shared" si="317"/>
        <v>1</v>
      </c>
      <c r="CG136" s="1010">
        <f t="shared" si="318"/>
        <v>1</v>
      </c>
      <c r="CH136" s="1011">
        <f t="shared" si="319"/>
        <v>1</v>
      </c>
      <c r="CI136" s="1011">
        <f t="shared" si="320"/>
        <v>1</v>
      </c>
      <c r="CJ136" s="1010">
        <f t="shared" si="321"/>
        <v>1</v>
      </c>
      <c r="CK136" s="1010">
        <f t="shared" si="322"/>
        <v>1</v>
      </c>
      <c r="CL136" s="1010">
        <f t="shared" si="323"/>
        <v>1</v>
      </c>
      <c r="CM136" s="1008">
        <f t="shared" si="324"/>
        <v>1</v>
      </c>
      <c r="CN136" s="533" t="str">
        <f t="shared" si="325"/>
        <v/>
      </c>
      <c r="CO136" s="534" t="str">
        <f t="shared" si="326"/>
        <v/>
      </c>
      <c r="CP136" s="535" t="str">
        <f t="shared" si="327"/>
        <v/>
      </c>
      <c r="CQ136" s="535" t="str">
        <f t="shared" si="328"/>
        <v/>
      </c>
      <c r="CR136" s="535">
        <f t="shared" si="329"/>
        <v>1</v>
      </c>
      <c r="CS136" s="535">
        <f t="shared" si="330"/>
        <v>1</v>
      </c>
      <c r="CT136" s="535">
        <f t="shared" si="331"/>
        <v>1</v>
      </c>
      <c r="CU136" s="536">
        <f t="shared" si="332"/>
        <v>1</v>
      </c>
      <c r="CV136" s="536">
        <f t="shared" si="333"/>
        <v>1</v>
      </c>
      <c r="CW136" s="536">
        <f t="shared" si="334"/>
        <v>1</v>
      </c>
      <c r="CX136" s="535">
        <f t="shared" si="335"/>
        <v>1</v>
      </c>
      <c r="CY136" s="535">
        <f t="shared" si="336"/>
        <v>2</v>
      </c>
      <c r="CZ136" s="535">
        <f t="shared" si="337"/>
        <v>3</v>
      </c>
      <c r="DA136" s="535">
        <f t="shared" si="338"/>
        <v>4</v>
      </c>
      <c r="DB136" s="535" t="str">
        <f t="shared" si="339"/>
        <v/>
      </c>
      <c r="DC136" s="534" t="str">
        <f t="shared" si="340"/>
        <v/>
      </c>
      <c r="DD136" s="533" t="str">
        <f t="shared" si="341"/>
        <v/>
      </c>
      <c r="DE136" s="635">
        <f t="shared" si="342"/>
        <v>10</v>
      </c>
      <c r="DF136" s="95">
        <f t="shared" si="343"/>
        <v>10</v>
      </c>
      <c r="DG136" s="95">
        <f t="shared" si="344"/>
        <v>10</v>
      </c>
      <c r="DH136" s="95">
        <f t="shared" si="345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67"/>
        <v/>
      </c>
      <c r="CA137" s="582" t="str">
        <f t="shared" si="268"/>
        <v/>
      </c>
      <c r="CB137" s="582" t="str">
        <f t="shared" si="269"/>
        <v/>
      </c>
      <c r="CC137" s="582" t="str">
        <f t="shared" si="270"/>
        <v/>
      </c>
      <c r="CD137" s="1008" t="str">
        <f t="shared" si="315"/>
        <v/>
      </c>
      <c r="CE137" s="1010" t="str">
        <f t="shared" si="316"/>
        <v/>
      </c>
      <c r="CF137" s="1010" t="str">
        <f t="shared" si="317"/>
        <v/>
      </c>
      <c r="CG137" s="1010" t="str">
        <f t="shared" si="318"/>
        <v/>
      </c>
      <c r="CH137" s="1011" t="str">
        <f t="shared" si="319"/>
        <v/>
      </c>
      <c r="CI137" s="1011" t="str">
        <f t="shared" si="320"/>
        <v/>
      </c>
      <c r="CJ137" s="1010" t="str">
        <f t="shared" si="321"/>
        <v/>
      </c>
      <c r="CK137" s="1010" t="str">
        <f t="shared" si="322"/>
        <v/>
      </c>
      <c r="CL137" s="1010" t="str">
        <f t="shared" si="323"/>
        <v/>
      </c>
      <c r="CM137" s="1008" t="str">
        <f t="shared" si="324"/>
        <v/>
      </c>
      <c r="CN137" s="533" t="str">
        <f t="shared" si="325"/>
        <v/>
      </c>
      <c r="CO137" s="534" t="str">
        <f t="shared" si="326"/>
        <v/>
      </c>
      <c r="CP137" s="535" t="str">
        <f t="shared" si="327"/>
        <v/>
      </c>
      <c r="CQ137" s="535" t="str">
        <f t="shared" si="328"/>
        <v/>
      </c>
      <c r="CR137" s="535" t="str">
        <f t="shared" si="329"/>
        <v/>
      </c>
      <c r="CS137" s="535" t="str">
        <f t="shared" si="330"/>
        <v/>
      </c>
      <c r="CT137" s="535" t="str">
        <f t="shared" si="331"/>
        <v/>
      </c>
      <c r="CU137" s="536" t="str">
        <f t="shared" si="332"/>
        <v/>
      </c>
      <c r="CV137" s="536" t="str">
        <f t="shared" si="333"/>
        <v/>
      </c>
      <c r="CW137" s="536" t="str">
        <f t="shared" si="334"/>
        <v/>
      </c>
      <c r="CX137" s="535" t="str">
        <f t="shared" si="335"/>
        <v/>
      </c>
      <c r="CY137" s="535" t="str">
        <f t="shared" si="336"/>
        <v/>
      </c>
      <c r="CZ137" s="535" t="str">
        <f t="shared" si="337"/>
        <v/>
      </c>
      <c r="DA137" s="535" t="str">
        <f t="shared" si="338"/>
        <v/>
      </c>
      <c r="DB137" s="535" t="str">
        <f t="shared" si="339"/>
        <v/>
      </c>
      <c r="DC137" s="534" t="str">
        <f t="shared" si="340"/>
        <v/>
      </c>
      <c r="DD137" s="533" t="str">
        <f t="shared" si="341"/>
        <v/>
      </c>
      <c r="DE137" s="635">
        <f t="shared" si="342"/>
        <v>0</v>
      </c>
      <c r="DF137" s="95">
        <f t="shared" si="343"/>
        <v>0</v>
      </c>
      <c r="DG137" s="95">
        <f t="shared" si="344"/>
        <v>0</v>
      </c>
      <c r="DH137" s="95">
        <f t="shared" si="345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2">IF(SUM(B123,B132)&gt;0,SUM(B124,B133)/SUM(B123,B132),"")</f>
        <v/>
      </c>
      <c r="C138" s="605" t="str">
        <f t="shared" si="362"/>
        <v/>
      </c>
      <c r="D138" s="605" t="str">
        <f t="shared" si="362"/>
        <v/>
      </c>
      <c r="E138" s="605" t="str">
        <f t="shared" si="362"/>
        <v/>
      </c>
      <c r="F138" s="605" t="str">
        <f t="shared" si="362"/>
        <v/>
      </c>
      <c r="G138" s="605" t="str">
        <f t="shared" si="362"/>
        <v/>
      </c>
      <c r="H138" s="605" t="str">
        <f t="shared" si="362"/>
        <v/>
      </c>
      <c r="I138" s="605" t="str">
        <f t="shared" si="362"/>
        <v/>
      </c>
      <c r="J138" s="605" t="str">
        <f t="shared" si="362"/>
        <v/>
      </c>
      <c r="K138" s="605" t="str">
        <f t="shared" si="362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3">IF(SUM(T123,T132)&gt;0,SUM(T124,T133)/SUM(T123,T132),"")</f>
        <v/>
      </c>
      <c r="U138" s="605" t="str">
        <f t="shared" si="363"/>
        <v/>
      </c>
      <c r="V138" s="605" t="str">
        <f t="shared" si="363"/>
        <v/>
      </c>
      <c r="W138" s="605" t="str">
        <f t="shared" si="363"/>
        <v/>
      </c>
      <c r="X138" s="605" t="str">
        <f t="shared" si="363"/>
        <v/>
      </c>
      <c r="Y138" s="605" t="str">
        <f t="shared" si="363"/>
        <v/>
      </c>
      <c r="Z138" s="605" t="str">
        <f t="shared" si="363"/>
        <v/>
      </c>
      <c r="AA138" s="605" t="str">
        <f t="shared" si="363"/>
        <v/>
      </c>
      <c r="AB138" s="605" t="str">
        <f t="shared" si="363"/>
        <v/>
      </c>
      <c r="AC138" s="605" t="str">
        <f t="shared" si="363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64">IF(SUM(AL123,AL132)&gt;0,SUM(AL124,AL133)/SUM(AL123,AL132),"")</f>
        <v/>
      </c>
      <c r="AM138" s="605" t="str">
        <f t="shared" si="364"/>
        <v/>
      </c>
      <c r="AN138" s="605" t="str">
        <f t="shared" si="364"/>
        <v/>
      </c>
      <c r="AO138" s="605" t="str">
        <f t="shared" si="364"/>
        <v/>
      </c>
      <c r="AP138" s="605" t="str">
        <f t="shared" si="364"/>
        <v/>
      </c>
      <c r="AQ138" s="605" t="str">
        <f t="shared" si="364"/>
        <v/>
      </c>
      <c r="AR138" s="605" t="str">
        <f t="shared" si="364"/>
        <v/>
      </c>
      <c r="AS138" s="605" t="str">
        <f t="shared" si="364"/>
        <v/>
      </c>
      <c r="AT138" s="605" t="str">
        <f t="shared" si="364"/>
        <v/>
      </c>
      <c r="AU138" s="605" t="str">
        <f t="shared" si="364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65">IF(SUM(BD123,BD132)&gt;0,SUM(BD124,BD133)/SUM(BD123,BD132),"")</f>
        <v/>
      </c>
      <c r="BE138" s="1197" t="str">
        <f t="shared" si="365"/>
        <v/>
      </c>
      <c r="BF138" s="1197" t="str">
        <f t="shared" si="365"/>
        <v/>
      </c>
      <c r="BG138" s="1197" t="str">
        <f t="shared" si="365"/>
        <v/>
      </c>
      <c r="BH138" s="1197" t="str">
        <f t="shared" si="365"/>
        <v/>
      </c>
      <c r="BI138" s="1197" t="str">
        <f t="shared" si="365"/>
        <v/>
      </c>
      <c r="BJ138" s="1197" t="str">
        <f t="shared" si="365"/>
        <v/>
      </c>
      <c r="BK138" s="1197" t="str">
        <f t="shared" si="365"/>
        <v/>
      </c>
      <c r="BL138" s="1197" t="str">
        <f t="shared" si="365"/>
        <v/>
      </c>
      <c r="BM138" s="1197" t="str">
        <f t="shared" si="365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67"/>
        <v/>
      </c>
      <c r="CA138" s="582" t="str">
        <f t="shared" si="268"/>
        <v/>
      </c>
      <c r="CB138" s="582" t="str">
        <f t="shared" si="269"/>
        <v/>
      </c>
      <c r="CC138" s="582" t="str">
        <f t="shared" si="270"/>
        <v/>
      </c>
      <c r="CD138" s="1000" t="str">
        <f t="shared" si="315"/>
        <v/>
      </c>
      <c r="CE138" s="1002" t="str">
        <f t="shared" si="316"/>
        <v/>
      </c>
      <c r="CF138" s="1002" t="str">
        <f t="shared" si="317"/>
        <v/>
      </c>
      <c r="CG138" s="1002" t="str">
        <f t="shared" si="318"/>
        <v/>
      </c>
      <c r="CH138" s="1003" t="str">
        <f t="shared" si="319"/>
        <v/>
      </c>
      <c r="CI138" s="1003" t="str">
        <f t="shared" si="320"/>
        <v/>
      </c>
      <c r="CJ138" s="1002" t="str">
        <f t="shared" si="321"/>
        <v/>
      </c>
      <c r="CK138" s="1002" t="str">
        <f t="shared" si="322"/>
        <v/>
      </c>
      <c r="CL138" s="1002" t="str">
        <f t="shared" si="323"/>
        <v/>
      </c>
      <c r="CM138" s="1000" t="str">
        <f t="shared" si="324"/>
        <v/>
      </c>
      <c r="CN138" s="521" t="str">
        <f t="shared" si="325"/>
        <v/>
      </c>
      <c r="CO138" s="522" t="str">
        <f t="shared" si="326"/>
        <v/>
      </c>
      <c r="CP138" s="523" t="str">
        <f t="shared" si="327"/>
        <v/>
      </c>
      <c r="CQ138" s="523" t="str">
        <f t="shared" si="328"/>
        <v/>
      </c>
      <c r="CR138" s="523" t="str">
        <f t="shared" si="329"/>
        <v/>
      </c>
      <c r="CS138" s="523" t="str">
        <f t="shared" si="330"/>
        <v/>
      </c>
      <c r="CT138" s="523" t="str">
        <f t="shared" si="331"/>
        <v/>
      </c>
      <c r="CU138" s="524" t="str">
        <f t="shared" si="332"/>
        <v/>
      </c>
      <c r="CV138" s="524" t="str">
        <f t="shared" si="333"/>
        <v/>
      </c>
      <c r="CW138" s="524" t="str">
        <f t="shared" si="334"/>
        <v/>
      </c>
      <c r="CX138" s="523" t="str">
        <f t="shared" si="335"/>
        <v/>
      </c>
      <c r="CY138" s="523" t="str">
        <f t="shared" si="336"/>
        <v/>
      </c>
      <c r="CZ138" s="523" t="str">
        <f t="shared" si="337"/>
        <v/>
      </c>
      <c r="DA138" s="523" t="str">
        <f t="shared" si="338"/>
        <v/>
      </c>
      <c r="DB138" s="523" t="str">
        <f t="shared" si="339"/>
        <v/>
      </c>
      <c r="DC138" s="522" t="str">
        <f t="shared" si="340"/>
        <v/>
      </c>
      <c r="DD138" s="521" t="str">
        <f t="shared" si="341"/>
        <v/>
      </c>
      <c r="DE138" s="635">
        <f t="shared" si="342"/>
        <v>0</v>
      </c>
      <c r="DF138" s="95">
        <f t="shared" si="343"/>
        <v>0</v>
      </c>
      <c r="DG138" s="95">
        <f t="shared" si="344"/>
        <v>0</v>
      </c>
      <c r="DH138" s="95">
        <f t="shared" si="345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66">IF(SUM(B123,B132)=0,"",SUM(B123,-B124*B127,-B128*B127,B132,-B133*B136,-B137*B136)*0.098)</f>
        <v/>
      </c>
      <c r="C139" s="608" t="str">
        <f t="shared" si="366"/>
        <v/>
      </c>
      <c r="D139" s="608" t="str">
        <f t="shared" si="366"/>
        <v/>
      </c>
      <c r="E139" s="608" t="str">
        <f t="shared" si="366"/>
        <v/>
      </c>
      <c r="F139" s="608" t="str">
        <f t="shared" si="366"/>
        <v/>
      </c>
      <c r="G139" s="608" t="str">
        <f t="shared" si="366"/>
        <v/>
      </c>
      <c r="H139" s="608" t="str">
        <f t="shared" si="366"/>
        <v/>
      </c>
      <c r="I139" s="608" t="str">
        <f t="shared" si="366"/>
        <v/>
      </c>
      <c r="J139" s="608" t="str">
        <f t="shared" si="366"/>
        <v/>
      </c>
      <c r="K139" s="608" t="str">
        <f t="shared" si="366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67">IF(SUM(T123,T132)=0,"",SUM(T123,-T124*T127,-T128*T127,T132,-T133*T136,-T137*T136)*0.098)</f>
        <v/>
      </c>
      <c r="U139" s="608" t="str">
        <f t="shared" si="367"/>
        <v/>
      </c>
      <c r="V139" s="608" t="str">
        <f t="shared" si="367"/>
        <v/>
      </c>
      <c r="W139" s="608" t="str">
        <f t="shared" si="367"/>
        <v/>
      </c>
      <c r="X139" s="608" t="str">
        <f t="shared" si="367"/>
        <v/>
      </c>
      <c r="Y139" s="608" t="str">
        <f t="shared" si="367"/>
        <v/>
      </c>
      <c r="Z139" s="608" t="str">
        <f t="shared" si="367"/>
        <v/>
      </c>
      <c r="AA139" s="608" t="str">
        <f t="shared" si="367"/>
        <v/>
      </c>
      <c r="AB139" s="608" t="str">
        <f t="shared" si="367"/>
        <v/>
      </c>
      <c r="AC139" s="608" t="str">
        <f t="shared" si="367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68">IF(SUM(AL123,AL132)=0,"",SUM(AL123,-AL124*AL127,-AL128*AL127,AL132,-AL133*AL136,-AL137*AL136)*0.098)</f>
        <v/>
      </c>
      <c r="AM139" s="608" t="str">
        <f t="shared" si="368"/>
        <v/>
      </c>
      <c r="AN139" s="608" t="str">
        <f t="shared" si="368"/>
        <v/>
      </c>
      <c r="AO139" s="608" t="str">
        <f t="shared" si="368"/>
        <v/>
      </c>
      <c r="AP139" s="608" t="str">
        <f t="shared" si="368"/>
        <v/>
      </c>
      <c r="AQ139" s="608" t="str">
        <f t="shared" si="368"/>
        <v/>
      </c>
      <c r="AR139" s="608" t="str">
        <f t="shared" si="368"/>
        <v/>
      </c>
      <c r="AS139" s="608" t="str">
        <f t="shared" si="368"/>
        <v/>
      </c>
      <c r="AT139" s="608" t="str">
        <f t="shared" si="368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69">IF(SUM(BD123,BD132)=0,"",SUM(BD123,-BD124*BD127,-BD128*BD127,BD132,-BD133*BD136,-BD137*BD136)*0.098)</f>
        <v/>
      </c>
      <c r="BE139" s="1198" t="str">
        <f t="shared" si="369"/>
        <v/>
      </c>
      <c r="BF139" s="1198" t="str">
        <f t="shared" si="369"/>
        <v/>
      </c>
      <c r="BG139" s="1198" t="str">
        <f t="shared" si="369"/>
        <v/>
      </c>
      <c r="BH139" s="1198" t="str">
        <f t="shared" si="369"/>
        <v/>
      </c>
      <c r="BI139" s="1198" t="str">
        <f t="shared" si="369"/>
        <v/>
      </c>
      <c r="BJ139" s="1198" t="str">
        <f t="shared" si="369"/>
        <v/>
      </c>
      <c r="BK139" s="1198" t="str">
        <f t="shared" si="369"/>
        <v/>
      </c>
      <c r="BL139" s="1198" t="str">
        <f t="shared" si="369"/>
        <v/>
      </c>
      <c r="BM139" s="1198" t="str">
        <f t="shared" si="369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67"/>
        <v/>
      </c>
      <c r="CA139" s="582" t="str">
        <f t="shared" si="268"/>
        <v/>
      </c>
      <c r="CB139" s="582" t="str">
        <f t="shared" si="269"/>
        <v/>
      </c>
      <c r="CC139" s="582" t="str">
        <f t="shared" si="270"/>
        <v/>
      </c>
      <c r="CD139" s="1008" t="str">
        <f t="shared" si="315"/>
        <v/>
      </c>
      <c r="CE139" s="1010" t="str">
        <f t="shared" si="316"/>
        <v/>
      </c>
      <c r="CF139" s="1010" t="str">
        <f t="shared" si="317"/>
        <v/>
      </c>
      <c r="CG139" s="1010" t="str">
        <f t="shared" si="318"/>
        <v/>
      </c>
      <c r="CH139" s="1011" t="str">
        <f t="shared" si="319"/>
        <v/>
      </c>
      <c r="CI139" s="1011" t="str">
        <f t="shared" si="320"/>
        <v/>
      </c>
      <c r="CJ139" s="1010" t="str">
        <f t="shared" si="321"/>
        <v/>
      </c>
      <c r="CK139" s="1010" t="str">
        <f t="shared" si="322"/>
        <v/>
      </c>
      <c r="CL139" s="1010" t="str">
        <f t="shared" si="323"/>
        <v/>
      </c>
      <c r="CM139" s="1008" t="str">
        <f t="shared" si="324"/>
        <v/>
      </c>
      <c r="CN139" s="533" t="str">
        <f t="shared" si="325"/>
        <v/>
      </c>
      <c r="CO139" s="534" t="str">
        <f t="shared" si="326"/>
        <v/>
      </c>
      <c r="CP139" s="535" t="str">
        <f t="shared" si="327"/>
        <v/>
      </c>
      <c r="CQ139" s="535" t="str">
        <f t="shared" si="328"/>
        <v/>
      </c>
      <c r="CR139" s="535" t="str">
        <f t="shared" si="329"/>
        <v/>
      </c>
      <c r="CS139" s="535" t="str">
        <f t="shared" si="330"/>
        <v/>
      </c>
      <c r="CT139" s="535" t="str">
        <f t="shared" si="331"/>
        <v/>
      </c>
      <c r="CU139" s="536" t="str">
        <f t="shared" si="332"/>
        <v/>
      </c>
      <c r="CV139" s="536" t="str">
        <f t="shared" si="333"/>
        <v/>
      </c>
      <c r="CW139" s="536" t="str">
        <f t="shared" si="334"/>
        <v/>
      </c>
      <c r="CX139" s="535" t="str">
        <f t="shared" si="335"/>
        <v/>
      </c>
      <c r="CY139" s="535" t="str">
        <f t="shared" si="336"/>
        <v/>
      </c>
      <c r="CZ139" s="535" t="str">
        <f t="shared" si="337"/>
        <v/>
      </c>
      <c r="DA139" s="535" t="str">
        <f t="shared" si="338"/>
        <v/>
      </c>
      <c r="DB139" s="535" t="str">
        <f t="shared" si="339"/>
        <v/>
      </c>
      <c r="DC139" s="534" t="str">
        <f t="shared" si="340"/>
        <v/>
      </c>
      <c r="DD139" s="533" t="str">
        <f t="shared" si="341"/>
        <v/>
      </c>
      <c r="DE139" s="635">
        <f t="shared" si="342"/>
        <v>0</v>
      </c>
      <c r="DF139" s="95">
        <f t="shared" si="343"/>
        <v>0</v>
      </c>
      <c r="DG139" s="95">
        <f t="shared" si="344"/>
        <v>0</v>
      </c>
      <c r="DH139" s="95">
        <f t="shared" si="345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67"/>
        <v/>
      </c>
      <c r="CA140" s="582" t="str">
        <f t="shared" si="268"/>
        <v/>
      </c>
      <c r="CB140" s="582" t="str">
        <f t="shared" si="269"/>
        <v/>
      </c>
      <c r="CC140" s="582" t="str">
        <f t="shared" si="270"/>
        <v/>
      </c>
      <c r="CD140" s="1008" t="str">
        <f t="shared" si="315"/>
        <v/>
      </c>
      <c r="CE140" s="1010" t="str">
        <f t="shared" si="316"/>
        <v/>
      </c>
      <c r="CF140" s="1010" t="str">
        <f t="shared" si="317"/>
        <v/>
      </c>
      <c r="CG140" s="1010" t="str">
        <f t="shared" si="318"/>
        <v/>
      </c>
      <c r="CH140" s="1011" t="str">
        <f t="shared" si="319"/>
        <v/>
      </c>
      <c r="CI140" s="1011" t="str">
        <f t="shared" si="320"/>
        <v/>
      </c>
      <c r="CJ140" s="1010" t="str">
        <f t="shared" si="321"/>
        <v/>
      </c>
      <c r="CK140" s="1010" t="str">
        <f t="shared" si="322"/>
        <v/>
      </c>
      <c r="CL140" s="1010" t="str">
        <f t="shared" si="323"/>
        <v/>
      </c>
      <c r="CM140" s="1008" t="str">
        <f t="shared" si="324"/>
        <v/>
      </c>
      <c r="CN140" s="533" t="str">
        <f t="shared" si="325"/>
        <v/>
      </c>
      <c r="CO140" s="534" t="str">
        <f t="shared" si="326"/>
        <v/>
      </c>
      <c r="CP140" s="535" t="str">
        <f t="shared" si="327"/>
        <v/>
      </c>
      <c r="CQ140" s="535" t="str">
        <f t="shared" si="328"/>
        <v/>
      </c>
      <c r="CR140" s="535" t="str">
        <f t="shared" si="329"/>
        <v/>
      </c>
      <c r="CS140" s="535" t="str">
        <f t="shared" si="330"/>
        <v/>
      </c>
      <c r="CT140" s="535" t="str">
        <f t="shared" si="331"/>
        <v/>
      </c>
      <c r="CU140" s="536" t="str">
        <f t="shared" si="332"/>
        <v/>
      </c>
      <c r="CV140" s="536" t="str">
        <f t="shared" si="333"/>
        <v/>
      </c>
      <c r="CW140" s="536" t="str">
        <f t="shared" si="334"/>
        <v/>
      </c>
      <c r="CX140" s="535" t="str">
        <f t="shared" si="335"/>
        <v/>
      </c>
      <c r="CY140" s="535" t="str">
        <f t="shared" si="336"/>
        <v/>
      </c>
      <c r="CZ140" s="535" t="str">
        <f t="shared" si="337"/>
        <v/>
      </c>
      <c r="DA140" s="535" t="str">
        <f t="shared" si="338"/>
        <v/>
      </c>
      <c r="DB140" s="535" t="str">
        <f t="shared" si="339"/>
        <v/>
      </c>
      <c r="DC140" s="534" t="str">
        <f t="shared" si="340"/>
        <v/>
      </c>
      <c r="DD140" s="533" t="str">
        <f t="shared" si="341"/>
        <v/>
      </c>
      <c r="DE140" s="635">
        <f t="shared" si="342"/>
        <v>0</v>
      </c>
      <c r="DF140" s="95">
        <f t="shared" si="343"/>
        <v>0</v>
      </c>
      <c r="DG140" s="95">
        <f t="shared" si="344"/>
        <v>0</v>
      </c>
      <c r="DH140" s="95">
        <f t="shared" si="345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67"/>
        <v/>
      </c>
      <c r="CA141" s="582" t="str">
        <f t="shared" si="268"/>
        <v/>
      </c>
      <c r="CB141" s="582" t="str">
        <f t="shared" si="269"/>
        <v/>
      </c>
      <c r="CC141" s="582" t="str">
        <f t="shared" si="270"/>
        <v/>
      </c>
      <c r="CD141" s="1008" t="str">
        <f t="shared" si="315"/>
        <v/>
      </c>
      <c r="CE141" s="1010" t="str">
        <f t="shared" si="316"/>
        <v/>
      </c>
      <c r="CF141" s="1010" t="str">
        <f t="shared" si="317"/>
        <v/>
      </c>
      <c r="CG141" s="1010" t="str">
        <f t="shared" si="318"/>
        <v/>
      </c>
      <c r="CH141" s="1011" t="str">
        <f t="shared" si="319"/>
        <v/>
      </c>
      <c r="CI141" s="1011" t="str">
        <f t="shared" si="320"/>
        <v/>
      </c>
      <c r="CJ141" s="1010" t="str">
        <f t="shared" si="321"/>
        <v/>
      </c>
      <c r="CK141" s="1010" t="str">
        <f t="shared" si="322"/>
        <v/>
      </c>
      <c r="CL141" s="1010" t="str">
        <f t="shared" si="323"/>
        <v/>
      </c>
      <c r="CM141" s="1008" t="str">
        <f t="shared" si="324"/>
        <v/>
      </c>
      <c r="CN141" s="533" t="str">
        <f t="shared" si="325"/>
        <v/>
      </c>
      <c r="CO141" s="534" t="str">
        <f t="shared" si="326"/>
        <v/>
      </c>
      <c r="CP141" s="535" t="str">
        <f t="shared" si="327"/>
        <v/>
      </c>
      <c r="CQ141" s="535" t="str">
        <f t="shared" si="328"/>
        <v/>
      </c>
      <c r="CR141" s="535" t="str">
        <f t="shared" si="329"/>
        <v/>
      </c>
      <c r="CS141" s="535" t="str">
        <f t="shared" si="330"/>
        <v/>
      </c>
      <c r="CT141" s="535" t="str">
        <f t="shared" si="331"/>
        <v/>
      </c>
      <c r="CU141" s="536" t="str">
        <f t="shared" si="332"/>
        <v/>
      </c>
      <c r="CV141" s="536" t="str">
        <f t="shared" si="333"/>
        <v/>
      </c>
      <c r="CW141" s="536" t="str">
        <f t="shared" si="334"/>
        <v/>
      </c>
      <c r="CX141" s="535" t="str">
        <f t="shared" si="335"/>
        <v/>
      </c>
      <c r="CY141" s="535" t="str">
        <f t="shared" si="336"/>
        <v/>
      </c>
      <c r="CZ141" s="535" t="str">
        <f t="shared" si="337"/>
        <v/>
      </c>
      <c r="DA141" s="535" t="str">
        <f t="shared" si="338"/>
        <v/>
      </c>
      <c r="DB141" s="535" t="str">
        <f t="shared" si="339"/>
        <v/>
      </c>
      <c r="DC141" s="534" t="str">
        <f t="shared" si="340"/>
        <v/>
      </c>
      <c r="DD141" s="533" t="str">
        <f t="shared" si="341"/>
        <v/>
      </c>
      <c r="DE141" s="635">
        <f t="shared" si="342"/>
        <v>0</v>
      </c>
      <c r="DF141" s="95">
        <f t="shared" si="343"/>
        <v>0</v>
      </c>
      <c r="DG141" s="95">
        <f t="shared" si="344"/>
        <v>0</v>
      </c>
      <c r="DH141" s="95">
        <f t="shared" si="345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67"/>
        <v/>
      </c>
      <c r="CA142" s="582" t="str">
        <f t="shared" si="268"/>
        <v/>
      </c>
      <c r="CB142" s="582" t="str">
        <f t="shared" si="269"/>
        <v/>
      </c>
      <c r="CC142" s="582" t="str">
        <f t="shared" si="270"/>
        <v/>
      </c>
      <c r="CD142" s="1008" t="str">
        <f t="shared" si="315"/>
        <v/>
      </c>
      <c r="CE142" s="1010" t="str">
        <f t="shared" si="316"/>
        <v/>
      </c>
      <c r="CF142" s="1010" t="str">
        <f t="shared" si="317"/>
        <v/>
      </c>
      <c r="CG142" s="1010" t="str">
        <f t="shared" si="318"/>
        <v/>
      </c>
      <c r="CH142" s="1011" t="str">
        <f t="shared" si="319"/>
        <v/>
      </c>
      <c r="CI142" s="1011" t="str">
        <f t="shared" si="320"/>
        <v/>
      </c>
      <c r="CJ142" s="1010" t="str">
        <f t="shared" si="321"/>
        <v/>
      </c>
      <c r="CK142" s="1010" t="str">
        <f t="shared" si="322"/>
        <v/>
      </c>
      <c r="CL142" s="1010" t="str">
        <f t="shared" si="323"/>
        <v/>
      </c>
      <c r="CM142" s="1008" t="str">
        <f t="shared" si="324"/>
        <v/>
      </c>
      <c r="CN142" s="533" t="str">
        <f t="shared" si="325"/>
        <v/>
      </c>
      <c r="CO142" s="534" t="str">
        <f t="shared" si="326"/>
        <v/>
      </c>
      <c r="CP142" s="535" t="str">
        <f t="shared" si="327"/>
        <v/>
      </c>
      <c r="CQ142" s="535" t="str">
        <f t="shared" si="328"/>
        <v/>
      </c>
      <c r="CR142" s="535" t="str">
        <f t="shared" si="329"/>
        <v/>
      </c>
      <c r="CS142" s="535" t="str">
        <f t="shared" si="330"/>
        <v/>
      </c>
      <c r="CT142" s="535" t="str">
        <f t="shared" si="331"/>
        <v/>
      </c>
      <c r="CU142" s="536" t="str">
        <f t="shared" si="332"/>
        <v/>
      </c>
      <c r="CV142" s="536" t="str">
        <f t="shared" si="333"/>
        <v/>
      </c>
      <c r="CW142" s="536" t="str">
        <f t="shared" si="334"/>
        <v/>
      </c>
      <c r="CX142" s="535" t="str">
        <f t="shared" si="335"/>
        <v/>
      </c>
      <c r="CY142" s="535" t="str">
        <f t="shared" si="336"/>
        <v/>
      </c>
      <c r="CZ142" s="535" t="str">
        <f t="shared" si="337"/>
        <v/>
      </c>
      <c r="DA142" s="535" t="str">
        <f t="shared" si="338"/>
        <v/>
      </c>
      <c r="DB142" s="535" t="str">
        <f t="shared" si="339"/>
        <v/>
      </c>
      <c r="DC142" s="534" t="str">
        <f t="shared" si="340"/>
        <v/>
      </c>
      <c r="DD142" s="533" t="str">
        <f t="shared" si="341"/>
        <v/>
      </c>
      <c r="DE142" s="635">
        <f t="shared" si="342"/>
        <v>0</v>
      </c>
      <c r="DF142" s="95">
        <f t="shared" si="343"/>
        <v>0</v>
      </c>
      <c r="DG142" s="95">
        <f t="shared" si="344"/>
        <v>0</v>
      </c>
      <c r="DH142" s="95">
        <f t="shared" si="345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0">IF(B141="","",B141*B142)</f>
        <v/>
      </c>
      <c r="C143" s="612" t="str">
        <f t="shared" si="370"/>
        <v/>
      </c>
      <c r="D143" s="612" t="str">
        <f t="shared" si="370"/>
        <v/>
      </c>
      <c r="E143" s="612" t="str">
        <f t="shared" si="370"/>
        <v/>
      </c>
      <c r="F143" s="612" t="str">
        <f t="shared" si="370"/>
        <v/>
      </c>
      <c r="G143" s="612" t="str">
        <f t="shared" si="370"/>
        <v/>
      </c>
      <c r="H143" s="612" t="str">
        <f t="shared" si="370"/>
        <v/>
      </c>
      <c r="I143" s="612" t="str">
        <f t="shared" si="370"/>
        <v/>
      </c>
      <c r="J143" s="612" t="str">
        <f t="shared" si="370"/>
        <v/>
      </c>
      <c r="K143" s="612" t="str">
        <f t="shared" si="370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1">IF(T141="","",T141*T142)</f>
        <v/>
      </c>
      <c r="U143" s="612" t="str">
        <f t="shared" si="371"/>
        <v/>
      </c>
      <c r="V143" s="612" t="str">
        <f t="shared" si="371"/>
        <v/>
      </c>
      <c r="W143" s="612" t="str">
        <f t="shared" si="371"/>
        <v/>
      </c>
      <c r="X143" s="612" t="str">
        <f t="shared" si="371"/>
        <v/>
      </c>
      <c r="Y143" s="612" t="str">
        <f t="shared" si="371"/>
        <v/>
      </c>
      <c r="Z143" s="612" t="str">
        <f t="shared" si="371"/>
        <v/>
      </c>
      <c r="AA143" s="612" t="str">
        <f t="shared" si="371"/>
        <v/>
      </c>
      <c r="AB143" s="612" t="str">
        <f t="shared" si="371"/>
        <v/>
      </c>
      <c r="AC143" s="612" t="str">
        <f t="shared" si="371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2">IF(AL141="","",AL141*AL142)</f>
        <v/>
      </c>
      <c r="AM143" s="612" t="str">
        <f t="shared" si="372"/>
        <v/>
      </c>
      <c r="AN143" s="612" t="str">
        <f t="shared" si="372"/>
        <v/>
      </c>
      <c r="AO143" s="612" t="str">
        <f t="shared" si="372"/>
        <v/>
      </c>
      <c r="AP143" s="612" t="str">
        <f t="shared" si="372"/>
        <v/>
      </c>
      <c r="AQ143" s="612" t="str">
        <f t="shared" si="372"/>
        <v/>
      </c>
      <c r="AR143" s="612" t="str">
        <f t="shared" si="372"/>
        <v/>
      </c>
      <c r="AS143" s="612" t="str">
        <f t="shared" si="372"/>
        <v/>
      </c>
      <c r="AT143" s="612" t="str">
        <f t="shared" si="372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3">IF(BD141="","",BD141*BD142)</f>
        <v/>
      </c>
      <c r="BE143" s="1201" t="str">
        <f t="shared" si="373"/>
        <v/>
      </c>
      <c r="BF143" s="1201" t="str">
        <f t="shared" si="373"/>
        <v/>
      </c>
      <c r="BG143" s="1201" t="str">
        <f t="shared" si="373"/>
        <v/>
      </c>
      <c r="BH143" s="1201" t="str">
        <f t="shared" si="373"/>
        <v/>
      </c>
      <c r="BI143" s="1201" t="str">
        <f t="shared" si="373"/>
        <v/>
      </c>
      <c r="BJ143" s="1201" t="str">
        <f t="shared" si="373"/>
        <v/>
      </c>
      <c r="BK143" s="1201" t="str">
        <f t="shared" si="373"/>
        <v/>
      </c>
      <c r="BL143" s="1201" t="str">
        <f t="shared" si="373"/>
        <v/>
      </c>
      <c r="BM143" s="1201" t="str">
        <f t="shared" si="373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67"/>
        <v/>
      </c>
      <c r="CA143" s="582" t="str">
        <f t="shared" si="268"/>
        <v/>
      </c>
      <c r="CB143" s="582" t="str">
        <f t="shared" si="269"/>
        <v/>
      </c>
      <c r="CC143" s="582" t="str">
        <f t="shared" si="270"/>
        <v/>
      </c>
      <c r="CD143" s="1008" t="str">
        <f t="shared" si="315"/>
        <v/>
      </c>
      <c r="CE143" s="1010" t="str">
        <f t="shared" si="316"/>
        <v/>
      </c>
      <c r="CF143" s="1010" t="str">
        <f t="shared" si="317"/>
        <v/>
      </c>
      <c r="CG143" s="1010" t="str">
        <f t="shared" si="318"/>
        <v/>
      </c>
      <c r="CH143" s="1011" t="str">
        <f t="shared" si="319"/>
        <v/>
      </c>
      <c r="CI143" s="1011" t="str">
        <f t="shared" si="320"/>
        <v/>
      </c>
      <c r="CJ143" s="1010" t="str">
        <f t="shared" si="321"/>
        <v/>
      </c>
      <c r="CK143" s="1010" t="str">
        <f t="shared" si="322"/>
        <v/>
      </c>
      <c r="CL143" s="1010" t="str">
        <f t="shared" si="323"/>
        <v/>
      </c>
      <c r="CM143" s="1008" t="str">
        <f t="shared" si="324"/>
        <v/>
      </c>
      <c r="CN143" s="533" t="str">
        <f t="shared" si="325"/>
        <v/>
      </c>
      <c r="CO143" s="534" t="str">
        <f t="shared" si="326"/>
        <v/>
      </c>
      <c r="CP143" s="535" t="str">
        <f t="shared" si="327"/>
        <v/>
      </c>
      <c r="CQ143" s="535" t="str">
        <f t="shared" si="328"/>
        <v/>
      </c>
      <c r="CR143" s="535" t="str">
        <f t="shared" si="329"/>
        <v/>
      </c>
      <c r="CS143" s="535" t="str">
        <f t="shared" si="330"/>
        <v/>
      </c>
      <c r="CT143" s="535" t="str">
        <f t="shared" si="331"/>
        <v/>
      </c>
      <c r="CU143" s="536" t="str">
        <f t="shared" si="332"/>
        <v/>
      </c>
      <c r="CV143" s="536" t="str">
        <f t="shared" si="333"/>
        <v/>
      </c>
      <c r="CW143" s="536" t="str">
        <f t="shared" si="334"/>
        <v/>
      </c>
      <c r="CX143" s="535" t="str">
        <f t="shared" si="335"/>
        <v/>
      </c>
      <c r="CY143" s="535" t="str">
        <f t="shared" si="336"/>
        <v/>
      </c>
      <c r="CZ143" s="535" t="str">
        <f t="shared" si="337"/>
        <v/>
      </c>
      <c r="DA143" s="535" t="str">
        <f t="shared" si="338"/>
        <v/>
      </c>
      <c r="DB143" s="535" t="str">
        <f t="shared" si="339"/>
        <v/>
      </c>
      <c r="DC143" s="534" t="str">
        <f t="shared" si="340"/>
        <v/>
      </c>
      <c r="DD143" s="533" t="str">
        <f t="shared" si="341"/>
        <v/>
      </c>
      <c r="DE143" s="635">
        <f t="shared" si="342"/>
        <v>0</v>
      </c>
      <c r="DF143" s="95">
        <f t="shared" si="343"/>
        <v>0</v>
      </c>
      <c r="DG143" s="95">
        <f t="shared" si="344"/>
        <v>0</v>
      </c>
      <c r="DH143" s="95">
        <f t="shared" si="345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74">IF(B139="","",(SUM(B123)*4522-SUM(B124,B128)*(4522-3098*(B127=0))-SUM(B140,B141)*32930)/$G$1/365/B$46)</f>
        <v/>
      </c>
      <c r="C144" s="615" t="str">
        <f t="shared" si="374"/>
        <v/>
      </c>
      <c r="D144" s="615" t="str">
        <f t="shared" si="374"/>
        <v/>
      </c>
      <c r="E144" s="615" t="str">
        <f t="shared" si="374"/>
        <v/>
      </c>
      <c r="F144" s="615" t="str">
        <f t="shared" si="374"/>
        <v/>
      </c>
      <c r="G144" s="615" t="str">
        <f t="shared" si="374"/>
        <v/>
      </c>
      <c r="H144" s="615" t="str">
        <f t="shared" si="374"/>
        <v/>
      </c>
      <c r="I144" s="615" t="str">
        <f t="shared" si="374"/>
        <v/>
      </c>
      <c r="J144" s="615" t="str">
        <f t="shared" si="374"/>
        <v/>
      </c>
      <c r="K144" s="615" t="str">
        <f t="shared" si="374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75">IF(T139="","",(SUM(T123)*4522-SUM(T124,T128)*(4522-3098*(T127=0))-SUM(T140,T141)*32930)/$G$1/365/T$46)</f>
        <v/>
      </c>
      <c r="U144" s="615" t="str">
        <f t="shared" si="375"/>
        <v/>
      </c>
      <c r="V144" s="615" t="str">
        <f t="shared" si="375"/>
        <v/>
      </c>
      <c r="W144" s="615" t="str">
        <f t="shared" si="375"/>
        <v/>
      </c>
      <c r="X144" s="615" t="str">
        <f t="shared" si="375"/>
        <v/>
      </c>
      <c r="Y144" s="615" t="str">
        <f t="shared" si="375"/>
        <v/>
      </c>
      <c r="Z144" s="615" t="str">
        <f t="shared" si="375"/>
        <v/>
      </c>
      <c r="AA144" s="615" t="str">
        <f t="shared" si="375"/>
        <v/>
      </c>
      <c r="AB144" s="615" t="str">
        <f t="shared" si="375"/>
        <v/>
      </c>
      <c r="AC144" s="615" t="str">
        <f t="shared" si="375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76">IF(AL139="","",(SUM(AL123)*4522-SUM(AL124,AL128)*(4522-3098*(AL127=0))-SUM(AL140,AL141)*32930)/$G$1/365/AL$46)</f>
        <v/>
      </c>
      <c r="AM144" s="615" t="str">
        <f t="shared" si="376"/>
        <v/>
      </c>
      <c r="AN144" s="615" t="str">
        <f t="shared" si="376"/>
        <v/>
      </c>
      <c r="AO144" s="615" t="str">
        <f t="shared" si="376"/>
        <v/>
      </c>
      <c r="AP144" s="615" t="str">
        <f t="shared" si="376"/>
        <v/>
      </c>
      <c r="AQ144" s="615" t="str">
        <f t="shared" si="376"/>
        <v/>
      </c>
      <c r="AR144" s="615" t="str">
        <f t="shared" si="376"/>
        <v/>
      </c>
      <c r="AS144" s="615" t="str">
        <f t="shared" si="376"/>
        <v/>
      </c>
      <c r="AT144" s="615" t="str">
        <f t="shared" si="376"/>
        <v/>
      </c>
      <c r="AU144" s="615" t="str">
        <f t="shared" si="376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77">IF(BD139="","",(SUM(BD123)*4522-SUM(BD124,BD128)*(4522-3098*(BD127=0))-SUM(BD140,BD141)*32930)/$G$1/365/BD$46)</f>
        <v/>
      </c>
      <c r="BE144" s="1202" t="str">
        <f t="shared" si="377"/>
        <v/>
      </c>
      <c r="BF144" s="1202" t="str">
        <f t="shared" si="377"/>
        <v/>
      </c>
      <c r="BG144" s="1202" t="str">
        <f t="shared" si="377"/>
        <v/>
      </c>
      <c r="BH144" s="1202" t="str">
        <f t="shared" si="377"/>
        <v/>
      </c>
      <c r="BI144" s="1202" t="str">
        <f t="shared" si="377"/>
        <v/>
      </c>
      <c r="BJ144" s="1202" t="str">
        <f t="shared" si="377"/>
        <v/>
      </c>
      <c r="BK144" s="1202" t="str">
        <f t="shared" si="377"/>
        <v/>
      </c>
      <c r="BL144" s="1202" t="str">
        <f t="shared" si="377"/>
        <v/>
      </c>
      <c r="BM144" s="1202" t="str">
        <f t="shared" si="377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67"/>
        <v/>
      </c>
      <c r="CA144" s="582" t="str">
        <f t="shared" si="268"/>
        <v/>
      </c>
      <c r="CB144" s="582" t="str">
        <f t="shared" si="269"/>
        <v/>
      </c>
      <c r="CC144" s="582" t="str">
        <f t="shared" si="270"/>
        <v/>
      </c>
      <c r="CD144" s="1000" t="str">
        <f t="shared" si="315"/>
        <v/>
      </c>
      <c r="CE144" s="1002" t="str">
        <f t="shared" si="316"/>
        <v/>
      </c>
      <c r="CF144" s="1002" t="str">
        <f t="shared" si="317"/>
        <v/>
      </c>
      <c r="CG144" s="1002" t="str">
        <f t="shared" si="318"/>
        <v/>
      </c>
      <c r="CH144" s="1003" t="str">
        <f t="shared" si="319"/>
        <v/>
      </c>
      <c r="CI144" s="1003" t="str">
        <f t="shared" si="320"/>
        <v/>
      </c>
      <c r="CJ144" s="1002" t="str">
        <f t="shared" si="321"/>
        <v/>
      </c>
      <c r="CK144" s="1002" t="str">
        <f t="shared" si="322"/>
        <v/>
      </c>
      <c r="CL144" s="1002" t="str">
        <f t="shared" si="323"/>
        <v/>
      </c>
      <c r="CM144" s="1000" t="str">
        <f t="shared" si="324"/>
        <v/>
      </c>
      <c r="CN144" s="521" t="str">
        <f t="shared" si="325"/>
        <v/>
      </c>
      <c r="CO144" s="522" t="str">
        <f t="shared" si="326"/>
        <v/>
      </c>
      <c r="CP144" s="523" t="str">
        <f t="shared" si="327"/>
        <v/>
      </c>
      <c r="CQ144" s="523" t="str">
        <f t="shared" si="328"/>
        <v/>
      </c>
      <c r="CR144" s="523" t="str">
        <f t="shared" si="329"/>
        <v/>
      </c>
      <c r="CS144" s="523" t="str">
        <f t="shared" si="330"/>
        <v/>
      </c>
      <c r="CT144" s="523" t="str">
        <f t="shared" si="331"/>
        <v/>
      </c>
      <c r="CU144" s="524" t="str">
        <f t="shared" si="332"/>
        <v/>
      </c>
      <c r="CV144" s="524" t="str">
        <f t="shared" si="333"/>
        <v/>
      </c>
      <c r="CW144" s="524" t="str">
        <f t="shared" si="334"/>
        <v/>
      </c>
      <c r="CX144" s="523" t="str">
        <f t="shared" si="335"/>
        <v/>
      </c>
      <c r="CY144" s="523" t="str">
        <f t="shared" si="336"/>
        <v/>
      </c>
      <c r="CZ144" s="523" t="str">
        <f t="shared" si="337"/>
        <v/>
      </c>
      <c r="DA144" s="523" t="str">
        <f t="shared" si="338"/>
        <v/>
      </c>
      <c r="DB144" s="523" t="str">
        <f t="shared" si="339"/>
        <v/>
      </c>
      <c r="DC144" s="522" t="str">
        <f t="shared" si="340"/>
        <v/>
      </c>
      <c r="DD144" s="521" t="str">
        <f t="shared" si="341"/>
        <v/>
      </c>
      <c r="DE144" s="635">
        <f t="shared" si="342"/>
        <v>0</v>
      </c>
      <c r="DF144" s="95">
        <f t="shared" si="343"/>
        <v>0</v>
      </c>
      <c r="DG144" s="95">
        <f t="shared" si="344"/>
        <v>0</v>
      </c>
      <c r="DH144" s="95">
        <f t="shared" si="345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78">IF(B139="","",(SUM(B132)*4522-SUM(B133,B137)*(4522-3098*(B136=0)))/$G$1/365/B$46)</f>
        <v/>
      </c>
      <c r="C145" s="615" t="str">
        <f t="shared" si="378"/>
        <v/>
      </c>
      <c r="D145" s="615" t="str">
        <f t="shared" si="378"/>
        <v/>
      </c>
      <c r="E145" s="615" t="str">
        <f t="shared" si="378"/>
        <v/>
      </c>
      <c r="F145" s="615" t="str">
        <f t="shared" si="378"/>
        <v/>
      </c>
      <c r="G145" s="615" t="str">
        <f t="shared" si="378"/>
        <v/>
      </c>
      <c r="H145" s="615" t="str">
        <f t="shared" si="378"/>
        <v/>
      </c>
      <c r="I145" s="615" t="str">
        <f t="shared" si="378"/>
        <v/>
      </c>
      <c r="J145" s="615" t="str">
        <f t="shared" si="378"/>
        <v/>
      </c>
      <c r="K145" s="615" t="str">
        <f t="shared" si="378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79">IF(T139="","",(SUM(T132)*4522-SUM(T133,T137)*(4522-3098*(T136=0)))/$G$1/365/T$46)</f>
        <v/>
      </c>
      <c r="U145" s="615" t="str">
        <f t="shared" si="379"/>
        <v/>
      </c>
      <c r="V145" s="615" t="str">
        <f t="shared" si="379"/>
        <v/>
      </c>
      <c r="W145" s="615" t="str">
        <f t="shared" si="379"/>
        <v/>
      </c>
      <c r="X145" s="615" t="str">
        <f t="shared" si="379"/>
        <v/>
      </c>
      <c r="Y145" s="615" t="str">
        <f t="shared" si="379"/>
        <v/>
      </c>
      <c r="Z145" s="615" t="str">
        <f t="shared" si="379"/>
        <v/>
      </c>
      <c r="AA145" s="615" t="str">
        <f t="shared" si="379"/>
        <v/>
      </c>
      <c r="AB145" s="615" t="str">
        <f t="shared" si="379"/>
        <v/>
      </c>
      <c r="AC145" s="615" t="str">
        <f t="shared" si="379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0">IF(AL139="","",(SUM(AL132)*4522-SUM(AL133,AL137)*(4522-3098*(AL136=0)))/$G$1/365/AL$46)</f>
        <v/>
      </c>
      <c r="AM145" s="615" t="str">
        <f t="shared" si="380"/>
        <v/>
      </c>
      <c r="AN145" s="615" t="str">
        <f t="shared" si="380"/>
        <v/>
      </c>
      <c r="AO145" s="615" t="str">
        <f t="shared" si="380"/>
        <v/>
      </c>
      <c r="AP145" s="615" t="str">
        <f t="shared" si="380"/>
        <v/>
      </c>
      <c r="AQ145" s="615" t="str">
        <f t="shared" si="380"/>
        <v/>
      </c>
      <c r="AR145" s="615" t="str">
        <f t="shared" si="380"/>
        <v/>
      </c>
      <c r="AS145" s="615" t="str">
        <f t="shared" si="380"/>
        <v/>
      </c>
      <c r="AT145" s="615" t="str">
        <f t="shared" si="380"/>
        <v/>
      </c>
      <c r="AU145" s="615" t="str">
        <f t="shared" si="380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1">IF(BD139="","",(SUM(BD132)*4522-SUM(BD133,BD137)*(4522-3098*(BD136=0)))/$G$1/365/BD$46)</f>
        <v/>
      </c>
      <c r="BE145" s="1202" t="str">
        <f t="shared" si="381"/>
        <v/>
      </c>
      <c r="BF145" s="1202" t="str">
        <f t="shared" si="381"/>
        <v/>
      </c>
      <c r="BG145" s="1202" t="str">
        <f t="shared" si="381"/>
        <v/>
      </c>
      <c r="BH145" s="1202" t="str">
        <f t="shared" si="381"/>
        <v/>
      </c>
      <c r="BI145" s="1202" t="str">
        <f t="shared" si="381"/>
        <v/>
      </c>
      <c r="BJ145" s="1202" t="str">
        <f t="shared" si="381"/>
        <v/>
      </c>
      <c r="BK145" s="1202" t="str">
        <f t="shared" si="381"/>
        <v/>
      </c>
      <c r="BL145" s="1202" t="str">
        <f t="shared" si="381"/>
        <v/>
      </c>
      <c r="BM145" s="1202" t="str">
        <f t="shared" si="381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67"/>
        <v/>
      </c>
      <c r="CA145" s="582" t="str">
        <f t="shared" si="268"/>
        <v/>
      </c>
      <c r="CB145" s="582" t="str">
        <f t="shared" si="269"/>
        <v/>
      </c>
      <c r="CC145" s="582" t="str">
        <f t="shared" si="270"/>
        <v/>
      </c>
      <c r="CD145" s="1000" t="str">
        <f t="shared" si="315"/>
        <v/>
      </c>
      <c r="CE145" s="1002" t="str">
        <f t="shared" si="316"/>
        <v/>
      </c>
      <c r="CF145" s="1002" t="str">
        <f t="shared" si="317"/>
        <v/>
      </c>
      <c r="CG145" s="1002" t="str">
        <f t="shared" si="318"/>
        <v/>
      </c>
      <c r="CH145" s="1003" t="str">
        <f t="shared" si="319"/>
        <v/>
      </c>
      <c r="CI145" s="1003" t="str">
        <f t="shared" si="320"/>
        <v/>
      </c>
      <c r="CJ145" s="1002" t="str">
        <f t="shared" si="321"/>
        <v/>
      </c>
      <c r="CK145" s="1002" t="str">
        <f t="shared" si="322"/>
        <v/>
      </c>
      <c r="CL145" s="1002" t="str">
        <f t="shared" si="323"/>
        <v/>
      </c>
      <c r="CM145" s="1000" t="str">
        <f t="shared" si="324"/>
        <v/>
      </c>
      <c r="CN145" s="521" t="str">
        <f t="shared" si="325"/>
        <v/>
      </c>
      <c r="CO145" s="522" t="str">
        <f t="shared" si="326"/>
        <v/>
      </c>
      <c r="CP145" s="523" t="str">
        <f t="shared" si="327"/>
        <v/>
      </c>
      <c r="CQ145" s="523" t="str">
        <f t="shared" si="328"/>
        <v/>
      </c>
      <c r="CR145" s="523" t="str">
        <f t="shared" si="329"/>
        <v/>
      </c>
      <c r="CS145" s="523" t="str">
        <f t="shared" si="330"/>
        <v/>
      </c>
      <c r="CT145" s="523" t="str">
        <f t="shared" si="331"/>
        <v/>
      </c>
      <c r="CU145" s="524" t="str">
        <f t="shared" si="332"/>
        <v/>
      </c>
      <c r="CV145" s="524" t="str">
        <f t="shared" si="333"/>
        <v/>
      </c>
      <c r="CW145" s="524" t="str">
        <f t="shared" si="334"/>
        <v/>
      </c>
      <c r="CX145" s="523" t="str">
        <f t="shared" si="335"/>
        <v/>
      </c>
      <c r="CY145" s="523" t="str">
        <f t="shared" si="336"/>
        <v/>
      </c>
      <c r="CZ145" s="523" t="str">
        <f t="shared" si="337"/>
        <v/>
      </c>
      <c r="DA145" s="523" t="str">
        <f t="shared" si="338"/>
        <v/>
      </c>
      <c r="DB145" s="523" t="str">
        <f t="shared" si="339"/>
        <v/>
      </c>
      <c r="DC145" s="522" t="str">
        <f t="shared" si="340"/>
        <v/>
      </c>
      <c r="DD145" s="521" t="str">
        <f t="shared" si="341"/>
        <v/>
      </c>
      <c r="DE145" s="635">
        <f t="shared" si="342"/>
        <v>0</v>
      </c>
      <c r="DF145" s="95">
        <f t="shared" si="343"/>
        <v>0</v>
      </c>
      <c r="DG145" s="95">
        <f t="shared" si="344"/>
        <v>0</v>
      </c>
      <c r="DH145" s="95">
        <f t="shared" si="345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2">IF(SUM(B139)&gt;0,B141/B139,"")</f>
        <v/>
      </c>
      <c r="C146" s="605" t="str">
        <f t="shared" si="382"/>
        <v/>
      </c>
      <c r="D146" s="605" t="str">
        <f t="shared" si="382"/>
        <v/>
      </c>
      <c r="E146" s="605" t="str">
        <f t="shared" si="382"/>
        <v/>
      </c>
      <c r="F146" s="605" t="str">
        <f t="shared" si="382"/>
        <v/>
      </c>
      <c r="G146" s="605" t="str">
        <f t="shared" si="382"/>
        <v/>
      </c>
      <c r="H146" s="605" t="str">
        <f t="shared" si="382"/>
        <v/>
      </c>
      <c r="I146" s="605" t="str">
        <f t="shared" si="382"/>
        <v/>
      </c>
      <c r="J146" s="605" t="str">
        <f t="shared" si="382"/>
        <v/>
      </c>
      <c r="K146" s="605" t="str">
        <f t="shared" si="382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3">IF(SUM(T139)&gt;0,T141/T139,"")</f>
        <v/>
      </c>
      <c r="U146" s="605" t="str">
        <f t="shared" si="383"/>
        <v/>
      </c>
      <c r="V146" s="605" t="str">
        <f t="shared" si="383"/>
        <v/>
      </c>
      <c r="W146" s="605" t="str">
        <f t="shared" si="383"/>
        <v/>
      </c>
      <c r="X146" s="605" t="str">
        <f t="shared" si="383"/>
        <v/>
      </c>
      <c r="Y146" s="605" t="str">
        <f t="shared" si="383"/>
        <v/>
      </c>
      <c r="Z146" s="605" t="str">
        <f t="shared" si="383"/>
        <v/>
      </c>
      <c r="AA146" s="605" t="str">
        <f t="shared" si="383"/>
        <v/>
      </c>
      <c r="AB146" s="605" t="str">
        <f t="shared" si="383"/>
        <v/>
      </c>
      <c r="AC146" s="605" t="str">
        <f t="shared" si="383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84">IF(SUM(AL139)&gt;0,AL141/AL139,"")</f>
        <v/>
      </c>
      <c r="AM146" s="605" t="str">
        <f t="shared" si="384"/>
        <v/>
      </c>
      <c r="AN146" s="605" t="str">
        <f t="shared" si="384"/>
        <v/>
      </c>
      <c r="AO146" s="605" t="str">
        <f t="shared" si="384"/>
        <v/>
      </c>
      <c r="AP146" s="605" t="str">
        <f t="shared" si="384"/>
        <v/>
      </c>
      <c r="AQ146" s="605" t="str">
        <f t="shared" si="384"/>
        <v/>
      </c>
      <c r="AR146" s="605" t="str">
        <f t="shared" si="384"/>
        <v/>
      </c>
      <c r="AS146" s="605" t="str">
        <f t="shared" si="384"/>
        <v/>
      </c>
      <c r="AT146" s="605" t="str">
        <f t="shared" si="384"/>
        <v/>
      </c>
      <c r="AU146" s="605" t="str">
        <f t="shared" si="384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85">IF(SUM(BD139)&gt;0,BD141/BD139,"")</f>
        <v/>
      </c>
      <c r="BE146" s="1197" t="str">
        <f t="shared" si="385"/>
        <v/>
      </c>
      <c r="BF146" s="1197" t="str">
        <f t="shared" si="385"/>
        <v/>
      </c>
      <c r="BG146" s="1197" t="str">
        <f t="shared" si="385"/>
        <v/>
      </c>
      <c r="BH146" s="1197" t="str">
        <f t="shared" si="385"/>
        <v/>
      </c>
      <c r="BI146" s="1197" t="str">
        <f t="shared" si="385"/>
        <v/>
      </c>
      <c r="BJ146" s="1197" t="str">
        <f t="shared" si="385"/>
        <v/>
      </c>
      <c r="BK146" s="1197" t="str">
        <f t="shared" si="385"/>
        <v/>
      </c>
      <c r="BL146" s="1197" t="str">
        <f t="shared" si="385"/>
        <v/>
      </c>
      <c r="BM146" s="1197" t="str">
        <f t="shared" si="385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67"/>
        <v/>
      </c>
      <c r="CA146" s="582" t="str">
        <f t="shared" si="268"/>
        <v/>
      </c>
      <c r="CB146" s="582" t="str">
        <f t="shared" si="269"/>
        <v/>
      </c>
      <c r="CC146" s="582" t="str">
        <f t="shared" si="270"/>
        <v/>
      </c>
      <c r="CD146" s="1000" t="str">
        <f t="shared" si="315"/>
        <v/>
      </c>
      <c r="CE146" s="1002" t="str">
        <f t="shared" si="316"/>
        <v/>
      </c>
      <c r="CF146" s="1002" t="str">
        <f t="shared" si="317"/>
        <v/>
      </c>
      <c r="CG146" s="1002" t="str">
        <f t="shared" si="318"/>
        <v/>
      </c>
      <c r="CH146" s="1003" t="str">
        <f t="shared" si="319"/>
        <v/>
      </c>
      <c r="CI146" s="1003" t="str">
        <f t="shared" si="320"/>
        <v/>
      </c>
      <c r="CJ146" s="1002" t="str">
        <f t="shared" si="321"/>
        <v/>
      </c>
      <c r="CK146" s="1002" t="str">
        <f t="shared" si="322"/>
        <v/>
      </c>
      <c r="CL146" s="1002" t="str">
        <f t="shared" si="323"/>
        <v/>
      </c>
      <c r="CM146" s="1000" t="str">
        <f t="shared" si="324"/>
        <v/>
      </c>
      <c r="CN146" s="521" t="str">
        <f t="shared" si="325"/>
        <v/>
      </c>
      <c r="CO146" s="522" t="str">
        <f t="shared" si="326"/>
        <v/>
      </c>
      <c r="CP146" s="523" t="str">
        <f t="shared" si="327"/>
        <v/>
      </c>
      <c r="CQ146" s="523" t="str">
        <f t="shared" si="328"/>
        <v/>
      </c>
      <c r="CR146" s="523" t="str">
        <f t="shared" si="329"/>
        <v/>
      </c>
      <c r="CS146" s="523" t="str">
        <f t="shared" si="330"/>
        <v/>
      </c>
      <c r="CT146" s="523" t="str">
        <f t="shared" si="331"/>
        <v/>
      </c>
      <c r="CU146" s="524" t="str">
        <f t="shared" si="332"/>
        <v/>
      </c>
      <c r="CV146" s="524" t="str">
        <f t="shared" si="333"/>
        <v/>
      </c>
      <c r="CW146" s="524" t="str">
        <f t="shared" si="334"/>
        <v/>
      </c>
      <c r="CX146" s="523" t="str">
        <f t="shared" si="335"/>
        <v/>
      </c>
      <c r="CY146" s="523" t="str">
        <f t="shared" si="336"/>
        <v/>
      </c>
      <c r="CZ146" s="523" t="str">
        <f t="shared" si="337"/>
        <v/>
      </c>
      <c r="DA146" s="523" t="str">
        <f t="shared" si="338"/>
        <v/>
      </c>
      <c r="DB146" s="523" t="str">
        <f t="shared" si="339"/>
        <v/>
      </c>
      <c r="DC146" s="522" t="str">
        <f t="shared" si="340"/>
        <v/>
      </c>
      <c r="DD146" s="521" t="str">
        <f t="shared" si="341"/>
        <v/>
      </c>
      <c r="DE146" s="635">
        <f t="shared" si="342"/>
        <v>0</v>
      </c>
      <c r="DF146" s="95">
        <f t="shared" si="343"/>
        <v>0</v>
      </c>
      <c r="DG146" s="95">
        <f t="shared" si="344"/>
        <v>0</v>
      </c>
      <c r="DH146" s="95">
        <f t="shared" si="345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67"/>
        <v/>
      </c>
      <c r="CA147" s="574" t="str">
        <f t="shared" si="268"/>
        <v/>
      </c>
      <c r="CB147" s="574" t="str">
        <f t="shared" si="269"/>
        <v/>
      </c>
      <c r="CC147" s="574" t="str">
        <f t="shared" si="270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67"/>
        <v>0</v>
      </c>
      <c r="CA148" s="582">
        <f t="shared" si="268"/>
        <v>0</v>
      </c>
      <c r="CB148" s="582">
        <f t="shared" si="269"/>
        <v>0</v>
      </c>
      <c r="CC148" s="582">
        <f t="shared" si="270"/>
        <v>0</v>
      </c>
      <c r="CD148" s="1008">
        <f t="shared" ref="CD148:CD204" si="38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8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8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8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39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39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39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39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39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39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0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0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0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0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0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0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3">COUNT(B148:R148)</f>
        <v>10</v>
      </c>
      <c r="DF148" s="95">
        <f t="shared" ref="DF148:DF179" si="414">COUNT(T148:AJ148)</f>
        <v>10</v>
      </c>
      <c r="DG148" s="95">
        <f t="shared" ref="DG148:DG179" si="415">COUNT(AL148:BB148)</f>
        <v>10</v>
      </c>
      <c r="DH148" s="95">
        <f t="shared" ref="DH148:DH179" si="416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67"/>
        <v>45</v>
      </c>
      <c r="CA149" s="582">
        <f t="shared" si="268"/>
        <v>45</v>
      </c>
      <c r="CB149" s="582">
        <f t="shared" si="269"/>
        <v>45</v>
      </c>
      <c r="CC149" s="582">
        <f t="shared" si="270"/>
        <v>45.375</v>
      </c>
      <c r="CD149" s="1008">
        <f t="shared" si="386"/>
        <v>45</v>
      </c>
      <c r="CE149" s="1010">
        <f t="shared" si="387"/>
        <v>45</v>
      </c>
      <c r="CF149" s="1010">
        <f t="shared" si="388"/>
        <v>45</v>
      </c>
      <c r="CG149" s="1010">
        <f t="shared" si="389"/>
        <v>45</v>
      </c>
      <c r="CH149" s="1011">
        <f t="shared" si="390"/>
        <v>45</v>
      </c>
      <c r="CI149" s="1011">
        <f t="shared" si="391"/>
        <v>45</v>
      </c>
      <c r="CJ149" s="1010">
        <f t="shared" si="392"/>
        <v>45</v>
      </c>
      <c r="CK149" s="1010">
        <f t="shared" si="393"/>
        <v>45</v>
      </c>
      <c r="CL149" s="1010">
        <f t="shared" si="394"/>
        <v>45</v>
      </c>
      <c r="CM149" s="1008">
        <f t="shared" si="395"/>
        <v>45</v>
      </c>
      <c r="CN149" s="533" t="str">
        <f t="shared" si="396"/>
        <v/>
      </c>
      <c r="CO149" s="534" t="str">
        <f t="shared" si="397"/>
        <v/>
      </c>
      <c r="CP149" s="535" t="str">
        <f t="shared" si="398"/>
        <v/>
      </c>
      <c r="CQ149" s="535" t="str">
        <f t="shared" si="399"/>
        <v/>
      </c>
      <c r="CR149" s="535">
        <f t="shared" si="400"/>
        <v>45</v>
      </c>
      <c r="CS149" s="535">
        <f t="shared" si="401"/>
        <v>45</v>
      </c>
      <c r="CT149" s="535">
        <f t="shared" si="402"/>
        <v>45</v>
      </c>
      <c r="CU149" s="536">
        <f t="shared" si="403"/>
        <v>45</v>
      </c>
      <c r="CV149" s="536">
        <f t="shared" si="404"/>
        <v>45</v>
      </c>
      <c r="CW149" s="536">
        <f t="shared" si="405"/>
        <v>45</v>
      </c>
      <c r="CX149" s="535">
        <f t="shared" si="406"/>
        <v>45</v>
      </c>
      <c r="CY149" s="535">
        <f t="shared" si="407"/>
        <v>46</v>
      </c>
      <c r="CZ149" s="535">
        <f t="shared" si="408"/>
        <v>47</v>
      </c>
      <c r="DA149" s="535">
        <f t="shared" si="409"/>
        <v>48</v>
      </c>
      <c r="DB149" s="535" t="str">
        <f t="shared" si="410"/>
        <v/>
      </c>
      <c r="DC149" s="534" t="str">
        <f t="shared" si="411"/>
        <v/>
      </c>
      <c r="DD149" s="533" t="str">
        <f t="shared" si="412"/>
        <v/>
      </c>
      <c r="DE149" s="635">
        <f t="shared" si="413"/>
        <v>10</v>
      </c>
      <c r="DF149" s="95">
        <f t="shared" si="414"/>
        <v>10</v>
      </c>
      <c r="DG149" s="95">
        <f t="shared" si="415"/>
        <v>10</v>
      </c>
      <c r="DH149" s="95">
        <f t="shared" si="416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67"/>
        <v/>
      </c>
      <c r="CA150" s="582" t="str">
        <f t="shared" si="268"/>
        <v/>
      </c>
      <c r="CB150" s="582" t="str">
        <f t="shared" si="269"/>
        <v/>
      </c>
      <c r="CC150" s="582" t="str">
        <f t="shared" si="270"/>
        <v/>
      </c>
      <c r="CD150" s="1008" t="str">
        <f t="shared" si="386"/>
        <v/>
      </c>
      <c r="CE150" s="1010" t="str">
        <f t="shared" si="387"/>
        <v/>
      </c>
      <c r="CF150" s="1010" t="str">
        <f t="shared" si="388"/>
        <v/>
      </c>
      <c r="CG150" s="1010" t="str">
        <f t="shared" si="389"/>
        <v/>
      </c>
      <c r="CH150" s="1011" t="str">
        <f t="shared" si="390"/>
        <v/>
      </c>
      <c r="CI150" s="1011" t="str">
        <f t="shared" si="391"/>
        <v/>
      </c>
      <c r="CJ150" s="1010" t="str">
        <f t="shared" si="392"/>
        <v/>
      </c>
      <c r="CK150" s="1010" t="str">
        <f t="shared" si="393"/>
        <v/>
      </c>
      <c r="CL150" s="1010" t="str">
        <f t="shared" si="394"/>
        <v/>
      </c>
      <c r="CM150" s="1008" t="str">
        <f t="shared" si="395"/>
        <v/>
      </c>
      <c r="CN150" s="533" t="str">
        <f t="shared" si="396"/>
        <v/>
      </c>
      <c r="CO150" s="534" t="str">
        <f t="shared" si="397"/>
        <v/>
      </c>
      <c r="CP150" s="535" t="str">
        <f t="shared" si="398"/>
        <v/>
      </c>
      <c r="CQ150" s="535" t="str">
        <f t="shared" si="399"/>
        <v/>
      </c>
      <c r="CR150" s="535" t="str">
        <f t="shared" si="400"/>
        <v/>
      </c>
      <c r="CS150" s="535" t="str">
        <f t="shared" si="401"/>
        <v/>
      </c>
      <c r="CT150" s="535" t="str">
        <f t="shared" si="402"/>
        <v/>
      </c>
      <c r="CU150" s="536" t="str">
        <f t="shared" si="403"/>
        <v/>
      </c>
      <c r="CV150" s="536" t="str">
        <f t="shared" si="404"/>
        <v/>
      </c>
      <c r="CW150" s="536" t="str">
        <f t="shared" si="405"/>
        <v/>
      </c>
      <c r="CX150" s="535" t="str">
        <f t="shared" si="406"/>
        <v/>
      </c>
      <c r="CY150" s="535" t="str">
        <f t="shared" si="407"/>
        <v/>
      </c>
      <c r="CZ150" s="535" t="str">
        <f t="shared" si="408"/>
        <v/>
      </c>
      <c r="DA150" s="535" t="str">
        <f t="shared" si="409"/>
        <v/>
      </c>
      <c r="DB150" s="535" t="str">
        <f t="shared" si="410"/>
        <v/>
      </c>
      <c r="DC150" s="534" t="str">
        <f t="shared" si="411"/>
        <v/>
      </c>
      <c r="DD150" s="533" t="str">
        <f t="shared" si="412"/>
        <v/>
      </c>
      <c r="DE150" s="635">
        <f t="shared" si="413"/>
        <v>0</v>
      </c>
      <c r="DF150" s="95">
        <f t="shared" si="414"/>
        <v>0</v>
      </c>
      <c r="DG150" s="95">
        <f t="shared" si="415"/>
        <v>0</v>
      </c>
      <c r="DH150" s="95">
        <f t="shared" si="416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17">IF(B150="","",B148*B149*B150)</f>
        <v/>
      </c>
      <c r="C151" s="591" t="str">
        <f t="shared" si="417"/>
        <v/>
      </c>
      <c r="D151" s="591" t="str">
        <f t="shared" si="417"/>
        <v/>
      </c>
      <c r="E151" s="591" t="str">
        <f t="shared" si="417"/>
        <v/>
      </c>
      <c r="F151" s="591" t="str">
        <f t="shared" si="417"/>
        <v/>
      </c>
      <c r="G151" s="591" t="str">
        <f t="shared" si="417"/>
        <v/>
      </c>
      <c r="H151" s="591" t="str">
        <f t="shared" si="417"/>
        <v/>
      </c>
      <c r="I151" s="591" t="str">
        <f t="shared" si="417"/>
        <v/>
      </c>
      <c r="J151" s="591" t="str">
        <f t="shared" si="417"/>
        <v/>
      </c>
      <c r="K151" s="591" t="str">
        <f t="shared" si="417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18">IF(T150="","",T148*T149*T150)</f>
        <v/>
      </c>
      <c r="U151" s="591" t="str">
        <f t="shared" si="418"/>
        <v/>
      </c>
      <c r="V151" s="591" t="str">
        <f t="shared" si="418"/>
        <v/>
      </c>
      <c r="W151" s="591" t="str">
        <f t="shared" si="418"/>
        <v/>
      </c>
      <c r="X151" s="591" t="str">
        <f t="shared" si="418"/>
        <v/>
      </c>
      <c r="Y151" s="591" t="str">
        <f t="shared" si="418"/>
        <v/>
      </c>
      <c r="Z151" s="591" t="str">
        <f t="shared" si="418"/>
        <v/>
      </c>
      <c r="AA151" s="591" t="str">
        <f t="shared" si="418"/>
        <v/>
      </c>
      <c r="AB151" s="591" t="str">
        <f t="shared" si="418"/>
        <v/>
      </c>
      <c r="AC151" s="591" t="str">
        <f t="shared" si="418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19">IF(AL150="","",AL148*AL149*AL150)</f>
        <v/>
      </c>
      <c r="AM151" s="591" t="str">
        <f t="shared" si="419"/>
        <v/>
      </c>
      <c r="AN151" s="591" t="str">
        <f t="shared" si="419"/>
        <v/>
      </c>
      <c r="AO151" s="591" t="str">
        <f t="shared" si="419"/>
        <v/>
      </c>
      <c r="AP151" s="591" t="str">
        <f t="shared" si="419"/>
        <v/>
      </c>
      <c r="AQ151" s="591" t="str">
        <f t="shared" si="419"/>
        <v/>
      </c>
      <c r="AR151" s="591" t="str">
        <f t="shared" si="419"/>
        <v/>
      </c>
      <c r="AS151" s="591" t="str">
        <f t="shared" si="419"/>
        <v/>
      </c>
      <c r="AT151" s="591" t="str">
        <f t="shared" si="419"/>
        <v/>
      </c>
      <c r="AU151" s="591" t="str">
        <f t="shared" si="419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0">IF(BD150="","",BD148*BD149*BD150)</f>
        <v/>
      </c>
      <c r="BE151" s="1194" t="str">
        <f t="shared" si="420"/>
        <v/>
      </c>
      <c r="BF151" s="1194" t="str">
        <f t="shared" si="420"/>
        <v/>
      </c>
      <c r="BG151" s="1194" t="str">
        <f t="shared" si="420"/>
        <v/>
      </c>
      <c r="BH151" s="1194" t="str">
        <f t="shared" si="420"/>
        <v/>
      </c>
      <c r="BI151" s="1194" t="str">
        <f t="shared" si="420"/>
        <v/>
      </c>
      <c r="BJ151" s="1194" t="str">
        <f t="shared" si="420"/>
        <v/>
      </c>
      <c r="BK151" s="1194" t="str">
        <f t="shared" si="420"/>
        <v/>
      </c>
      <c r="BL151" s="1194" t="str">
        <f t="shared" si="420"/>
        <v/>
      </c>
      <c r="BM151" s="1194" t="str">
        <f t="shared" si="420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67"/>
        <v/>
      </c>
      <c r="CA151" s="582" t="str">
        <f t="shared" si="268"/>
        <v/>
      </c>
      <c r="CB151" s="582" t="str">
        <f t="shared" si="269"/>
        <v/>
      </c>
      <c r="CC151" s="582" t="str">
        <f t="shared" si="270"/>
        <v/>
      </c>
      <c r="CD151" s="1008" t="str">
        <f t="shared" si="386"/>
        <v/>
      </c>
      <c r="CE151" s="1010" t="str">
        <f t="shared" si="387"/>
        <v/>
      </c>
      <c r="CF151" s="1010" t="str">
        <f t="shared" si="388"/>
        <v/>
      </c>
      <c r="CG151" s="1010" t="str">
        <f t="shared" si="389"/>
        <v/>
      </c>
      <c r="CH151" s="1011" t="str">
        <f t="shared" si="390"/>
        <v/>
      </c>
      <c r="CI151" s="1011" t="str">
        <f t="shared" si="391"/>
        <v/>
      </c>
      <c r="CJ151" s="1010" t="str">
        <f t="shared" si="392"/>
        <v/>
      </c>
      <c r="CK151" s="1010" t="str">
        <f t="shared" si="393"/>
        <v/>
      </c>
      <c r="CL151" s="1010" t="str">
        <f t="shared" si="394"/>
        <v/>
      </c>
      <c r="CM151" s="1008" t="str">
        <f t="shared" si="395"/>
        <v/>
      </c>
      <c r="CN151" s="533" t="str">
        <f t="shared" si="396"/>
        <v/>
      </c>
      <c r="CO151" s="534" t="str">
        <f t="shared" si="397"/>
        <v/>
      </c>
      <c r="CP151" s="535" t="str">
        <f t="shared" si="398"/>
        <v/>
      </c>
      <c r="CQ151" s="535" t="str">
        <f t="shared" si="399"/>
        <v/>
      </c>
      <c r="CR151" s="535" t="str">
        <f t="shared" si="400"/>
        <v/>
      </c>
      <c r="CS151" s="535" t="str">
        <f t="shared" si="401"/>
        <v/>
      </c>
      <c r="CT151" s="535" t="str">
        <f t="shared" si="402"/>
        <v/>
      </c>
      <c r="CU151" s="536" t="str">
        <f t="shared" si="403"/>
        <v/>
      </c>
      <c r="CV151" s="536" t="str">
        <f t="shared" si="404"/>
        <v/>
      </c>
      <c r="CW151" s="536" t="str">
        <f t="shared" si="405"/>
        <v/>
      </c>
      <c r="CX151" s="535" t="str">
        <f t="shared" si="406"/>
        <v/>
      </c>
      <c r="CY151" s="535" t="str">
        <f t="shared" si="407"/>
        <v/>
      </c>
      <c r="CZ151" s="535" t="str">
        <f t="shared" si="408"/>
        <v/>
      </c>
      <c r="DA151" s="535" t="str">
        <f t="shared" si="409"/>
        <v/>
      </c>
      <c r="DB151" s="535" t="str">
        <f t="shared" si="410"/>
        <v/>
      </c>
      <c r="DC151" s="534" t="str">
        <f t="shared" si="411"/>
        <v/>
      </c>
      <c r="DD151" s="533" t="str">
        <f t="shared" si="412"/>
        <v/>
      </c>
      <c r="DE151" s="635">
        <f t="shared" si="413"/>
        <v>0</v>
      </c>
      <c r="DF151" s="95">
        <f t="shared" si="414"/>
        <v>0</v>
      </c>
      <c r="DG151" s="95">
        <f t="shared" si="415"/>
        <v>0</v>
      </c>
      <c r="DH151" s="95">
        <f t="shared" si="416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67"/>
        <v/>
      </c>
      <c r="CA152" s="582" t="str">
        <f t="shared" si="268"/>
        <v/>
      </c>
      <c r="CB152" s="582" t="str">
        <f t="shared" si="269"/>
        <v/>
      </c>
      <c r="CC152" s="582" t="str">
        <f t="shared" si="270"/>
        <v/>
      </c>
      <c r="CD152" s="1008" t="str">
        <f t="shared" si="386"/>
        <v/>
      </c>
      <c r="CE152" s="1010" t="str">
        <f t="shared" si="387"/>
        <v/>
      </c>
      <c r="CF152" s="1010" t="str">
        <f t="shared" si="388"/>
        <v/>
      </c>
      <c r="CG152" s="1010" t="str">
        <f t="shared" si="389"/>
        <v/>
      </c>
      <c r="CH152" s="1011" t="str">
        <f t="shared" si="390"/>
        <v/>
      </c>
      <c r="CI152" s="1011" t="str">
        <f t="shared" si="391"/>
        <v/>
      </c>
      <c r="CJ152" s="1010" t="str">
        <f t="shared" si="392"/>
        <v/>
      </c>
      <c r="CK152" s="1010" t="str">
        <f t="shared" si="393"/>
        <v/>
      </c>
      <c r="CL152" s="1010" t="str">
        <f t="shared" si="394"/>
        <v/>
      </c>
      <c r="CM152" s="1008" t="str">
        <f t="shared" si="395"/>
        <v/>
      </c>
      <c r="CN152" s="533" t="str">
        <f t="shared" si="396"/>
        <v/>
      </c>
      <c r="CO152" s="534" t="str">
        <f t="shared" si="397"/>
        <v/>
      </c>
      <c r="CP152" s="535" t="str">
        <f t="shared" si="398"/>
        <v/>
      </c>
      <c r="CQ152" s="535" t="str">
        <f t="shared" si="399"/>
        <v/>
      </c>
      <c r="CR152" s="535" t="str">
        <f t="shared" si="400"/>
        <v/>
      </c>
      <c r="CS152" s="535" t="str">
        <f t="shared" si="401"/>
        <v/>
      </c>
      <c r="CT152" s="535" t="str">
        <f t="shared" si="402"/>
        <v/>
      </c>
      <c r="CU152" s="536" t="str">
        <f t="shared" si="403"/>
        <v/>
      </c>
      <c r="CV152" s="536" t="str">
        <f t="shared" si="404"/>
        <v/>
      </c>
      <c r="CW152" s="536" t="str">
        <f t="shared" si="405"/>
        <v/>
      </c>
      <c r="CX152" s="535" t="str">
        <f t="shared" si="406"/>
        <v/>
      </c>
      <c r="CY152" s="535" t="str">
        <f t="shared" si="407"/>
        <v/>
      </c>
      <c r="CZ152" s="535" t="str">
        <f t="shared" si="408"/>
        <v/>
      </c>
      <c r="DA152" s="535" t="str">
        <f t="shared" si="409"/>
        <v/>
      </c>
      <c r="DB152" s="535" t="str">
        <f t="shared" si="410"/>
        <v/>
      </c>
      <c r="DC152" s="534" t="str">
        <f t="shared" si="411"/>
        <v/>
      </c>
      <c r="DD152" s="533" t="str">
        <f t="shared" si="412"/>
        <v/>
      </c>
      <c r="DE152" s="635">
        <f t="shared" si="413"/>
        <v>0</v>
      </c>
      <c r="DF152" s="95">
        <f t="shared" si="414"/>
        <v>0</v>
      </c>
      <c r="DG152" s="95">
        <f t="shared" si="415"/>
        <v>0</v>
      </c>
      <c r="DH152" s="95">
        <f t="shared" si="416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67"/>
        <v/>
      </c>
      <c r="CA153" s="582" t="str">
        <f t="shared" si="268"/>
        <v/>
      </c>
      <c r="CB153" s="582" t="str">
        <f t="shared" si="269"/>
        <v/>
      </c>
      <c r="CC153" s="582" t="str">
        <f t="shared" si="270"/>
        <v/>
      </c>
      <c r="CD153" s="1008" t="str">
        <f t="shared" si="386"/>
        <v/>
      </c>
      <c r="CE153" s="1010" t="str">
        <f t="shared" si="387"/>
        <v/>
      </c>
      <c r="CF153" s="1010" t="str">
        <f t="shared" si="388"/>
        <v/>
      </c>
      <c r="CG153" s="1010" t="str">
        <f t="shared" si="389"/>
        <v/>
      </c>
      <c r="CH153" s="1011" t="str">
        <f t="shared" si="390"/>
        <v/>
      </c>
      <c r="CI153" s="1011" t="str">
        <f t="shared" si="391"/>
        <v/>
      </c>
      <c r="CJ153" s="1010" t="str">
        <f t="shared" si="392"/>
        <v/>
      </c>
      <c r="CK153" s="1010" t="str">
        <f t="shared" si="393"/>
        <v/>
      </c>
      <c r="CL153" s="1010" t="str">
        <f t="shared" si="394"/>
        <v/>
      </c>
      <c r="CM153" s="1008" t="str">
        <f t="shared" si="395"/>
        <v/>
      </c>
      <c r="CN153" s="533" t="str">
        <f t="shared" si="396"/>
        <v/>
      </c>
      <c r="CO153" s="534" t="str">
        <f t="shared" si="397"/>
        <v/>
      </c>
      <c r="CP153" s="535" t="str">
        <f t="shared" si="398"/>
        <v/>
      </c>
      <c r="CQ153" s="535" t="str">
        <f t="shared" si="399"/>
        <v/>
      </c>
      <c r="CR153" s="535" t="str">
        <f t="shared" si="400"/>
        <v/>
      </c>
      <c r="CS153" s="535" t="str">
        <f t="shared" si="401"/>
        <v/>
      </c>
      <c r="CT153" s="535" t="str">
        <f t="shared" si="402"/>
        <v/>
      </c>
      <c r="CU153" s="536" t="str">
        <f t="shared" si="403"/>
        <v/>
      </c>
      <c r="CV153" s="536" t="str">
        <f t="shared" si="404"/>
        <v/>
      </c>
      <c r="CW153" s="536" t="str">
        <f t="shared" si="405"/>
        <v/>
      </c>
      <c r="CX153" s="535" t="str">
        <f t="shared" si="406"/>
        <v/>
      </c>
      <c r="CY153" s="535" t="str">
        <f t="shared" si="407"/>
        <v/>
      </c>
      <c r="CZ153" s="535" t="str">
        <f t="shared" si="408"/>
        <v/>
      </c>
      <c r="DA153" s="535" t="str">
        <f t="shared" si="409"/>
        <v/>
      </c>
      <c r="DB153" s="535" t="str">
        <f t="shared" si="410"/>
        <v/>
      </c>
      <c r="DC153" s="534" t="str">
        <f t="shared" si="411"/>
        <v/>
      </c>
      <c r="DD153" s="533" t="str">
        <f t="shared" si="412"/>
        <v/>
      </c>
      <c r="DE153" s="635">
        <f t="shared" si="413"/>
        <v>0</v>
      </c>
      <c r="DF153" s="95">
        <f t="shared" si="414"/>
        <v>0</v>
      </c>
      <c r="DG153" s="95">
        <f t="shared" si="415"/>
        <v>0</v>
      </c>
      <c r="DH153" s="95">
        <f t="shared" si="416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1">IF(B152="","",B152*B153)</f>
        <v/>
      </c>
      <c r="C154" s="592" t="str">
        <f t="shared" si="421"/>
        <v/>
      </c>
      <c r="D154" s="592" t="str">
        <f t="shared" si="421"/>
        <v/>
      </c>
      <c r="E154" s="592" t="str">
        <f t="shared" si="421"/>
        <v/>
      </c>
      <c r="F154" s="592" t="str">
        <f t="shared" si="421"/>
        <v/>
      </c>
      <c r="G154" s="592" t="str">
        <f t="shared" si="421"/>
        <v/>
      </c>
      <c r="H154" s="592" t="str">
        <f t="shared" si="421"/>
        <v/>
      </c>
      <c r="I154" s="592" t="str">
        <f t="shared" si="421"/>
        <v/>
      </c>
      <c r="J154" s="592" t="str">
        <f t="shared" si="421"/>
        <v/>
      </c>
      <c r="K154" s="592" t="str">
        <f t="shared" si="421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2">IF(T152="","",T152*T153)</f>
        <v/>
      </c>
      <c r="U154" s="592" t="str">
        <f t="shared" si="422"/>
        <v/>
      </c>
      <c r="V154" s="592" t="str">
        <f t="shared" si="422"/>
        <v/>
      </c>
      <c r="W154" s="592" t="str">
        <f t="shared" si="422"/>
        <v/>
      </c>
      <c r="X154" s="592" t="str">
        <f t="shared" si="422"/>
        <v/>
      </c>
      <c r="Y154" s="592" t="str">
        <f t="shared" si="422"/>
        <v/>
      </c>
      <c r="Z154" s="592" t="str">
        <f t="shared" si="422"/>
        <v/>
      </c>
      <c r="AA154" s="592" t="str">
        <f t="shared" si="422"/>
        <v/>
      </c>
      <c r="AB154" s="592" t="str">
        <f t="shared" si="422"/>
        <v/>
      </c>
      <c r="AC154" s="592" t="str">
        <f t="shared" si="422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3">IF(AL152="","",AL152*AL153)</f>
        <v/>
      </c>
      <c r="AM154" s="592" t="str">
        <f t="shared" si="423"/>
        <v/>
      </c>
      <c r="AN154" s="592" t="str">
        <f t="shared" si="423"/>
        <v/>
      </c>
      <c r="AO154" s="592" t="str">
        <f t="shared" si="423"/>
        <v/>
      </c>
      <c r="AP154" s="592" t="str">
        <f t="shared" si="423"/>
        <v/>
      </c>
      <c r="AQ154" s="592" t="str">
        <f t="shared" si="423"/>
        <v/>
      </c>
      <c r="AR154" s="592" t="str">
        <f t="shared" si="423"/>
        <v/>
      </c>
      <c r="AS154" s="592" t="str">
        <f t="shared" si="423"/>
        <v/>
      </c>
      <c r="AT154" s="592" t="str">
        <f t="shared" si="423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24">IF(BD152="","",BD152*BD153)</f>
        <v/>
      </c>
      <c r="BE154" s="1195" t="str">
        <f t="shared" si="424"/>
        <v/>
      </c>
      <c r="BF154" s="1195" t="str">
        <f t="shared" si="424"/>
        <v/>
      </c>
      <c r="BG154" s="1195" t="str">
        <f t="shared" si="424"/>
        <v/>
      </c>
      <c r="BH154" s="1195" t="str">
        <f t="shared" si="424"/>
        <v/>
      </c>
      <c r="BI154" s="1195" t="str">
        <f t="shared" si="424"/>
        <v/>
      </c>
      <c r="BJ154" s="1195" t="str">
        <f t="shared" si="424"/>
        <v/>
      </c>
      <c r="BK154" s="1195" t="str">
        <f t="shared" si="424"/>
        <v/>
      </c>
      <c r="BL154" s="1195" t="str">
        <f t="shared" si="424"/>
        <v/>
      </c>
      <c r="BM154" s="1195" t="str">
        <f t="shared" si="424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67"/>
        <v/>
      </c>
      <c r="CA154" s="582" t="str">
        <f t="shared" si="268"/>
        <v/>
      </c>
      <c r="CB154" s="582" t="str">
        <f t="shared" si="269"/>
        <v/>
      </c>
      <c r="CC154" s="582" t="str">
        <f t="shared" si="270"/>
        <v/>
      </c>
      <c r="CD154" s="1008" t="str">
        <f t="shared" si="386"/>
        <v/>
      </c>
      <c r="CE154" s="1010" t="str">
        <f t="shared" si="387"/>
        <v/>
      </c>
      <c r="CF154" s="1010" t="str">
        <f t="shared" si="388"/>
        <v/>
      </c>
      <c r="CG154" s="1010" t="str">
        <f t="shared" si="389"/>
        <v/>
      </c>
      <c r="CH154" s="1011" t="str">
        <f t="shared" si="390"/>
        <v/>
      </c>
      <c r="CI154" s="1011" t="str">
        <f t="shared" si="391"/>
        <v/>
      </c>
      <c r="CJ154" s="1010" t="str">
        <f t="shared" si="392"/>
        <v/>
      </c>
      <c r="CK154" s="1010" t="str">
        <f t="shared" si="393"/>
        <v/>
      </c>
      <c r="CL154" s="1010" t="str">
        <f t="shared" si="394"/>
        <v/>
      </c>
      <c r="CM154" s="1008" t="str">
        <f t="shared" si="395"/>
        <v/>
      </c>
      <c r="CN154" s="533" t="str">
        <f t="shared" si="396"/>
        <v/>
      </c>
      <c r="CO154" s="534" t="str">
        <f t="shared" si="397"/>
        <v/>
      </c>
      <c r="CP154" s="535" t="str">
        <f t="shared" si="398"/>
        <v/>
      </c>
      <c r="CQ154" s="535" t="str">
        <f t="shared" si="399"/>
        <v/>
      </c>
      <c r="CR154" s="535" t="str">
        <f t="shared" si="400"/>
        <v/>
      </c>
      <c r="CS154" s="535" t="str">
        <f t="shared" si="401"/>
        <v/>
      </c>
      <c r="CT154" s="535" t="str">
        <f t="shared" si="402"/>
        <v/>
      </c>
      <c r="CU154" s="536" t="str">
        <f t="shared" si="403"/>
        <v/>
      </c>
      <c r="CV154" s="536" t="str">
        <f t="shared" si="404"/>
        <v/>
      </c>
      <c r="CW154" s="536" t="str">
        <f t="shared" si="405"/>
        <v/>
      </c>
      <c r="CX154" s="535" t="str">
        <f t="shared" si="406"/>
        <v/>
      </c>
      <c r="CY154" s="535" t="str">
        <f t="shared" si="407"/>
        <v/>
      </c>
      <c r="CZ154" s="535" t="str">
        <f t="shared" si="408"/>
        <v/>
      </c>
      <c r="DA154" s="535" t="str">
        <f t="shared" si="409"/>
        <v/>
      </c>
      <c r="DB154" s="535" t="str">
        <f t="shared" si="410"/>
        <v/>
      </c>
      <c r="DC154" s="534" t="str">
        <f t="shared" si="411"/>
        <v/>
      </c>
      <c r="DD154" s="533" t="str">
        <f t="shared" si="412"/>
        <v/>
      </c>
      <c r="DE154" s="635">
        <f t="shared" si="413"/>
        <v>0</v>
      </c>
      <c r="DF154" s="95">
        <f t="shared" si="414"/>
        <v>0</v>
      </c>
      <c r="DG154" s="95">
        <f t="shared" si="415"/>
        <v>0</v>
      </c>
      <c r="DH154" s="95">
        <f t="shared" si="416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67"/>
        <v>1</v>
      </c>
      <c r="CA155" s="582">
        <f t="shared" si="268"/>
        <v>1</v>
      </c>
      <c r="CB155" s="582">
        <f t="shared" si="269"/>
        <v>1</v>
      </c>
      <c r="CC155" s="582">
        <f t="shared" si="270"/>
        <v>1</v>
      </c>
      <c r="CD155" s="1008">
        <f t="shared" si="386"/>
        <v>1</v>
      </c>
      <c r="CE155" s="1010">
        <f t="shared" si="387"/>
        <v>1</v>
      </c>
      <c r="CF155" s="1010">
        <f t="shared" si="388"/>
        <v>1</v>
      </c>
      <c r="CG155" s="1010">
        <f t="shared" si="389"/>
        <v>1</v>
      </c>
      <c r="CH155" s="1011">
        <f t="shared" si="390"/>
        <v>1</v>
      </c>
      <c r="CI155" s="1011">
        <f t="shared" si="391"/>
        <v>1</v>
      </c>
      <c r="CJ155" s="1010">
        <f t="shared" si="392"/>
        <v>1</v>
      </c>
      <c r="CK155" s="1010">
        <f t="shared" si="393"/>
        <v>1</v>
      </c>
      <c r="CL155" s="1010">
        <f t="shared" si="394"/>
        <v>1</v>
      </c>
      <c r="CM155" s="1008">
        <f t="shared" si="395"/>
        <v>1</v>
      </c>
      <c r="CN155" s="533" t="str">
        <f t="shared" si="396"/>
        <v/>
      </c>
      <c r="CO155" s="534" t="str">
        <f t="shared" si="397"/>
        <v/>
      </c>
      <c r="CP155" s="535" t="str">
        <f t="shared" si="398"/>
        <v/>
      </c>
      <c r="CQ155" s="535" t="str">
        <f t="shared" si="399"/>
        <v/>
      </c>
      <c r="CR155" s="535">
        <f t="shared" si="400"/>
        <v>1</v>
      </c>
      <c r="CS155" s="535">
        <f t="shared" si="401"/>
        <v>1</v>
      </c>
      <c r="CT155" s="535">
        <f t="shared" si="402"/>
        <v>1</v>
      </c>
      <c r="CU155" s="536">
        <f t="shared" si="403"/>
        <v>1</v>
      </c>
      <c r="CV155" s="536">
        <f t="shared" si="404"/>
        <v>1</v>
      </c>
      <c r="CW155" s="536">
        <f t="shared" si="405"/>
        <v>1</v>
      </c>
      <c r="CX155" s="535">
        <f t="shared" si="406"/>
        <v>1</v>
      </c>
      <c r="CY155" s="535">
        <f t="shared" si="407"/>
        <v>1</v>
      </c>
      <c r="CZ155" s="535">
        <f t="shared" si="408"/>
        <v>1</v>
      </c>
      <c r="DA155" s="535">
        <f t="shared" si="409"/>
        <v>1</v>
      </c>
      <c r="DB155" s="535" t="str">
        <f t="shared" si="410"/>
        <v/>
      </c>
      <c r="DC155" s="534" t="str">
        <f t="shared" si="411"/>
        <v/>
      </c>
      <c r="DD155" s="533" t="str">
        <f t="shared" si="412"/>
        <v/>
      </c>
      <c r="DE155" s="635">
        <f t="shared" si="413"/>
        <v>10</v>
      </c>
      <c r="DF155" s="95">
        <f t="shared" si="414"/>
        <v>10</v>
      </c>
      <c r="DG155" s="95">
        <f t="shared" si="415"/>
        <v>10</v>
      </c>
      <c r="DH155" s="95">
        <f t="shared" si="416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67"/>
        <v/>
      </c>
      <c r="CA156" s="582" t="str">
        <f t="shared" si="268"/>
        <v/>
      </c>
      <c r="CB156" s="582" t="str">
        <f t="shared" si="269"/>
        <v/>
      </c>
      <c r="CC156" s="582" t="str">
        <f t="shared" si="270"/>
        <v/>
      </c>
      <c r="CD156" s="1008" t="str">
        <f t="shared" si="386"/>
        <v/>
      </c>
      <c r="CE156" s="1010" t="str">
        <f t="shared" si="387"/>
        <v/>
      </c>
      <c r="CF156" s="1010" t="str">
        <f t="shared" si="388"/>
        <v/>
      </c>
      <c r="CG156" s="1010" t="str">
        <f t="shared" si="389"/>
        <v/>
      </c>
      <c r="CH156" s="1011" t="str">
        <f t="shared" si="390"/>
        <v/>
      </c>
      <c r="CI156" s="1011" t="str">
        <f t="shared" si="391"/>
        <v/>
      </c>
      <c r="CJ156" s="1010" t="str">
        <f t="shared" si="392"/>
        <v/>
      </c>
      <c r="CK156" s="1010" t="str">
        <f t="shared" si="393"/>
        <v/>
      </c>
      <c r="CL156" s="1010" t="str">
        <f t="shared" si="394"/>
        <v/>
      </c>
      <c r="CM156" s="1008" t="str">
        <f t="shared" si="395"/>
        <v/>
      </c>
      <c r="CN156" s="533" t="str">
        <f t="shared" si="396"/>
        <v/>
      </c>
      <c r="CO156" s="534" t="str">
        <f t="shared" si="397"/>
        <v/>
      </c>
      <c r="CP156" s="535" t="str">
        <f t="shared" si="398"/>
        <v/>
      </c>
      <c r="CQ156" s="535" t="str">
        <f t="shared" si="399"/>
        <v/>
      </c>
      <c r="CR156" s="535" t="str">
        <f t="shared" si="400"/>
        <v/>
      </c>
      <c r="CS156" s="535" t="str">
        <f t="shared" si="401"/>
        <v/>
      </c>
      <c r="CT156" s="535" t="str">
        <f t="shared" si="402"/>
        <v/>
      </c>
      <c r="CU156" s="536" t="str">
        <f t="shared" si="403"/>
        <v/>
      </c>
      <c r="CV156" s="536" t="str">
        <f t="shared" si="404"/>
        <v/>
      </c>
      <c r="CW156" s="536" t="str">
        <f t="shared" si="405"/>
        <v/>
      </c>
      <c r="CX156" s="535" t="str">
        <f t="shared" si="406"/>
        <v/>
      </c>
      <c r="CY156" s="535" t="str">
        <f t="shared" si="407"/>
        <v/>
      </c>
      <c r="CZ156" s="535" t="str">
        <f t="shared" si="408"/>
        <v/>
      </c>
      <c r="DA156" s="535" t="str">
        <f t="shared" si="409"/>
        <v/>
      </c>
      <c r="DB156" s="535" t="str">
        <f t="shared" si="410"/>
        <v/>
      </c>
      <c r="DC156" s="534" t="str">
        <f t="shared" si="411"/>
        <v/>
      </c>
      <c r="DD156" s="533" t="str">
        <f t="shared" si="412"/>
        <v/>
      </c>
      <c r="DE156" s="635">
        <f t="shared" si="413"/>
        <v>0</v>
      </c>
      <c r="DF156" s="95">
        <f t="shared" si="414"/>
        <v>0</v>
      </c>
      <c r="DG156" s="95">
        <f t="shared" si="415"/>
        <v>0</v>
      </c>
      <c r="DH156" s="95">
        <f t="shared" si="416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67"/>
        <v/>
      </c>
      <c r="CA157" s="582" t="str">
        <f t="shared" si="268"/>
        <v/>
      </c>
      <c r="CB157" s="582" t="str">
        <f t="shared" si="269"/>
        <v/>
      </c>
      <c r="CC157" s="582" t="str">
        <f t="shared" si="270"/>
        <v/>
      </c>
      <c r="CD157" s="1008" t="str">
        <f t="shared" si="386"/>
        <v/>
      </c>
      <c r="CE157" s="1010" t="str">
        <f t="shared" si="387"/>
        <v/>
      </c>
      <c r="CF157" s="1010" t="str">
        <f t="shared" si="388"/>
        <v/>
      </c>
      <c r="CG157" s="1010" t="str">
        <f t="shared" si="389"/>
        <v/>
      </c>
      <c r="CH157" s="1011" t="str">
        <f t="shared" si="390"/>
        <v/>
      </c>
      <c r="CI157" s="1011" t="str">
        <f t="shared" si="391"/>
        <v/>
      </c>
      <c r="CJ157" s="1010" t="str">
        <f t="shared" si="392"/>
        <v/>
      </c>
      <c r="CK157" s="1010" t="str">
        <f t="shared" si="393"/>
        <v/>
      </c>
      <c r="CL157" s="1010" t="str">
        <f t="shared" si="394"/>
        <v/>
      </c>
      <c r="CM157" s="1008" t="str">
        <f t="shared" si="395"/>
        <v/>
      </c>
      <c r="CN157" s="533" t="str">
        <f t="shared" si="396"/>
        <v/>
      </c>
      <c r="CO157" s="534" t="str">
        <f t="shared" si="397"/>
        <v/>
      </c>
      <c r="CP157" s="535" t="str">
        <f t="shared" si="398"/>
        <v/>
      </c>
      <c r="CQ157" s="535" t="str">
        <f t="shared" si="399"/>
        <v/>
      </c>
      <c r="CR157" s="535" t="str">
        <f t="shared" si="400"/>
        <v/>
      </c>
      <c r="CS157" s="535" t="str">
        <f t="shared" si="401"/>
        <v/>
      </c>
      <c r="CT157" s="535" t="str">
        <f t="shared" si="402"/>
        <v/>
      </c>
      <c r="CU157" s="536" t="str">
        <f t="shared" si="403"/>
        <v/>
      </c>
      <c r="CV157" s="536" t="str">
        <f t="shared" si="404"/>
        <v/>
      </c>
      <c r="CW157" s="536" t="str">
        <f t="shared" si="405"/>
        <v/>
      </c>
      <c r="CX157" s="535" t="str">
        <f t="shared" si="406"/>
        <v/>
      </c>
      <c r="CY157" s="535" t="str">
        <f t="shared" si="407"/>
        <v/>
      </c>
      <c r="CZ157" s="535" t="str">
        <f t="shared" si="408"/>
        <v/>
      </c>
      <c r="DA157" s="535" t="str">
        <f t="shared" si="409"/>
        <v/>
      </c>
      <c r="DB157" s="535" t="str">
        <f t="shared" si="410"/>
        <v/>
      </c>
      <c r="DC157" s="534" t="str">
        <f t="shared" si="411"/>
        <v/>
      </c>
      <c r="DD157" s="533" t="str">
        <f t="shared" si="412"/>
        <v/>
      </c>
      <c r="DE157" s="635">
        <f t="shared" si="413"/>
        <v>0</v>
      </c>
      <c r="DF157" s="95">
        <f t="shared" si="414"/>
        <v>0</v>
      </c>
      <c r="DG157" s="95">
        <f t="shared" si="415"/>
        <v>0</v>
      </c>
      <c r="DH157" s="95">
        <f t="shared" si="416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25">IF(DE158&lt;3,"",(SUM(B158:R158)-MIN(B158:R158)-MAX(B158:R158))/(DE158-2))</f>
        <v>45</v>
      </c>
      <c r="CA158" s="582">
        <f t="shared" ref="CA158:CA221" si="426">IF(DF158&lt;3,"",(SUM(T158:AJ158)-MIN(T158:AJ158)-MAX(T158:AJ158))/(DF158-2))</f>
        <v>45</v>
      </c>
      <c r="CB158" s="582">
        <f t="shared" ref="CB158:CB221" si="427">IF(DG158&lt;3,"",(SUM(AL158:BB158)-MIN(AL158:BB158)-MAX(AL158:BB158))/(DG158-2))</f>
        <v>45</v>
      </c>
      <c r="CC158" s="582">
        <f t="shared" ref="CC158:CC221" si="428">IF(DH158&lt;3,"",(SUM(BD158:BT158)-MIN(BD158:BT158)-MAX(BD158:BT158))/(DH158-2))</f>
        <v>45</v>
      </c>
      <c r="CD158" s="1008">
        <f t="shared" si="386"/>
        <v>45</v>
      </c>
      <c r="CE158" s="1010">
        <f t="shared" si="387"/>
        <v>45</v>
      </c>
      <c r="CF158" s="1010">
        <f t="shared" si="388"/>
        <v>45</v>
      </c>
      <c r="CG158" s="1010">
        <f t="shared" si="389"/>
        <v>45</v>
      </c>
      <c r="CH158" s="1011">
        <f t="shared" si="390"/>
        <v>45</v>
      </c>
      <c r="CI158" s="1011">
        <f t="shared" si="391"/>
        <v>45</v>
      </c>
      <c r="CJ158" s="1010">
        <f t="shared" si="392"/>
        <v>45</v>
      </c>
      <c r="CK158" s="1010">
        <f t="shared" si="393"/>
        <v>45</v>
      </c>
      <c r="CL158" s="1010">
        <f t="shared" si="394"/>
        <v>45</v>
      </c>
      <c r="CM158" s="1008">
        <f t="shared" si="395"/>
        <v>45</v>
      </c>
      <c r="CN158" s="533" t="str">
        <f t="shared" si="396"/>
        <v/>
      </c>
      <c r="CO158" s="534" t="str">
        <f t="shared" si="397"/>
        <v/>
      </c>
      <c r="CP158" s="535" t="str">
        <f t="shared" si="398"/>
        <v/>
      </c>
      <c r="CQ158" s="535" t="str">
        <f t="shared" si="399"/>
        <v/>
      </c>
      <c r="CR158" s="535">
        <f t="shared" si="400"/>
        <v>45</v>
      </c>
      <c r="CS158" s="535">
        <f t="shared" si="401"/>
        <v>45</v>
      </c>
      <c r="CT158" s="535">
        <f t="shared" si="402"/>
        <v>45</v>
      </c>
      <c r="CU158" s="536">
        <f t="shared" si="403"/>
        <v>45</v>
      </c>
      <c r="CV158" s="536">
        <f t="shared" si="404"/>
        <v>45</v>
      </c>
      <c r="CW158" s="536">
        <f t="shared" si="405"/>
        <v>45</v>
      </c>
      <c r="CX158" s="535">
        <f t="shared" si="406"/>
        <v>45</v>
      </c>
      <c r="CY158" s="535">
        <f t="shared" si="407"/>
        <v>45</v>
      </c>
      <c r="CZ158" s="535">
        <f t="shared" si="408"/>
        <v>45</v>
      </c>
      <c r="DA158" s="535">
        <f t="shared" si="409"/>
        <v>45</v>
      </c>
      <c r="DB158" s="535" t="str">
        <f t="shared" si="410"/>
        <v/>
      </c>
      <c r="DC158" s="534" t="str">
        <f t="shared" si="411"/>
        <v/>
      </c>
      <c r="DD158" s="533" t="str">
        <f t="shared" si="412"/>
        <v/>
      </c>
      <c r="DE158" s="635">
        <f t="shared" si="413"/>
        <v>10</v>
      </c>
      <c r="DF158" s="95">
        <f t="shared" si="414"/>
        <v>10</v>
      </c>
      <c r="DG158" s="95">
        <f t="shared" si="415"/>
        <v>10</v>
      </c>
      <c r="DH158" s="95">
        <f t="shared" si="416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25"/>
        <v/>
      </c>
      <c r="CA159" s="582" t="str">
        <f t="shared" si="426"/>
        <v/>
      </c>
      <c r="CB159" s="582" t="str">
        <f t="shared" si="427"/>
        <v/>
      </c>
      <c r="CC159" s="582" t="str">
        <f t="shared" si="428"/>
        <v/>
      </c>
      <c r="CD159" s="1008" t="str">
        <f t="shared" si="386"/>
        <v/>
      </c>
      <c r="CE159" s="1010" t="str">
        <f t="shared" si="387"/>
        <v/>
      </c>
      <c r="CF159" s="1010" t="str">
        <f t="shared" si="388"/>
        <v/>
      </c>
      <c r="CG159" s="1010" t="str">
        <f t="shared" si="389"/>
        <v/>
      </c>
      <c r="CH159" s="1011" t="str">
        <f t="shared" si="390"/>
        <v/>
      </c>
      <c r="CI159" s="1011" t="str">
        <f t="shared" si="391"/>
        <v/>
      </c>
      <c r="CJ159" s="1010" t="str">
        <f t="shared" si="392"/>
        <v/>
      </c>
      <c r="CK159" s="1010" t="str">
        <f t="shared" si="393"/>
        <v/>
      </c>
      <c r="CL159" s="1010" t="str">
        <f t="shared" si="394"/>
        <v/>
      </c>
      <c r="CM159" s="1008" t="str">
        <f t="shared" si="395"/>
        <v/>
      </c>
      <c r="CN159" s="533" t="str">
        <f t="shared" si="396"/>
        <v/>
      </c>
      <c r="CO159" s="534" t="str">
        <f t="shared" si="397"/>
        <v/>
      </c>
      <c r="CP159" s="535" t="str">
        <f t="shared" si="398"/>
        <v/>
      </c>
      <c r="CQ159" s="535" t="str">
        <f t="shared" si="399"/>
        <v/>
      </c>
      <c r="CR159" s="535" t="str">
        <f t="shared" si="400"/>
        <v/>
      </c>
      <c r="CS159" s="535" t="str">
        <f t="shared" si="401"/>
        <v/>
      </c>
      <c r="CT159" s="535" t="str">
        <f t="shared" si="402"/>
        <v/>
      </c>
      <c r="CU159" s="536" t="str">
        <f t="shared" si="403"/>
        <v/>
      </c>
      <c r="CV159" s="536" t="str">
        <f t="shared" si="404"/>
        <v/>
      </c>
      <c r="CW159" s="536" t="str">
        <f t="shared" si="405"/>
        <v/>
      </c>
      <c r="CX159" s="535" t="str">
        <f t="shared" si="406"/>
        <v/>
      </c>
      <c r="CY159" s="535" t="str">
        <f t="shared" si="407"/>
        <v/>
      </c>
      <c r="CZ159" s="535" t="str">
        <f t="shared" si="408"/>
        <v/>
      </c>
      <c r="DA159" s="535" t="str">
        <f t="shared" si="409"/>
        <v/>
      </c>
      <c r="DB159" s="535" t="str">
        <f t="shared" si="410"/>
        <v/>
      </c>
      <c r="DC159" s="534" t="str">
        <f t="shared" si="411"/>
        <v/>
      </c>
      <c r="DD159" s="533" t="str">
        <f t="shared" si="412"/>
        <v/>
      </c>
      <c r="DE159" s="635">
        <f t="shared" si="413"/>
        <v>0</v>
      </c>
      <c r="DF159" s="95">
        <f t="shared" si="414"/>
        <v>0</v>
      </c>
      <c r="DG159" s="95">
        <f t="shared" si="415"/>
        <v>0</v>
      </c>
      <c r="DH159" s="95">
        <f t="shared" si="416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29">IF(B159="","",IF(B157="",B148*B158*B159,B157*B158*B159))</f>
        <v/>
      </c>
      <c r="C160" s="591" t="str">
        <f t="shared" si="429"/>
        <v/>
      </c>
      <c r="D160" s="591" t="str">
        <f t="shared" si="429"/>
        <v/>
      </c>
      <c r="E160" s="591" t="str">
        <f t="shared" si="429"/>
        <v/>
      </c>
      <c r="F160" s="591" t="str">
        <f t="shared" si="429"/>
        <v/>
      </c>
      <c r="G160" s="591" t="str">
        <f t="shared" si="429"/>
        <v/>
      </c>
      <c r="H160" s="591" t="str">
        <f t="shared" si="429"/>
        <v/>
      </c>
      <c r="I160" s="591" t="str">
        <f t="shared" si="429"/>
        <v/>
      </c>
      <c r="J160" s="591" t="str">
        <f t="shared" si="429"/>
        <v/>
      </c>
      <c r="K160" s="591" t="str">
        <f t="shared" si="429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0">IF(T159="","",IF(T157="",T148*T158*T159,T157*T158*T159))</f>
        <v/>
      </c>
      <c r="U160" s="591" t="str">
        <f t="shared" si="430"/>
        <v/>
      </c>
      <c r="V160" s="591" t="str">
        <f t="shared" si="430"/>
        <v/>
      </c>
      <c r="W160" s="591" t="str">
        <f t="shared" si="430"/>
        <v/>
      </c>
      <c r="X160" s="591" t="str">
        <f t="shared" si="430"/>
        <v/>
      </c>
      <c r="Y160" s="591" t="str">
        <f t="shared" si="430"/>
        <v/>
      </c>
      <c r="Z160" s="591" t="str">
        <f t="shared" si="430"/>
        <v/>
      </c>
      <c r="AA160" s="591" t="str">
        <f t="shared" si="430"/>
        <v/>
      </c>
      <c r="AB160" s="591" t="str">
        <f t="shared" si="430"/>
        <v/>
      </c>
      <c r="AC160" s="591" t="str">
        <f t="shared" si="430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1">IF(AL159="","",IF(AL157="",AL148*AL158*AL159,AL157*AL158*AL159))</f>
        <v/>
      </c>
      <c r="AM160" s="591" t="str">
        <f t="shared" si="431"/>
        <v/>
      </c>
      <c r="AN160" s="591" t="str">
        <f t="shared" si="431"/>
        <v/>
      </c>
      <c r="AO160" s="591" t="str">
        <f t="shared" si="431"/>
        <v/>
      </c>
      <c r="AP160" s="591" t="str">
        <f t="shared" si="431"/>
        <v/>
      </c>
      <c r="AQ160" s="591" t="str">
        <f t="shared" si="431"/>
        <v/>
      </c>
      <c r="AR160" s="591" t="str">
        <f t="shared" si="431"/>
        <v/>
      </c>
      <c r="AS160" s="591" t="str">
        <f t="shared" si="431"/>
        <v/>
      </c>
      <c r="AT160" s="591" t="str">
        <f t="shared" si="431"/>
        <v/>
      </c>
      <c r="AU160" s="591" t="str">
        <f t="shared" si="431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2">IF(BD159="","",IF(BD157="",BD148*BD158*BD159,BD157*BD158*BD159))</f>
        <v/>
      </c>
      <c r="BE160" s="1194" t="str">
        <f t="shared" si="432"/>
        <v/>
      </c>
      <c r="BF160" s="1194" t="str">
        <f t="shared" si="432"/>
        <v/>
      </c>
      <c r="BG160" s="1194" t="str">
        <f t="shared" si="432"/>
        <v/>
      </c>
      <c r="BH160" s="1194" t="str">
        <f t="shared" si="432"/>
        <v/>
      </c>
      <c r="BI160" s="1194" t="str">
        <f t="shared" si="432"/>
        <v/>
      </c>
      <c r="BJ160" s="1194" t="str">
        <f t="shared" si="432"/>
        <v/>
      </c>
      <c r="BK160" s="1194" t="str">
        <f t="shared" si="432"/>
        <v/>
      </c>
      <c r="BL160" s="1194" t="str">
        <f t="shared" si="432"/>
        <v/>
      </c>
      <c r="BM160" s="1194" t="str">
        <f t="shared" si="432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25"/>
        <v/>
      </c>
      <c r="CA160" s="582" t="str">
        <f t="shared" si="426"/>
        <v/>
      </c>
      <c r="CB160" s="582" t="str">
        <f t="shared" si="427"/>
        <v/>
      </c>
      <c r="CC160" s="582" t="str">
        <f t="shared" si="428"/>
        <v/>
      </c>
      <c r="CD160" s="1008" t="str">
        <f t="shared" si="386"/>
        <v/>
      </c>
      <c r="CE160" s="1010" t="str">
        <f t="shared" si="387"/>
        <v/>
      </c>
      <c r="CF160" s="1010" t="str">
        <f t="shared" si="388"/>
        <v/>
      </c>
      <c r="CG160" s="1010" t="str">
        <f t="shared" si="389"/>
        <v/>
      </c>
      <c r="CH160" s="1011" t="str">
        <f t="shared" si="390"/>
        <v/>
      </c>
      <c r="CI160" s="1011" t="str">
        <f t="shared" si="391"/>
        <v/>
      </c>
      <c r="CJ160" s="1010" t="str">
        <f t="shared" si="392"/>
        <v/>
      </c>
      <c r="CK160" s="1010" t="str">
        <f t="shared" si="393"/>
        <v/>
      </c>
      <c r="CL160" s="1010" t="str">
        <f t="shared" si="394"/>
        <v/>
      </c>
      <c r="CM160" s="1008" t="str">
        <f t="shared" si="395"/>
        <v/>
      </c>
      <c r="CN160" s="533" t="str">
        <f t="shared" si="396"/>
        <v/>
      </c>
      <c r="CO160" s="534" t="str">
        <f t="shared" si="397"/>
        <v/>
      </c>
      <c r="CP160" s="535" t="str">
        <f t="shared" si="398"/>
        <v/>
      </c>
      <c r="CQ160" s="535" t="str">
        <f t="shared" si="399"/>
        <v/>
      </c>
      <c r="CR160" s="535" t="str">
        <f t="shared" si="400"/>
        <v/>
      </c>
      <c r="CS160" s="535" t="str">
        <f t="shared" si="401"/>
        <v/>
      </c>
      <c r="CT160" s="535" t="str">
        <f t="shared" si="402"/>
        <v/>
      </c>
      <c r="CU160" s="536" t="str">
        <f t="shared" si="403"/>
        <v/>
      </c>
      <c r="CV160" s="536" t="str">
        <f t="shared" si="404"/>
        <v/>
      </c>
      <c r="CW160" s="536" t="str">
        <f t="shared" si="405"/>
        <v/>
      </c>
      <c r="CX160" s="535" t="str">
        <f t="shared" si="406"/>
        <v/>
      </c>
      <c r="CY160" s="535" t="str">
        <f t="shared" si="407"/>
        <v/>
      </c>
      <c r="CZ160" s="535" t="str">
        <f t="shared" si="408"/>
        <v/>
      </c>
      <c r="DA160" s="535" t="str">
        <f t="shared" si="409"/>
        <v/>
      </c>
      <c r="DB160" s="535" t="str">
        <f t="shared" si="410"/>
        <v/>
      </c>
      <c r="DC160" s="534" t="str">
        <f t="shared" si="411"/>
        <v/>
      </c>
      <c r="DD160" s="533" t="str">
        <f t="shared" si="412"/>
        <v/>
      </c>
      <c r="DE160" s="635">
        <f t="shared" si="413"/>
        <v>0</v>
      </c>
      <c r="DF160" s="95">
        <f t="shared" si="414"/>
        <v>0</v>
      </c>
      <c r="DG160" s="95">
        <f t="shared" si="415"/>
        <v>0</v>
      </c>
      <c r="DH160" s="95">
        <f t="shared" si="416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25"/>
        <v/>
      </c>
      <c r="CA161" s="582" t="str">
        <f t="shared" si="426"/>
        <v/>
      </c>
      <c r="CB161" s="582" t="str">
        <f t="shared" si="427"/>
        <v/>
      </c>
      <c r="CC161" s="582" t="str">
        <f t="shared" si="428"/>
        <v/>
      </c>
      <c r="CD161" s="1008" t="str">
        <f t="shared" si="386"/>
        <v/>
      </c>
      <c r="CE161" s="1010" t="str">
        <f t="shared" si="387"/>
        <v/>
      </c>
      <c r="CF161" s="1010" t="str">
        <f t="shared" si="388"/>
        <v/>
      </c>
      <c r="CG161" s="1010" t="str">
        <f t="shared" si="389"/>
        <v/>
      </c>
      <c r="CH161" s="1011" t="str">
        <f t="shared" si="390"/>
        <v/>
      </c>
      <c r="CI161" s="1011" t="str">
        <f t="shared" si="391"/>
        <v/>
      </c>
      <c r="CJ161" s="1010" t="str">
        <f t="shared" si="392"/>
        <v/>
      </c>
      <c r="CK161" s="1010" t="str">
        <f t="shared" si="393"/>
        <v/>
      </c>
      <c r="CL161" s="1010" t="str">
        <f t="shared" si="394"/>
        <v/>
      </c>
      <c r="CM161" s="1008" t="str">
        <f t="shared" si="395"/>
        <v/>
      </c>
      <c r="CN161" s="533" t="str">
        <f t="shared" si="396"/>
        <v/>
      </c>
      <c r="CO161" s="534" t="str">
        <f t="shared" si="397"/>
        <v/>
      </c>
      <c r="CP161" s="535" t="str">
        <f t="shared" si="398"/>
        <v/>
      </c>
      <c r="CQ161" s="535" t="str">
        <f t="shared" si="399"/>
        <v/>
      </c>
      <c r="CR161" s="535" t="str">
        <f t="shared" si="400"/>
        <v/>
      </c>
      <c r="CS161" s="535" t="str">
        <f t="shared" si="401"/>
        <v/>
      </c>
      <c r="CT161" s="535" t="str">
        <f t="shared" si="402"/>
        <v/>
      </c>
      <c r="CU161" s="536" t="str">
        <f t="shared" si="403"/>
        <v/>
      </c>
      <c r="CV161" s="536" t="str">
        <f t="shared" si="404"/>
        <v/>
      </c>
      <c r="CW161" s="536" t="str">
        <f t="shared" si="405"/>
        <v/>
      </c>
      <c r="CX161" s="535" t="str">
        <f t="shared" si="406"/>
        <v/>
      </c>
      <c r="CY161" s="535" t="str">
        <f t="shared" si="407"/>
        <v/>
      </c>
      <c r="CZ161" s="535" t="str">
        <f t="shared" si="408"/>
        <v/>
      </c>
      <c r="DA161" s="535" t="str">
        <f t="shared" si="409"/>
        <v/>
      </c>
      <c r="DB161" s="535" t="str">
        <f t="shared" si="410"/>
        <v/>
      </c>
      <c r="DC161" s="534" t="str">
        <f t="shared" si="411"/>
        <v/>
      </c>
      <c r="DD161" s="533" t="str">
        <f t="shared" si="412"/>
        <v/>
      </c>
      <c r="DE161" s="635">
        <f t="shared" si="413"/>
        <v>0</v>
      </c>
      <c r="DF161" s="95">
        <f t="shared" si="414"/>
        <v>0</v>
      </c>
      <c r="DG161" s="95">
        <f t="shared" si="415"/>
        <v>0</v>
      </c>
      <c r="DH161" s="95">
        <f t="shared" si="416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25"/>
        <v/>
      </c>
      <c r="CA162" s="582" t="str">
        <f t="shared" si="426"/>
        <v/>
      </c>
      <c r="CB162" s="582" t="str">
        <f t="shared" si="427"/>
        <v/>
      </c>
      <c r="CC162" s="582" t="str">
        <f t="shared" si="428"/>
        <v/>
      </c>
      <c r="CD162" s="1008" t="str">
        <f t="shared" si="386"/>
        <v/>
      </c>
      <c r="CE162" s="1010" t="str">
        <f t="shared" si="387"/>
        <v/>
      </c>
      <c r="CF162" s="1010" t="str">
        <f t="shared" si="388"/>
        <v/>
      </c>
      <c r="CG162" s="1010" t="str">
        <f t="shared" si="389"/>
        <v/>
      </c>
      <c r="CH162" s="1011" t="str">
        <f t="shared" si="390"/>
        <v/>
      </c>
      <c r="CI162" s="1011" t="str">
        <f t="shared" si="391"/>
        <v/>
      </c>
      <c r="CJ162" s="1010" t="str">
        <f t="shared" si="392"/>
        <v/>
      </c>
      <c r="CK162" s="1010" t="str">
        <f t="shared" si="393"/>
        <v/>
      </c>
      <c r="CL162" s="1010" t="str">
        <f t="shared" si="394"/>
        <v/>
      </c>
      <c r="CM162" s="1008" t="str">
        <f t="shared" si="395"/>
        <v/>
      </c>
      <c r="CN162" s="533" t="str">
        <f t="shared" si="396"/>
        <v/>
      </c>
      <c r="CO162" s="534" t="str">
        <f t="shared" si="397"/>
        <v/>
      </c>
      <c r="CP162" s="535" t="str">
        <f t="shared" si="398"/>
        <v/>
      </c>
      <c r="CQ162" s="535" t="str">
        <f t="shared" si="399"/>
        <v/>
      </c>
      <c r="CR162" s="535" t="str">
        <f t="shared" si="400"/>
        <v/>
      </c>
      <c r="CS162" s="535" t="str">
        <f t="shared" si="401"/>
        <v/>
      </c>
      <c r="CT162" s="535" t="str">
        <f t="shared" si="402"/>
        <v/>
      </c>
      <c r="CU162" s="536" t="str">
        <f t="shared" si="403"/>
        <v/>
      </c>
      <c r="CV162" s="536" t="str">
        <f t="shared" si="404"/>
        <v/>
      </c>
      <c r="CW162" s="536" t="str">
        <f t="shared" si="405"/>
        <v/>
      </c>
      <c r="CX162" s="535" t="str">
        <f t="shared" si="406"/>
        <v/>
      </c>
      <c r="CY162" s="535" t="str">
        <f t="shared" si="407"/>
        <v/>
      </c>
      <c r="CZ162" s="535" t="str">
        <f t="shared" si="408"/>
        <v/>
      </c>
      <c r="DA162" s="535" t="str">
        <f t="shared" si="409"/>
        <v/>
      </c>
      <c r="DB162" s="535" t="str">
        <f t="shared" si="410"/>
        <v/>
      </c>
      <c r="DC162" s="534" t="str">
        <f t="shared" si="411"/>
        <v/>
      </c>
      <c r="DD162" s="533" t="str">
        <f t="shared" si="412"/>
        <v/>
      </c>
      <c r="DE162" s="635">
        <f t="shared" si="413"/>
        <v>0</v>
      </c>
      <c r="DF162" s="95">
        <f t="shared" si="414"/>
        <v>0</v>
      </c>
      <c r="DG162" s="95">
        <f t="shared" si="415"/>
        <v>0</v>
      </c>
      <c r="DH162" s="95">
        <f t="shared" si="416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3">IF(B161="","",B161*B162)</f>
        <v/>
      </c>
      <c r="C163" s="591" t="str">
        <f t="shared" si="433"/>
        <v/>
      </c>
      <c r="D163" s="591" t="str">
        <f t="shared" si="433"/>
        <v/>
      </c>
      <c r="E163" s="591" t="str">
        <f t="shared" si="433"/>
        <v/>
      </c>
      <c r="F163" s="591" t="str">
        <f t="shared" si="433"/>
        <v/>
      </c>
      <c r="G163" s="591" t="str">
        <f t="shared" si="433"/>
        <v/>
      </c>
      <c r="H163" s="591" t="str">
        <f t="shared" si="433"/>
        <v/>
      </c>
      <c r="I163" s="591" t="str">
        <f t="shared" si="433"/>
        <v/>
      </c>
      <c r="J163" s="591" t="str">
        <f t="shared" si="433"/>
        <v/>
      </c>
      <c r="K163" s="591" t="str">
        <f t="shared" si="433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34">IF(T161="","",T161*T162)</f>
        <v/>
      </c>
      <c r="U163" s="591" t="str">
        <f t="shared" si="434"/>
        <v/>
      </c>
      <c r="V163" s="591" t="str">
        <f t="shared" si="434"/>
        <v/>
      </c>
      <c r="W163" s="591" t="str">
        <f t="shared" si="434"/>
        <v/>
      </c>
      <c r="X163" s="591" t="str">
        <f t="shared" si="434"/>
        <v/>
      </c>
      <c r="Y163" s="591" t="str">
        <f t="shared" si="434"/>
        <v/>
      </c>
      <c r="Z163" s="591" t="str">
        <f t="shared" si="434"/>
        <v/>
      </c>
      <c r="AA163" s="591" t="str">
        <f t="shared" si="434"/>
        <v/>
      </c>
      <c r="AB163" s="591" t="str">
        <f t="shared" si="434"/>
        <v/>
      </c>
      <c r="AC163" s="591" t="str">
        <f t="shared" si="434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35">IF(AL161="","",AL161*AL162)</f>
        <v/>
      </c>
      <c r="AM163" s="591" t="str">
        <f t="shared" si="435"/>
        <v/>
      </c>
      <c r="AN163" s="591" t="str">
        <f t="shared" si="435"/>
        <v/>
      </c>
      <c r="AO163" s="591" t="str">
        <f t="shared" si="435"/>
        <v/>
      </c>
      <c r="AP163" s="591" t="str">
        <f t="shared" si="435"/>
        <v/>
      </c>
      <c r="AQ163" s="591" t="str">
        <f t="shared" si="435"/>
        <v/>
      </c>
      <c r="AR163" s="591" t="str">
        <f t="shared" si="435"/>
        <v/>
      </c>
      <c r="AS163" s="591" t="str">
        <f t="shared" si="435"/>
        <v/>
      </c>
      <c r="AT163" s="591" t="str">
        <f t="shared" si="435"/>
        <v/>
      </c>
      <c r="AU163" s="591" t="str">
        <f t="shared" si="435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36">IF(BD161="","",BD161*BD162)</f>
        <v/>
      </c>
      <c r="BE163" s="1194" t="str">
        <f t="shared" si="436"/>
        <v/>
      </c>
      <c r="BF163" s="1194" t="str">
        <f t="shared" si="436"/>
        <v/>
      </c>
      <c r="BG163" s="1194" t="str">
        <f t="shared" si="436"/>
        <v/>
      </c>
      <c r="BH163" s="1194" t="str">
        <f t="shared" si="436"/>
        <v/>
      </c>
      <c r="BI163" s="1194" t="str">
        <f t="shared" si="436"/>
        <v/>
      </c>
      <c r="BJ163" s="1194" t="str">
        <f t="shared" si="436"/>
        <v/>
      </c>
      <c r="BK163" s="1194" t="str">
        <f t="shared" si="436"/>
        <v/>
      </c>
      <c r="BL163" s="1194" t="str">
        <f t="shared" si="436"/>
        <v/>
      </c>
      <c r="BM163" s="1194" t="str">
        <f t="shared" si="436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25"/>
        <v/>
      </c>
      <c r="CA163" s="582" t="str">
        <f t="shared" si="426"/>
        <v/>
      </c>
      <c r="CB163" s="582" t="str">
        <f t="shared" si="427"/>
        <v/>
      </c>
      <c r="CC163" s="582" t="str">
        <f t="shared" si="428"/>
        <v/>
      </c>
      <c r="CD163" s="1008" t="str">
        <f t="shared" si="386"/>
        <v/>
      </c>
      <c r="CE163" s="1010" t="str">
        <f t="shared" si="387"/>
        <v/>
      </c>
      <c r="CF163" s="1010" t="str">
        <f t="shared" si="388"/>
        <v/>
      </c>
      <c r="CG163" s="1010" t="str">
        <f t="shared" si="389"/>
        <v/>
      </c>
      <c r="CH163" s="1011" t="str">
        <f t="shared" si="390"/>
        <v/>
      </c>
      <c r="CI163" s="1011" t="str">
        <f t="shared" si="391"/>
        <v/>
      </c>
      <c r="CJ163" s="1010" t="str">
        <f t="shared" si="392"/>
        <v/>
      </c>
      <c r="CK163" s="1010" t="str">
        <f t="shared" si="393"/>
        <v/>
      </c>
      <c r="CL163" s="1010" t="str">
        <f t="shared" si="394"/>
        <v/>
      </c>
      <c r="CM163" s="1008" t="str">
        <f t="shared" si="395"/>
        <v/>
      </c>
      <c r="CN163" s="533" t="str">
        <f t="shared" si="396"/>
        <v/>
      </c>
      <c r="CO163" s="534" t="str">
        <f t="shared" si="397"/>
        <v/>
      </c>
      <c r="CP163" s="535" t="str">
        <f t="shared" si="398"/>
        <v/>
      </c>
      <c r="CQ163" s="535" t="str">
        <f t="shared" si="399"/>
        <v/>
      </c>
      <c r="CR163" s="535" t="str">
        <f t="shared" si="400"/>
        <v/>
      </c>
      <c r="CS163" s="535" t="str">
        <f t="shared" si="401"/>
        <v/>
      </c>
      <c r="CT163" s="535" t="str">
        <f t="shared" si="402"/>
        <v/>
      </c>
      <c r="CU163" s="536" t="str">
        <f t="shared" si="403"/>
        <v/>
      </c>
      <c r="CV163" s="536" t="str">
        <f t="shared" si="404"/>
        <v/>
      </c>
      <c r="CW163" s="536" t="str">
        <f t="shared" si="405"/>
        <v/>
      </c>
      <c r="CX163" s="535" t="str">
        <f t="shared" si="406"/>
        <v/>
      </c>
      <c r="CY163" s="535" t="str">
        <f t="shared" si="407"/>
        <v/>
      </c>
      <c r="CZ163" s="535" t="str">
        <f t="shared" si="408"/>
        <v/>
      </c>
      <c r="DA163" s="535" t="str">
        <f t="shared" si="409"/>
        <v/>
      </c>
      <c r="DB163" s="535" t="str">
        <f t="shared" si="410"/>
        <v/>
      </c>
      <c r="DC163" s="534" t="str">
        <f t="shared" si="411"/>
        <v/>
      </c>
      <c r="DD163" s="533" t="str">
        <f t="shared" si="412"/>
        <v/>
      </c>
      <c r="DE163" s="635">
        <f t="shared" si="413"/>
        <v>0</v>
      </c>
      <c r="DF163" s="95">
        <f t="shared" si="414"/>
        <v>0</v>
      </c>
      <c r="DG163" s="95">
        <f t="shared" si="415"/>
        <v>0</v>
      </c>
      <c r="DH163" s="95">
        <f t="shared" si="416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25"/>
        <v>1</v>
      </c>
      <c r="CA164" s="582">
        <f t="shared" si="426"/>
        <v>1</v>
      </c>
      <c r="CB164" s="582">
        <f t="shared" si="427"/>
        <v>1</v>
      </c>
      <c r="CC164" s="582">
        <f t="shared" si="428"/>
        <v>1.375</v>
      </c>
      <c r="CD164" s="1008">
        <f t="shared" si="386"/>
        <v>1</v>
      </c>
      <c r="CE164" s="1010">
        <f t="shared" si="387"/>
        <v>1</v>
      </c>
      <c r="CF164" s="1010">
        <f t="shared" si="388"/>
        <v>1</v>
      </c>
      <c r="CG164" s="1010">
        <f t="shared" si="389"/>
        <v>1</v>
      </c>
      <c r="CH164" s="1011">
        <f t="shared" si="390"/>
        <v>1</v>
      </c>
      <c r="CI164" s="1011">
        <f t="shared" si="391"/>
        <v>1</v>
      </c>
      <c r="CJ164" s="1010">
        <f t="shared" si="392"/>
        <v>1</v>
      </c>
      <c r="CK164" s="1010">
        <f t="shared" si="393"/>
        <v>1</v>
      </c>
      <c r="CL164" s="1010">
        <f t="shared" si="394"/>
        <v>1</v>
      </c>
      <c r="CM164" s="1008">
        <f t="shared" si="395"/>
        <v>1</v>
      </c>
      <c r="CN164" s="533" t="str">
        <f t="shared" si="396"/>
        <v/>
      </c>
      <c r="CO164" s="534" t="str">
        <f t="shared" si="397"/>
        <v/>
      </c>
      <c r="CP164" s="535" t="str">
        <f t="shared" si="398"/>
        <v/>
      </c>
      <c r="CQ164" s="535" t="str">
        <f t="shared" si="399"/>
        <v/>
      </c>
      <c r="CR164" s="535">
        <f t="shared" si="400"/>
        <v>1</v>
      </c>
      <c r="CS164" s="535">
        <f t="shared" si="401"/>
        <v>1</v>
      </c>
      <c r="CT164" s="535">
        <f t="shared" si="402"/>
        <v>1</v>
      </c>
      <c r="CU164" s="536">
        <f t="shared" si="403"/>
        <v>1</v>
      </c>
      <c r="CV164" s="536">
        <f t="shared" si="404"/>
        <v>1</v>
      </c>
      <c r="CW164" s="536">
        <f t="shared" si="405"/>
        <v>1</v>
      </c>
      <c r="CX164" s="535">
        <f t="shared" si="406"/>
        <v>1</v>
      </c>
      <c r="CY164" s="535">
        <f t="shared" si="407"/>
        <v>2</v>
      </c>
      <c r="CZ164" s="535">
        <f t="shared" si="408"/>
        <v>3</v>
      </c>
      <c r="DA164" s="535">
        <f t="shared" si="409"/>
        <v>4</v>
      </c>
      <c r="DB164" s="535" t="str">
        <f t="shared" si="410"/>
        <v/>
      </c>
      <c r="DC164" s="534" t="str">
        <f t="shared" si="411"/>
        <v/>
      </c>
      <c r="DD164" s="533" t="str">
        <f t="shared" si="412"/>
        <v/>
      </c>
      <c r="DE164" s="635">
        <f t="shared" si="413"/>
        <v>10</v>
      </c>
      <c r="DF164" s="95">
        <f t="shared" si="414"/>
        <v>10</v>
      </c>
      <c r="DG164" s="95">
        <f t="shared" si="415"/>
        <v>10</v>
      </c>
      <c r="DH164" s="95">
        <f t="shared" si="416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25"/>
        <v/>
      </c>
      <c r="CA165" s="582" t="str">
        <f t="shared" si="426"/>
        <v/>
      </c>
      <c r="CB165" s="582" t="str">
        <f t="shared" si="427"/>
        <v/>
      </c>
      <c r="CC165" s="582" t="str">
        <f t="shared" si="428"/>
        <v/>
      </c>
      <c r="CD165" s="1008" t="str">
        <f t="shared" si="386"/>
        <v/>
      </c>
      <c r="CE165" s="1010" t="str">
        <f t="shared" si="387"/>
        <v/>
      </c>
      <c r="CF165" s="1010" t="str">
        <f t="shared" si="388"/>
        <v/>
      </c>
      <c r="CG165" s="1010" t="str">
        <f t="shared" si="389"/>
        <v/>
      </c>
      <c r="CH165" s="1011" t="str">
        <f t="shared" si="390"/>
        <v/>
      </c>
      <c r="CI165" s="1011" t="str">
        <f t="shared" si="391"/>
        <v/>
      </c>
      <c r="CJ165" s="1010" t="str">
        <f t="shared" si="392"/>
        <v/>
      </c>
      <c r="CK165" s="1010" t="str">
        <f t="shared" si="393"/>
        <v/>
      </c>
      <c r="CL165" s="1010" t="str">
        <f t="shared" si="394"/>
        <v/>
      </c>
      <c r="CM165" s="1008" t="str">
        <f t="shared" si="395"/>
        <v/>
      </c>
      <c r="CN165" s="533" t="str">
        <f t="shared" si="396"/>
        <v/>
      </c>
      <c r="CO165" s="534" t="str">
        <f t="shared" si="397"/>
        <v/>
      </c>
      <c r="CP165" s="535" t="str">
        <f t="shared" si="398"/>
        <v/>
      </c>
      <c r="CQ165" s="535" t="str">
        <f t="shared" si="399"/>
        <v/>
      </c>
      <c r="CR165" s="535" t="str">
        <f t="shared" si="400"/>
        <v/>
      </c>
      <c r="CS165" s="535" t="str">
        <f t="shared" si="401"/>
        <v/>
      </c>
      <c r="CT165" s="535" t="str">
        <f t="shared" si="402"/>
        <v/>
      </c>
      <c r="CU165" s="536" t="str">
        <f t="shared" si="403"/>
        <v/>
      </c>
      <c r="CV165" s="536" t="str">
        <f t="shared" si="404"/>
        <v/>
      </c>
      <c r="CW165" s="536" t="str">
        <f t="shared" si="405"/>
        <v/>
      </c>
      <c r="CX165" s="535" t="str">
        <f t="shared" si="406"/>
        <v/>
      </c>
      <c r="CY165" s="535" t="str">
        <f t="shared" si="407"/>
        <v/>
      </c>
      <c r="CZ165" s="535" t="str">
        <f t="shared" si="408"/>
        <v/>
      </c>
      <c r="DA165" s="535" t="str">
        <f t="shared" si="409"/>
        <v/>
      </c>
      <c r="DB165" s="535" t="str">
        <f t="shared" si="410"/>
        <v/>
      </c>
      <c r="DC165" s="534" t="str">
        <f t="shared" si="411"/>
        <v/>
      </c>
      <c r="DD165" s="533" t="str">
        <f t="shared" si="412"/>
        <v/>
      </c>
      <c r="DE165" s="635">
        <f t="shared" si="413"/>
        <v>0</v>
      </c>
      <c r="DF165" s="95">
        <f t="shared" si="414"/>
        <v>0</v>
      </c>
      <c r="DG165" s="95">
        <f t="shared" si="415"/>
        <v>0</v>
      </c>
      <c r="DH165" s="95">
        <f t="shared" si="416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37">IF(SUM(B151,B160)&gt;0,SUM(B152,B161)/SUM(B151,B160),"")</f>
        <v/>
      </c>
      <c r="C166" s="605" t="str">
        <f t="shared" si="437"/>
        <v/>
      </c>
      <c r="D166" s="605" t="str">
        <f t="shared" si="437"/>
        <v/>
      </c>
      <c r="E166" s="605" t="str">
        <f t="shared" si="437"/>
        <v/>
      </c>
      <c r="F166" s="605" t="str">
        <f t="shared" si="437"/>
        <v/>
      </c>
      <c r="G166" s="605" t="str">
        <f t="shared" si="437"/>
        <v/>
      </c>
      <c r="H166" s="605" t="str">
        <f t="shared" si="437"/>
        <v/>
      </c>
      <c r="I166" s="605" t="str">
        <f t="shared" si="437"/>
        <v/>
      </c>
      <c r="J166" s="605" t="str">
        <f t="shared" si="437"/>
        <v/>
      </c>
      <c r="K166" s="605" t="str">
        <f t="shared" si="437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38">IF(SUM(T151,T160)&gt;0,SUM(T152,T161)/SUM(T151,T160),"")</f>
        <v/>
      </c>
      <c r="U166" s="605" t="str">
        <f t="shared" si="438"/>
        <v/>
      </c>
      <c r="V166" s="605" t="str">
        <f t="shared" si="438"/>
        <v/>
      </c>
      <c r="W166" s="605" t="str">
        <f t="shared" si="438"/>
        <v/>
      </c>
      <c r="X166" s="605" t="str">
        <f t="shared" si="438"/>
        <v/>
      </c>
      <c r="Y166" s="605" t="str">
        <f t="shared" si="438"/>
        <v/>
      </c>
      <c r="Z166" s="605" t="str">
        <f t="shared" si="438"/>
        <v/>
      </c>
      <c r="AA166" s="605" t="str">
        <f t="shared" si="438"/>
        <v/>
      </c>
      <c r="AB166" s="605" t="str">
        <f t="shared" si="438"/>
        <v/>
      </c>
      <c r="AC166" s="605" t="str">
        <f t="shared" si="438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39">IF(SUM(AL151,AL160)&gt;0,SUM(AL152,AL161)/SUM(AL151,AL160),"")</f>
        <v/>
      </c>
      <c r="AM166" s="605" t="str">
        <f t="shared" si="439"/>
        <v/>
      </c>
      <c r="AN166" s="605" t="str">
        <f t="shared" si="439"/>
        <v/>
      </c>
      <c r="AO166" s="605" t="str">
        <f t="shared" si="439"/>
        <v/>
      </c>
      <c r="AP166" s="605" t="str">
        <f t="shared" si="439"/>
        <v/>
      </c>
      <c r="AQ166" s="605" t="str">
        <f t="shared" si="439"/>
        <v/>
      </c>
      <c r="AR166" s="605" t="str">
        <f t="shared" si="439"/>
        <v/>
      </c>
      <c r="AS166" s="605" t="str">
        <f t="shared" si="439"/>
        <v/>
      </c>
      <c r="AT166" s="605" t="str">
        <f t="shared" si="439"/>
        <v/>
      </c>
      <c r="AU166" s="605" t="str">
        <f t="shared" si="439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0">IF(SUM(BD151,BD160)&gt;0,SUM(BD152,BD161)/SUM(BD151,BD160),"")</f>
        <v/>
      </c>
      <c r="BE166" s="1197" t="str">
        <f t="shared" si="440"/>
        <v/>
      </c>
      <c r="BF166" s="1197" t="str">
        <f t="shared" si="440"/>
        <v/>
      </c>
      <c r="BG166" s="1197" t="str">
        <f t="shared" si="440"/>
        <v/>
      </c>
      <c r="BH166" s="1197" t="str">
        <f t="shared" si="440"/>
        <v/>
      </c>
      <c r="BI166" s="1197" t="str">
        <f t="shared" si="440"/>
        <v/>
      </c>
      <c r="BJ166" s="1197" t="str">
        <f t="shared" si="440"/>
        <v/>
      </c>
      <c r="BK166" s="1197" t="str">
        <f t="shared" si="440"/>
        <v/>
      </c>
      <c r="BL166" s="1197" t="str">
        <f t="shared" si="440"/>
        <v/>
      </c>
      <c r="BM166" s="1197" t="str">
        <f t="shared" si="440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25"/>
        <v/>
      </c>
      <c r="CA166" s="607" t="str">
        <f t="shared" si="426"/>
        <v/>
      </c>
      <c r="CB166" s="607" t="str">
        <f t="shared" si="427"/>
        <v/>
      </c>
      <c r="CC166" s="607" t="str">
        <f t="shared" si="428"/>
        <v/>
      </c>
      <c r="CD166" s="1000" t="str">
        <f t="shared" si="386"/>
        <v/>
      </c>
      <c r="CE166" s="1002" t="str">
        <f t="shared" si="387"/>
        <v/>
      </c>
      <c r="CF166" s="1002" t="str">
        <f t="shared" si="388"/>
        <v/>
      </c>
      <c r="CG166" s="1002" t="str">
        <f t="shared" si="389"/>
        <v/>
      </c>
      <c r="CH166" s="1003" t="str">
        <f t="shared" si="390"/>
        <v/>
      </c>
      <c r="CI166" s="1003" t="str">
        <f t="shared" si="391"/>
        <v/>
      </c>
      <c r="CJ166" s="1002" t="str">
        <f t="shared" si="392"/>
        <v/>
      </c>
      <c r="CK166" s="1002" t="str">
        <f t="shared" si="393"/>
        <v/>
      </c>
      <c r="CL166" s="1002" t="str">
        <f t="shared" si="394"/>
        <v/>
      </c>
      <c r="CM166" s="1000" t="str">
        <f t="shared" si="395"/>
        <v/>
      </c>
      <c r="CN166" s="521" t="str">
        <f t="shared" si="396"/>
        <v/>
      </c>
      <c r="CO166" s="522" t="str">
        <f t="shared" si="397"/>
        <v/>
      </c>
      <c r="CP166" s="523" t="str">
        <f t="shared" si="398"/>
        <v/>
      </c>
      <c r="CQ166" s="523" t="str">
        <f t="shared" si="399"/>
        <v/>
      </c>
      <c r="CR166" s="523" t="str">
        <f t="shared" si="400"/>
        <v/>
      </c>
      <c r="CS166" s="523" t="str">
        <f t="shared" si="401"/>
        <v/>
      </c>
      <c r="CT166" s="523" t="str">
        <f t="shared" si="402"/>
        <v/>
      </c>
      <c r="CU166" s="524" t="str">
        <f t="shared" si="403"/>
        <v/>
      </c>
      <c r="CV166" s="524" t="str">
        <f t="shared" si="404"/>
        <v/>
      </c>
      <c r="CW166" s="524" t="str">
        <f t="shared" si="405"/>
        <v/>
      </c>
      <c r="CX166" s="523" t="str">
        <f t="shared" si="406"/>
        <v/>
      </c>
      <c r="CY166" s="523" t="str">
        <f t="shared" si="407"/>
        <v/>
      </c>
      <c r="CZ166" s="523" t="str">
        <f t="shared" si="408"/>
        <v/>
      </c>
      <c r="DA166" s="523" t="str">
        <f t="shared" si="409"/>
        <v/>
      </c>
      <c r="DB166" s="523" t="str">
        <f t="shared" si="410"/>
        <v/>
      </c>
      <c r="DC166" s="522" t="str">
        <f t="shared" si="411"/>
        <v/>
      </c>
      <c r="DD166" s="521" t="str">
        <f t="shared" si="412"/>
        <v/>
      </c>
      <c r="DE166" s="635">
        <f t="shared" si="413"/>
        <v>0</v>
      </c>
      <c r="DF166" s="95">
        <f t="shared" si="414"/>
        <v>0</v>
      </c>
      <c r="DG166" s="95">
        <f t="shared" si="415"/>
        <v>0</v>
      </c>
      <c r="DH166" s="95">
        <f t="shared" si="416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1">IF(SUM(B151,B160)=0,"",SUM(B151,-B152*B155,-B156*B155,B160,-B161*B164,-B165*B164)*0.049)</f>
        <v/>
      </c>
      <c r="C167" s="608" t="str">
        <f t="shared" si="441"/>
        <v/>
      </c>
      <c r="D167" s="608" t="str">
        <f t="shared" si="441"/>
        <v/>
      </c>
      <c r="E167" s="608" t="str">
        <f t="shared" si="441"/>
        <v/>
      </c>
      <c r="F167" s="608" t="str">
        <f t="shared" si="441"/>
        <v/>
      </c>
      <c r="G167" s="608" t="str">
        <f t="shared" si="441"/>
        <v/>
      </c>
      <c r="H167" s="608" t="str">
        <f t="shared" si="441"/>
        <v/>
      </c>
      <c r="I167" s="608" t="str">
        <f t="shared" si="441"/>
        <v/>
      </c>
      <c r="J167" s="608" t="str">
        <f t="shared" si="441"/>
        <v/>
      </c>
      <c r="K167" s="608" t="str">
        <f t="shared" si="441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2">IF(SUM(T151,T160)=0,"",SUM(T151,-T152*T155,-T156*T155,T160,-T161*T164,-T165*T164)*0.049)</f>
        <v/>
      </c>
      <c r="U167" s="608" t="str">
        <f t="shared" si="442"/>
        <v/>
      </c>
      <c r="V167" s="608" t="str">
        <f t="shared" si="442"/>
        <v/>
      </c>
      <c r="W167" s="608" t="str">
        <f t="shared" si="442"/>
        <v/>
      </c>
      <c r="X167" s="608" t="str">
        <f t="shared" si="442"/>
        <v/>
      </c>
      <c r="Y167" s="608" t="str">
        <f t="shared" si="442"/>
        <v/>
      </c>
      <c r="Z167" s="608" t="str">
        <f t="shared" si="442"/>
        <v/>
      </c>
      <c r="AA167" s="608" t="str">
        <f t="shared" si="442"/>
        <v/>
      </c>
      <c r="AB167" s="608" t="str">
        <f t="shared" si="442"/>
        <v/>
      </c>
      <c r="AC167" s="608" t="str">
        <f t="shared" si="442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3">IF(SUM(AL151,AL160)=0,"",SUM(AL151,-AL152*AL155,-AL156*AL155,AL160,-AL161*AL164,-AL165*AL164)*0.049)</f>
        <v/>
      </c>
      <c r="AM167" s="608" t="str">
        <f t="shared" si="443"/>
        <v/>
      </c>
      <c r="AN167" s="608" t="str">
        <f t="shared" si="443"/>
        <v/>
      </c>
      <c r="AO167" s="608" t="str">
        <f t="shared" si="443"/>
        <v/>
      </c>
      <c r="AP167" s="608" t="str">
        <f t="shared" si="443"/>
        <v/>
      </c>
      <c r="AQ167" s="608" t="str">
        <f t="shared" si="443"/>
        <v/>
      </c>
      <c r="AR167" s="608" t="str">
        <f t="shared" si="443"/>
        <v/>
      </c>
      <c r="AS167" s="608" t="str">
        <f t="shared" si="443"/>
        <v/>
      </c>
      <c r="AT167" s="608" t="str">
        <f t="shared" si="443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44">IF(SUM(BD151,BD160)=0,"",SUM(BD151,-BD152*BD155,-BD156*BD155,BD160,-BD161*BD164,-BD165*BD164)*0.049)</f>
        <v/>
      </c>
      <c r="BE167" s="1198" t="str">
        <f t="shared" si="444"/>
        <v/>
      </c>
      <c r="BF167" s="1198" t="str">
        <f t="shared" si="444"/>
        <v/>
      </c>
      <c r="BG167" s="1198" t="str">
        <f t="shared" si="444"/>
        <v/>
      </c>
      <c r="BH167" s="1198" t="str">
        <f t="shared" si="444"/>
        <v/>
      </c>
      <c r="BI167" s="1198" t="str">
        <f t="shared" si="444"/>
        <v/>
      </c>
      <c r="BJ167" s="1198" t="str">
        <f t="shared" si="444"/>
        <v/>
      </c>
      <c r="BK167" s="1198" t="str">
        <f t="shared" si="444"/>
        <v/>
      </c>
      <c r="BL167" s="1198" t="str">
        <f t="shared" si="444"/>
        <v/>
      </c>
      <c r="BM167" s="1198" t="str">
        <f t="shared" si="444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25"/>
        <v/>
      </c>
      <c r="CA167" s="582" t="str">
        <f t="shared" si="426"/>
        <v/>
      </c>
      <c r="CB167" s="582" t="str">
        <f t="shared" si="427"/>
        <v/>
      </c>
      <c r="CC167" s="582" t="str">
        <f t="shared" si="428"/>
        <v/>
      </c>
      <c r="CD167" s="1008" t="str">
        <f t="shared" si="386"/>
        <v/>
      </c>
      <c r="CE167" s="1010" t="str">
        <f t="shared" si="387"/>
        <v/>
      </c>
      <c r="CF167" s="1010" t="str">
        <f t="shared" si="388"/>
        <v/>
      </c>
      <c r="CG167" s="1010" t="str">
        <f t="shared" si="389"/>
        <v/>
      </c>
      <c r="CH167" s="1011" t="str">
        <f t="shared" si="390"/>
        <v/>
      </c>
      <c r="CI167" s="1011" t="str">
        <f t="shared" si="391"/>
        <v/>
      </c>
      <c r="CJ167" s="1010" t="str">
        <f t="shared" si="392"/>
        <v/>
      </c>
      <c r="CK167" s="1010" t="str">
        <f t="shared" si="393"/>
        <v/>
      </c>
      <c r="CL167" s="1010" t="str">
        <f t="shared" si="394"/>
        <v/>
      </c>
      <c r="CM167" s="1008" t="str">
        <f t="shared" si="395"/>
        <v/>
      </c>
      <c r="CN167" s="533" t="str">
        <f t="shared" si="396"/>
        <v/>
      </c>
      <c r="CO167" s="534" t="str">
        <f t="shared" si="397"/>
        <v/>
      </c>
      <c r="CP167" s="535" t="str">
        <f t="shared" si="398"/>
        <v/>
      </c>
      <c r="CQ167" s="535" t="str">
        <f t="shared" si="399"/>
        <v/>
      </c>
      <c r="CR167" s="535" t="str">
        <f t="shared" si="400"/>
        <v/>
      </c>
      <c r="CS167" s="535" t="str">
        <f t="shared" si="401"/>
        <v/>
      </c>
      <c r="CT167" s="535" t="str">
        <f t="shared" si="402"/>
        <v/>
      </c>
      <c r="CU167" s="536" t="str">
        <f t="shared" si="403"/>
        <v/>
      </c>
      <c r="CV167" s="536" t="str">
        <f t="shared" si="404"/>
        <v/>
      </c>
      <c r="CW167" s="536" t="str">
        <f t="shared" si="405"/>
        <v/>
      </c>
      <c r="CX167" s="535" t="str">
        <f t="shared" si="406"/>
        <v/>
      </c>
      <c r="CY167" s="535" t="str">
        <f t="shared" si="407"/>
        <v/>
      </c>
      <c r="CZ167" s="535" t="str">
        <f t="shared" si="408"/>
        <v/>
      </c>
      <c r="DA167" s="535" t="str">
        <f t="shared" si="409"/>
        <v/>
      </c>
      <c r="DB167" s="535" t="str">
        <f t="shared" si="410"/>
        <v/>
      </c>
      <c r="DC167" s="534" t="str">
        <f t="shared" si="411"/>
        <v/>
      </c>
      <c r="DD167" s="533" t="str">
        <f t="shared" si="412"/>
        <v/>
      </c>
      <c r="DE167" s="635">
        <f t="shared" si="413"/>
        <v>0</v>
      </c>
      <c r="DF167" s="95">
        <f t="shared" si="414"/>
        <v>0</v>
      </c>
      <c r="DG167" s="95">
        <f t="shared" si="415"/>
        <v>0</v>
      </c>
      <c r="DH167" s="95">
        <f t="shared" si="416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25"/>
        <v/>
      </c>
      <c r="CA168" s="582" t="str">
        <f t="shared" si="426"/>
        <v/>
      </c>
      <c r="CB168" s="582" t="str">
        <f t="shared" si="427"/>
        <v/>
      </c>
      <c r="CC168" s="582" t="str">
        <f t="shared" si="428"/>
        <v/>
      </c>
      <c r="CD168" s="1008" t="str">
        <f t="shared" si="386"/>
        <v/>
      </c>
      <c r="CE168" s="1010" t="str">
        <f t="shared" si="387"/>
        <v/>
      </c>
      <c r="CF168" s="1010" t="str">
        <f t="shared" si="388"/>
        <v/>
      </c>
      <c r="CG168" s="1010" t="str">
        <f t="shared" si="389"/>
        <v/>
      </c>
      <c r="CH168" s="1011" t="str">
        <f t="shared" si="390"/>
        <v/>
      </c>
      <c r="CI168" s="1011" t="str">
        <f t="shared" si="391"/>
        <v/>
      </c>
      <c r="CJ168" s="1010" t="str">
        <f t="shared" si="392"/>
        <v/>
      </c>
      <c r="CK168" s="1010" t="str">
        <f t="shared" si="393"/>
        <v/>
      </c>
      <c r="CL168" s="1010" t="str">
        <f t="shared" si="394"/>
        <v/>
      </c>
      <c r="CM168" s="1008" t="str">
        <f t="shared" si="395"/>
        <v/>
      </c>
      <c r="CN168" s="533" t="str">
        <f t="shared" si="396"/>
        <v/>
      </c>
      <c r="CO168" s="534" t="str">
        <f t="shared" si="397"/>
        <v/>
      </c>
      <c r="CP168" s="535" t="str">
        <f t="shared" si="398"/>
        <v/>
      </c>
      <c r="CQ168" s="535" t="str">
        <f t="shared" si="399"/>
        <v/>
      </c>
      <c r="CR168" s="535" t="str">
        <f t="shared" si="400"/>
        <v/>
      </c>
      <c r="CS168" s="535" t="str">
        <f t="shared" si="401"/>
        <v/>
      </c>
      <c r="CT168" s="535" t="str">
        <f t="shared" si="402"/>
        <v/>
      </c>
      <c r="CU168" s="536" t="str">
        <f t="shared" si="403"/>
        <v/>
      </c>
      <c r="CV168" s="536" t="str">
        <f t="shared" si="404"/>
        <v/>
      </c>
      <c r="CW168" s="536" t="str">
        <f t="shared" si="405"/>
        <v/>
      </c>
      <c r="CX168" s="535" t="str">
        <f t="shared" si="406"/>
        <v/>
      </c>
      <c r="CY168" s="535" t="str">
        <f t="shared" si="407"/>
        <v/>
      </c>
      <c r="CZ168" s="535" t="str">
        <f t="shared" si="408"/>
        <v/>
      </c>
      <c r="DA168" s="535" t="str">
        <f t="shared" si="409"/>
        <v/>
      </c>
      <c r="DB168" s="535" t="str">
        <f t="shared" si="410"/>
        <v/>
      </c>
      <c r="DC168" s="534" t="str">
        <f t="shared" si="411"/>
        <v/>
      </c>
      <c r="DD168" s="533" t="str">
        <f t="shared" si="412"/>
        <v/>
      </c>
      <c r="DE168" s="635">
        <f t="shared" si="413"/>
        <v>0</v>
      </c>
      <c r="DF168" s="95">
        <f t="shared" si="414"/>
        <v>0</v>
      </c>
      <c r="DG168" s="95">
        <f t="shared" si="415"/>
        <v>0</v>
      </c>
      <c r="DH168" s="95">
        <f t="shared" si="416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25"/>
        <v/>
      </c>
      <c r="CA169" s="582" t="str">
        <f t="shared" si="426"/>
        <v/>
      </c>
      <c r="CB169" s="582" t="str">
        <f t="shared" si="427"/>
        <v/>
      </c>
      <c r="CC169" s="582" t="str">
        <f t="shared" si="428"/>
        <v/>
      </c>
      <c r="CD169" s="1008" t="str">
        <f t="shared" si="386"/>
        <v/>
      </c>
      <c r="CE169" s="1010" t="str">
        <f t="shared" si="387"/>
        <v/>
      </c>
      <c r="CF169" s="1010" t="str">
        <f t="shared" si="388"/>
        <v/>
      </c>
      <c r="CG169" s="1010" t="str">
        <f t="shared" si="389"/>
        <v/>
      </c>
      <c r="CH169" s="1011" t="str">
        <f t="shared" si="390"/>
        <v/>
      </c>
      <c r="CI169" s="1011" t="str">
        <f t="shared" si="391"/>
        <v/>
      </c>
      <c r="CJ169" s="1010" t="str">
        <f t="shared" si="392"/>
        <v/>
      </c>
      <c r="CK169" s="1010" t="str">
        <f t="shared" si="393"/>
        <v/>
      </c>
      <c r="CL169" s="1010" t="str">
        <f t="shared" si="394"/>
        <v/>
      </c>
      <c r="CM169" s="1008" t="str">
        <f t="shared" si="395"/>
        <v/>
      </c>
      <c r="CN169" s="533" t="str">
        <f t="shared" si="396"/>
        <v/>
      </c>
      <c r="CO169" s="534" t="str">
        <f t="shared" si="397"/>
        <v/>
      </c>
      <c r="CP169" s="535" t="str">
        <f t="shared" si="398"/>
        <v/>
      </c>
      <c r="CQ169" s="535" t="str">
        <f t="shared" si="399"/>
        <v/>
      </c>
      <c r="CR169" s="535" t="str">
        <f t="shared" si="400"/>
        <v/>
      </c>
      <c r="CS169" s="535" t="str">
        <f t="shared" si="401"/>
        <v/>
      </c>
      <c r="CT169" s="535" t="str">
        <f t="shared" si="402"/>
        <v/>
      </c>
      <c r="CU169" s="536" t="str">
        <f t="shared" si="403"/>
        <v/>
      </c>
      <c r="CV169" s="536" t="str">
        <f t="shared" si="404"/>
        <v/>
      </c>
      <c r="CW169" s="536" t="str">
        <f t="shared" si="405"/>
        <v/>
      </c>
      <c r="CX169" s="535" t="str">
        <f t="shared" si="406"/>
        <v/>
      </c>
      <c r="CY169" s="535" t="str">
        <f t="shared" si="407"/>
        <v/>
      </c>
      <c r="CZ169" s="535" t="str">
        <f t="shared" si="408"/>
        <v/>
      </c>
      <c r="DA169" s="535" t="str">
        <f t="shared" si="409"/>
        <v/>
      </c>
      <c r="DB169" s="535" t="str">
        <f t="shared" si="410"/>
        <v/>
      </c>
      <c r="DC169" s="534" t="str">
        <f t="shared" si="411"/>
        <v/>
      </c>
      <c r="DD169" s="533" t="str">
        <f t="shared" si="412"/>
        <v/>
      </c>
      <c r="DE169" s="635">
        <f t="shared" si="413"/>
        <v>0</v>
      </c>
      <c r="DF169" s="95">
        <f t="shared" si="414"/>
        <v>0</v>
      </c>
      <c r="DG169" s="95">
        <f t="shared" si="415"/>
        <v>0</v>
      </c>
      <c r="DH169" s="95">
        <f t="shared" si="416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25"/>
        <v/>
      </c>
      <c r="CA170" s="582" t="str">
        <f t="shared" si="426"/>
        <v/>
      </c>
      <c r="CB170" s="582" t="str">
        <f t="shared" si="427"/>
        <v/>
      </c>
      <c r="CC170" s="582" t="str">
        <f t="shared" si="428"/>
        <v/>
      </c>
      <c r="CD170" s="1008" t="str">
        <f t="shared" si="386"/>
        <v/>
      </c>
      <c r="CE170" s="1010" t="str">
        <f t="shared" si="387"/>
        <v/>
      </c>
      <c r="CF170" s="1010" t="str">
        <f t="shared" si="388"/>
        <v/>
      </c>
      <c r="CG170" s="1010" t="str">
        <f t="shared" si="389"/>
        <v/>
      </c>
      <c r="CH170" s="1011" t="str">
        <f t="shared" si="390"/>
        <v/>
      </c>
      <c r="CI170" s="1011" t="str">
        <f t="shared" si="391"/>
        <v/>
      </c>
      <c r="CJ170" s="1010" t="str">
        <f t="shared" si="392"/>
        <v/>
      </c>
      <c r="CK170" s="1010" t="str">
        <f t="shared" si="393"/>
        <v/>
      </c>
      <c r="CL170" s="1010" t="str">
        <f t="shared" si="394"/>
        <v/>
      </c>
      <c r="CM170" s="1008" t="str">
        <f t="shared" si="395"/>
        <v/>
      </c>
      <c r="CN170" s="533" t="str">
        <f t="shared" si="396"/>
        <v/>
      </c>
      <c r="CO170" s="534" t="str">
        <f t="shared" si="397"/>
        <v/>
      </c>
      <c r="CP170" s="535" t="str">
        <f t="shared" si="398"/>
        <v/>
      </c>
      <c r="CQ170" s="535" t="str">
        <f t="shared" si="399"/>
        <v/>
      </c>
      <c r="CR170" s="535" t="str">
        <f t="shared" si="400"/>
        <v/>
      </c>
      <c r="CS170" s="535" t="str">
        <f t="shared" si="401"/>
        <v/>
      </c>
      <c r="CT170" s="535" t="str">
        <f t="shared" si="402"/>
        <v/>
      </c>
      <c r="CU170" s="536" t="str">
        <f t="shared" si="403"/>
        <v/>
      </c>
      <c r="CV170" s="536" t="str">
        <f t="shared" si="404"/>
        <v/>
      </c>
      <c r="CW170" s="536" t="str">
        <f t="shared" si="405"/>
        <v/>
      </c>
      <c r="CX170" s="535" t="str">
        <f t="shared" si="406"/>
        <v/>
      </c>
      <c r="CY170" s="535" t="str">
        <f t="shared" si="407"/>
        <v/>
      </c>
      <c r="CZ170" s="535" t="str">
        <f t="shared" si="408"/>
        <v/>
      </c>
      <c r="DA170" s="535" t="str">
        <f t="shared" si="409"/>
        <v/>
      </c>
      <c r="DB170" s="535" t="str">
        <f t="shared" si="410"/>
        <v/>
      </c>
      <c r="DC170" s="534" t="str">
        <f t="shared" si="411"/>
        <v/>
      </c>
      <c r="DD170" s="533" t="str">
        <f t="shared" si="412"/>
        <v/>
      </c>
      <c r="DE170" s="635">
        <f t="shared" si="413"/>
        <v>0</v>
      </c>
      <c r="DF170" s="95">
        <f t="shared" si="414"/>
        <v>0</v>
      </c>
      <c r="DG170" s="95">
        <f t="shared" si="415"/>
        <v>0</v>
      </c>
      <c r="DH170" s="95">
        <f t="shared" si="416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45">IF(B169="","",B169*B170)</f>
        <v/>
      </c>
      <c r="C171" s="612" t="str">
        <f t="shared" si="445"/>
        <v/>
      </c>
      <c r="D171" s="612" t="str">
        <f t="shared" si="445"/>
        <v/>
      </c>
      <c r="E171" s="612" t="str">
        <f t="shared" si="445"/>
        <v/>
      </c>
      <c r="F171" s="612" t="str">
        <f t="shared" si="445"/>
        <v/>
      </c>
      <c r="G171" s="612" t="str">
        <f t="shared" si="445"/>
        <v/>
      </c>
      <c r="H171" s="612" t="str">
        <f t="shared" si="445"/>
        <v/>
      </c>
      <c r="I171" s="612" t="str">
        <f t="shared" si="445"/>
        <v/>
      </c>
      <c r="J171" s="612" t="str">
        <f t="shared" si="445"/>
        <v/>
      </c>
      <c r="K171" s="612" t="str">
        <f t="shared" si="445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46">IF(T169="","",T169*T170)</f>
        <v/>
      </c>
      <c r="U171" s="612" t="str">
        <f t="shared" si="446"/>
        <v/>
      </c>
      <c r="V171" s="612" t="str">
        <f t="shared" si="446"/>
        <v/>
      </c>
      <c r="W171" s="612" t="str">
        <f t="shared" si="446"/>
        <v/>
      </c>
      <c r="X171" s="612" t="str">
        <f t="shared" si="446"/>
        <v/>
      </c>
      <c r="Y171" s="612" t="str">
        <f t="shared" si="446"/>
        <v/>
      </c>
      <c r="Z171" s="612" t="str">
        <f t="shared" si="446"/>
        <v/>
      </c>
      <c r="AA171" s="612" t="str">
        <f t="shared" si="446"/>
        <v/>
      </c>
      <c r="AB171" s="612" t="str">
        <f t="shared" si="446"/>
        <v/>
      </c>
      <c r="AC171" s="612" t="str">
        <f t="shared" si="446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47">IF(AL169="","",AL169*AL170)</f>
        <v/>
      </c>
      <c r="AM171" s="612" t="str">
        <f t="shared" si="447"/>
        <v/>
      </c>
      <c r="AN171" s="612" t="str">
        <f t="shared" si="447"/>
        <v/>
      </c>
      <c r="AO171" s="612" t="str">
        <f t="shared" si="447"/>
        <v/>
      </c>
      <c r="AP171" s="612" t="str">
        <f t="shared" si="447"/>
        <v/>
      </c>
      <c r="AQ171" s="612" t="str">
        <f t="shared" si="447"/>
        <v/>
      </c>
      <c r="AR171" s="612" t="str">
        <f t="shared" si="447"/>
        <v/>
      </c>
      <c r="AS171" s="612" t="str">
        <f t="shared" si="447"/>
        <v/>
      </c>
      <c r="AT171" s="612" t="str">
        <f t="shared" si="447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48">IF(BD169="","",BD169*BD170)</f>
        <v/>
      </c>
      <c r="BE171" s="1201" t="str">
        <f t="shared" si="448"/>
        <v/>
      </c>
      <c r="BF171" s="1201" t="str">
        <f t="shared" si="448"/>
        <v/>
      </c>
      <c r="BG171" s="1201" t="str">
        <f t="shared" si="448"/>
        <v/>
      </c>
      <c r="BH171" s="1201" t="str">
        <f t="shared" si="448"/>
        <v/>
      </c>
      <c r="BI171" s="1201" t="str">
        <f t="shared" si="448"/>
        <v/>
      </c>
      <c r="BJ171" s="1201" t="str">
        <f t="shared" si="448"/>
        <v/>
      </c>
      <c r="BK171" s="1201" t="str">
        <f t="shared" si="448"/>
        <v/>
      </c>
      <c r="BL171" s="1201" t="str">
        <f t="shared" si="448"/>
        <v/>
      </c>
      <c r="BM171" s="1201" t="str">
        <f t="shared" si="448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25"/>
        <v/>
      </c>
      <c r="CA171" s="582" t="str">
        <f t="shared" si="426"/>
        <v/>
      </c>
      <c r="CB171" s="582" t="str">
        <f t="shared" si="427"/>
        <v/>
      </c>
      <c r="CC171" s="582" t="str">
        <f t="shared" si="428"/>
        <v/>
      </c>
      <c r="CD171" s="1008" t="str">
        <f t="shared" si="386"/>
        <v/>
      </c>
      <c r="CE171" s="1010" t="str">
        <f t="shared" si="387"/>
        <v/>
      </c>
      <c r="CF171" s="1010" t="str">
        <f t="shared" si="388"/>
        <v/>
      </c>
      <c r="CG171" s="1010" t="str">
        <f t="shared" si="389"/>
        <v/>
      </c>
      <c r="CH171" s="1011" t="str">
        <f t="shared" si="390"/>
        <v/>
      </c>
      <c r="CI171" s="1011" t="str">
        <f t="shared" si="391"/>
        <v/>
      </c>
      <c r="CJ171" s="1010" t="str">
        <f t="shared" si="392"/>
        <v/>
      </c>
      <c r="CK171" s="1010" t="str">
        <f t="shared" si="393"/>
        <v/>
      </c>
      <c r="CL171" s="1010" t="str">
        <f t="shared" si="394"/>
        <v/>
      </c>
      <c r="CM171" s="1008" t="str">
        <f t="shared" si="395"/>
        <v/>
      </c>
      <c r="CN171" s="533" t="str">
        <f t="shared" si="396"/>
        <v/>
      </c>
      <c r="CO171" s="534" t="str">
        <f t="shared" si="397"/>
        <v/>
      </c>
      <c r="CP171" s="535" t="str">
        <f t="shared" si="398"/>
        <v/>
      </c>
      <c r="CQ171" s="535" t="str">
        <f t="shared" si="399"/>
        <v/>
      </c>
      <c r="CR171" s="535" t="str">
        <f t="shared" si="400"/>
        <v/>
      </c>
      <c r="CS171" s="535" t="str">
        <f t="shared" si="401"/>
        <v/>
      </c>
      <c r="CT171" s="535" t="str">
        <f t="shared" si="402"/>
        <v/>
      </c>
      <c r="CU171" s="536" t="str">
        <f t="shared" si="403"/>
        <v/>
      </c>
      <c r="CV171" s="536" t="str">
        <f t="shared" si="404"/>
        <v/>
      </c>
      <c r="CW171" s="536" t="str">
        <f t="shared" si="405"/>
        <v/>
      </c>
      <c r="CX171" s="535" t="str">
        <f t="shared" si="406"/>
        <v/>
      </c>
      <c r="CY171" s="535" t="str">
        <f t="shared" si="407"/>
        <v/>
      </c>
      <c r="CZ171" s="535" t="str">
        <f t="shared" si="408"/>
        <v/>
      </c>
      <c r="DA171" s="535" t="str">
        <f t="shared" si="409"/>
        <v/>
      </c>
      <c r="DB171" s="535" t="str">
        <f t="shared" si="410"/>
        <v/>
      </c>
      <c r="DC171" s="534" t="str">
        <f t="shared" si="411"/>
        <v/>
      </c>
      <c r="DD171" s="533" t="str">
        <f t="shared" si="412"/>
        <v/>
      </c>
      <c r="DE171" s="635">
        <f t="shared" si="413"/>
        <v>0</v>
      </c>
      <c r="DF171" s="95">
        <f t="shared" si="414"/>
        <v>0</v>
      </c>
      <c r="DG171" s="95">
        <f t="shared" si="415"/>
        <v>0</v>
      </c>
      <c r="DH171" s="95">
        <f t="shared" si="416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49">IF(B167="","",(SUM(B151)*2973-SUM(B152,B156)*(2973-1549*(B155=0))-SUM(B168,B169)*32930)/$G$1/365/B$46)</f>
        <v/>
      </c>
      <c r="C172" s="615" t="str">
        <f t="shared" si="449"/>
        <v/>
      </c>
      <c r="D172" s="615" t="str">
        <f t="shared" si="449"/>
        <v/>
      </c>
      <c r="E172" s="615" t="str">
        <f t="shared" si="449"/>
        <v/>
      </c>
      <c r="F172" s="615" t="str">
        <f t="shared" si="449"/>
        <v/>
      </c>
      <c r="G172" s="615" t="str">
        <f t="shared" si="449"/>
        <v/>
      </c>
      <c r="H172" s="615" t="str">
        <f t="shared" si="449"/>
        <v/>
      </c>
      <c r="I172" s="615" t="str">
        <f t="shared" si="449"/>
        <v/>
      </c>
      <c r="J172" s="615" t="str">
        <f t="shared" si="449"/>
        <v/>
      </c>
      <c r="K172" s="615" t="str">
        <f t="shared" si="449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0">IF(T167="","",(SUM(T151)*2973-SUM(T152,T156)*(2973-1549*(T155=0))-SUM(T168,T169)*32930)/$G$1/365/T$46)</f>
        <v/>
      </c>
      <c r="U172" s="615" t="str">
        <f t="shared" si="450"/>
        <v/>
      </c>
      <c r="V172" s="615" t="str">
        <f t="shared" si="450"/>
        <v/>
      </c>
      <c r="W172" s="615" t="str">
        <f t="shared" si="450"/>
        <v/>
      </c>
      <c r="X172" s="615" t="str">
        <f t="shared" si="450"/>
        <v/>
      </c>
      <c r="Y172" s="615" t="str">
        <f t="shared" si="450"/>
        <v/>
      </c>
      <c r="Z172" s="615" t="str">
        <f t="shared" si="450"/>
        <v/>
      </c>
      <c r="AA172" s="615" t="str">
        <f t="shared" si="450"/>
        <v/>
      </c>
      <c r="AB172" s="615" t="str">
        <f t="shared" si="450"/>
        <v/>
      </c>
      <c r="AC172" s="615" t="str">
        <f t="shared" si="450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1">IF(AL167="","",(SUM(AL151)*2973-SUM(AL152,AL156)*(2973-1549*(AL155=0))-SUM(AL168,AL169)*32930)/$G$1/365/AL$46)</f>
        <v/>
      </c>
      <c r="AM172" s="615" t="str">
        <f t="shared" si="451"/>
        <v/>
      </c>
      <c r="AN172" s="615" t="str">
        <f t="shared" si="451"/>
        <v/>
      </c>
      <c r="AO172" s="615" t="str">
        <f t="shared" si="451"/>
        <v/>
      </c>
      <c r="AP172" s="615" t="str">
        <f t="shared" si="451"/>
        <v/>
      </c>
      <c r="AQ172" s="615" t="str">
        <f t="shared" si="451"/>
        <v/>
      </c>
      <c r="AR172" s="615" t="str">
        <f t="shared" si="451"/>
        <v/>
      </c>
      <c r="AS172" s="615" t="str">
        <f t="shared" si="451"/>
        <v/>
      </c>
      <c r="AT172" s="615" t="str">
        <f t="shared" si="451"/>
        <v/>
      </c>
      <c r="AU172" s="615" t="str">
        <f t="shared" si="451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2">IF(BD167="","",(SUM(BD151)*2973-SUM(BD152,BD156)*(2973-1549*(BD155=0))-SUM(BD168,BD169)*32930)/$G$1/365/BD$46)</f>
        <v/>
      </c>
      <c r="BE172" s="1202" t="str">
        <f t="shared" si="452"/>
        <v/>
      </c>
      <c r="BF172" s="1202" t="str">
        <f t="shared" si="452"/>
        <v/>
      </c>
      <c r="BG172" s="1202" t="str">
        <f t="shared" si="452"/>
        <v/>
      </c>
      <c r="BH172" s="1202" t="str">
        <f t="shared" si="452"/>
        <v/>
      </c>
      <c r="BI172" s="1202" t="str">
        <f t="shared" si="452"/>
        <v/>
      </c>
      <c r="BJ172" s="1202" t="str">
        <f t="shared" si="452"/>
        <v/>
      </c>
      <c r="BK172" s="1202" t="str">
        <f t="shared" si="452"/>
        <v/>
      </c>
      <c r="BL172" s="1202" t="str">
        <f t="shared" si="452"/>
        <v/>
      </c>
      <c r="BM172" s="1202" t="str">
        <f t="shared" si="452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25"/>
        <v/>
      </c>
      <c r="CA172" s="607" t="str">
        <f t="shared" si="426"/>
        <v/>
      </c>
      <c r="CB172" s="607" t="str">
        <f t="shared" si="427"/>
        <v/>
      </c>
      <c r="CC172" s="607" t="str">
        <f t="shared" si="428"/>
        <v/>
      </c>
      <c r="CD172" s="1000" t="str">
        <f t="shared" si="386"/>
        <v/>
      </c>
      <c r="CE172" s="1002" t="str">
        <f t="shared" si="387"/>
        <v/>
      </c>
      <c r="CF172" s="1002" t="str">
        <f t="shared" si="388"/>
        <v/>
      </c>
      <c r="CG172" s="1002" t="str">
        <f t="shared" si="389"/>
        <v/>
      </c>
      <c r="CH172" s="1003" t="str">
        <f t="shared" si="390"/>
        <v/>
      </c>
      <c r="CI172" s="1003" t="str">
        <f t="shared" si="391"/>
        <v/>
      </c>
      <c r="CJ172" s="1002" t="str">
        <f t="shared" si="392"/>
        <v/>
      </c>
      <c r="CK172" s="1002" t="str">
        <f t="shared" si="393"/>
        <v/>
      </c>
      <c r="CL172" s="1002" t="str">
        <f t="shared" si="394"/>
        <v/>
      </c>
      <c r="CM172" s="1000" t="str">
        <f t="shared" si="395"/>
        <v/>
      </c>
      <c r="CN172" s="521" t="str">
        <f t="shared" si="396"/>
        <v/>
      </c>
      <c r="CO172" s="522" t="str">
        <f t="shared" si="397"/>
        <v/>
      </c>
      <c r="CP172" s="523" t="str">
        <f t="shared" si="398"/>
        <v/>
      </c>
      <c r="CQ172" s="523" t="str">
        <f t="shared" si="399"/>
        <v/>
      </c>
      <c r="CR172" s="523" t="str">
        <f t="shared" si="400"/>
        <v/>
      </c>
      <c r="CS172" s="523" t="str">
        <f t="shared" si="401"/>
        <v/>
      </c>
      <c r="CT172" s="523" t="str">
        <f t="shared" si="402"/>
        <v/>
      </c>
      <c r="CU172" s="524" t="str">
        <f t="shared" si="403"/>
        <v/>
      </c>
      <c r="CV172" s="524" t="str">
        <f t="shared" si="404"/>
        <v/>
      </c>
      <c r="CW172" s="524" t="str">
        <f t="shared" si="405"/>
        <v/>
      </c>
      <c r="CX172" s="523" t="str">
        <f t="shared" si="406"/>
        <v/>
      </c>
      <c r="CY172" s="523" t="str">
        <f t="shared" si="407"/>
        <v/>
      </c>
      <c r="CZ172" s="523" t="str">
        <f t="shared" si="408"/>
        <v/>
      </c>
      <c r="DA172" s="523" t="str">
        <f t="shared" si="409"/>
        <v/>
      </c>
      <c r="DB172" s="523" t="str">
        <f t="shared" si="410"/>
        <v/>
      </c>
      <c r="DC172" s="522" t="str">
        <f t="shared" si="411"/>
        <v/>
      </c>
      <c r="DD172" s="521" t="str">
        <f t="shared" si="412"/>
        <v/>
      </c>
      <c r="DE172" s="635">
        <f t="shared" si="413"/>
        <v>0</v>
      </c>
      <c r="DF172" s="95">
        <f t="shared" si="414"/>
        <v>0</v>
      </c>
      <c r="DG172" s="95">
        <f t="shared" si="415"/>
        <v>0</v>
      </c>
      <c r="DH172" s="95">
        <f t="shared" si="416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3">IF(B167="","",(SUM(B160)*2973-SUM(B161,B165)*(2973-1549*(B164=0)))/$G$1/365/B$46)</f>
        <v/>
      </c>
      <c r="C173" s="615" t="str">
        <f t="shared" si="453"/>
        <v/>
      </c>
      <c r="D173" s="615" t="str">
        <f t="shared" si="453"/>
        <v/>
      </c>
      <c r="E173" s="615" t="str">
        <f t="shared" si="453"/>
        <v/>
      </c>
      <c r="F173" s="615" t="str">
        <f t="shared" si="453"/>
        <v/>
      </c>
      <c r="G173" s="615" t="str">
        <f t="shared" si="453"/>
        <v/>
      </c>
      <c r="H173" s="615" t="str">
        <f t="shared" si="453"/>
        <v/>
      </c>
      <c r="I173" s="615" t="str">
        <f t="shared" si="453"/>
        <v/>
      </c>
      <c r="J173" s="615" t="str">
        <f t="shared" si="453"/>
        <v/>
      </c>
      <c r="K173" s="615" t="str">
        <f t="shared" si="453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54">IF(T167="","",(SUM(T160)*2973-SUM(T161,T165)*(2973-1549*(T164=0)))/$G$1/365/T$46)</f>
        <v/>
      </c>
      <c r="U173" s="615" t="str">
        <f t="shared" si="454"/>
        <v/>
      </c>
      <c r="V173" s="615" t="str">
        <f t="shared" si="454"/>
        <v/>
      </c>
      <c r="W173" s="615" t="str">
        <f t="shared" si="454"/>
        <v/>
      </c>
      <c r="X173" s="615" t="str">
        <f t="shared" si="454"/>
        <v/>
      </c>
      <c r="Y173" s="615" t="str">
        <f t="shared" si="454"/>
        <v/>
      </c>
      <c r="Z173" s="615" t="str">
        <f t="shared" si="454"/>
        <v/>
      </c>
      <c r="AA173" s="615" t="str">
        <f t="shared" si="454"/>
        <v/>
      </c>
      <c r="AB173" s="615" t="str">
        <f t="shared" si="454"/>
        <v/>
      </c>
      <c r="AC173" s="615" t="str">
        <f t="shared" si="454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55">IF(AL167="","",(SUM(AL160)*2973-SUM(AL161,AL165)*(2973-1549*(AL164=0)))/$G$1/365/AL$46)</f>
        <v/>
      </c>
      <c r="AM173" s="615" t="str">
        <f t="shared" si="455"/>
        <v/>
      </c>
      <c r="AN173" s="615" t="str">
        <f t="shared" si="455"/>
        <v/>
      </c>
      <c r="AO173" s="615" t="str">
        <f t="shared" si="455"/>
        <v/>
      </c>
      <c r="AP173" s="615" t="str">
        <f t="shared" si="455"/>
        <v/>
      </c>
      <c r="AQ173" s="615" t="str">
        <f t="shared" si="455"/>
        <v/>
      </c>
      <c r="AR173" s="615" t="str">
        <f t="shared" si="455"/>
        <v/>
      </c>
      <c r="AS173" s="615" t="str">
        <f t="shared" si="455"/>
        <v/>
      </c>
      <c r="AT173" s="615" t="str">
        <f t="shared" si="455"/>
        <v/>
      </c>
      <c r="AU173" s="615" t="str">
        <f t="shared" si="455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56">IF(BD167="","",(SUM(BD160)*2973-SUM(BD161,BD165)*(2973-1549*(BD164=0)))/$G$1/365/BD$46)</f>
        <v/>
      </c>
      <c r="BE173" s="1202" t="str">
        <f t="shared" si="456"/>
        <v/>
      </c>
      <c r="BF173" s="1202" t="str">
        <f t="shared" si="456"/>
        <v/>
      </c>
      <c r="BG173" s="1202" t="str">
        <f t="shared" si="456"/>
        <v/>
      </c>
      <c r="BH173" s="1202" t="str">
        <f t="shared" si="456"/>
        <v/>
      </c>
      <c r="BI173" s="1202" t="str">
        <f t="shared" si="456"/>
        <v/>
      </c>
      <c r="BJ173" s="1202" t="str">
        <f t="shared" si="456"/>
        <v/>
      </c>
      <c r="BK173" s="1202" t="str">
        <f t="shared" si="456"/>
        <v/>
      </c>
      <c r="BL173" s="1202" t="str">
        <f t="shared" si="456"/>
        <v/>
      </c>
      <c r="BM173" s="1202" t="str">
        <f t="shared" si="456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25"/>
        <v/>
      </c>
      <c r="CA173" s="607" t="str">
        <f t="shared" si="426"/>
        <v/>
      </c>
      <c r="CB173" s="607" t="str">
        <f t="shared" si="427"/>
        <v/>
      </c>
      <c r="CC173" s="607" t="str">
        <f t="shared" si="428"/>
        <v/>
      </c>
      <c r="CD173" s="1000" t="str">
        <f t="shared" si="386"/>
        <v/>
      </c>
      <c r="CE173" s="1002" t="str">
        <f t="shared" si="387"/>
        <v/>
      </c>
      <c r="CF173" s="1002" t="str">
        <f t="shared" si="388"/>
        <v/>
      </c>
      <c r="CG173" s="1002" t="str">
        <f t="shared" si="389"/>
        <v/>
      </c>
      <c r="CH173" s="1003" t="str">
        <f t="shared" si="390"/>
        <v/>
      </c>
      <c r="CI173" s="1003" t="str">
        <f t="shared" si="391"/>
        <v/>
      </c>
      <c r="CJ173" s="1002" t="str">
        <f t="shared" si="392"/>
        <v/>
      </c>
      <c r="CK173" s="1002" t="str">
        <f t="shared" si="393"/>
        <v/>
      </c>
      <c r="CL173" s="1002" t="str">
        <f t="shared" si="394"/>
        <v/>
      </c>
      <c r="CM173" s="1000" t="str">
        <f t="shared" si="395"/>
        <v/>
      </c>
      <c r="CN173" s="521" t="str">
        <f t="shared" si="396"/>
        <v/>
      </c>
      <c r="CO173" s="522" t="str">
        <f t="shared" si="397"/>
        <v/>
      </c>
      <c r="CP173" s="523" t="str">
        <f t="shared" si="398"/>
        <v/>
      </c>
      <c r="CQ173" s="523" t="str">
        <f t="shared" si="399"/>
        <v/>
      </c>
      <c r="CR173" s="523" t="str">
        <f t="shared" si="400"/>
        <v/>
      </c>
      <c r="CS173" s="523" t="str">
        <f t="shared" si="401"/>
        <v/>
      </c>
      <c r="CT173" s="523" t="str">
        <f t="shared" si="402"/>
        <v/>
      </c>
      <c r="CU173" s="524" t="str">
        <f t="shared" si="403"/>
        <v/>
      </c>
      <c r="CV173" s="524" t="str">
        <f t="shared" si="404"/>
        <v/>
      </c>
      <c r="CW173" s="524" t="str">
        <f t="shared" si="405"/>
        <v/>
      </c>
      <c r="CX173" s="523" t="str">
        <f t="shared" si="406"/>
        <v/>
      </c>
      <c r="CY173" s="523" t="str">
        <f t="shared" si="407"/>
        <v/>
      </c>
      <c r="CZ173" s="523" t="str">
        <f t="shared" si="408"/>
        <v/>
      </c>
      <c r="DA173" s="523" t="str">
        <f t="shared" si="409"/>
        <v/>
      </c>
      <c r="DB173" s="523" t="str">
        <f t="shared" si="410"/>
        <v/>
      </c>
      <c r="DC173" s="522" t="str">
        <f t="shared" si="411"/>
        <v/>
      </c>
      <c r="DD173" s="521" t="str">
        <f t="shared" si="412"/>
        <v/>
      </c>
      <c r="DE173" s="635">
        <f t="shared" si="413"/>
        <v>0</v>
      </c>
      <c r="DF173" s="95">
        <f t="shared" si="414"/>
        <v>0</v>
      </c>
      <c r="DG173" s="95">
        <f t="shared" si="415"/>
        <v>0</v>
      </c>
      <c r="DH173" s="95">
        <f t="shared" si="416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57">IF(SUM(B167)&gt;0,B169/B167,"")</f>
        <v/>
      </c>
      <c r="C174" s="605" t="str">
        <f t="shared" si="457"/>
        <v/>
      </c>
      <c r="D174" s="605" t="str">
        <f t="shared" si="457"/>
        <v/>
      </c>
      <c r="E174" s="605" t="str">
        <f t="shared" si="457"/>
        <v/>
      </c>
      <c r="F174" s="605" t="str">
        <f t="shared" si="457"/>
        <v/>
      </c>
      <c r="G174" s="605" t="str">
        <f t="shared" si="457"/>
        <v/>
      </c>
      <c r="H174" s="605" t="str">
        <f t="shared" si="457"/>
        <v/>
      </c>
      <c r="I174" s="605" t="str">
        <f t="shared" si="457"/>
        <v/>
      </c>
      <c r="J174" s="605" t="str">
        <f t="shared" si="457"/>
        <v/>
      </c>
      <c r="K174" s="605" t="str">
        <f t="shared" si="457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58">IF(SUM(T167)&gt;0,T169/T167,"")</f>
        <v/>
      </c>
      <c r="U174" s="605" t="str">
        <f t="shared" si="458"/>
        <v/>
      </c>
      <c r="V174" s="605" t="str">
        <f t="shared" si="458"/>
        <v/>
      </c>
      <c r="W174" s="605" t="str">
        <f t="shared" si="458"/>
        <v/>
      </c>
      <c r="X174" s="605" t="str">
        <f t="shared" si="458"/>
        <v/>
      </c>
      <c r="Y174" s="605" t="str">
        <f t="shared" si="458"/>
        <v/>
      </c>
      <c r="Z174" s="605" t="str">
        <f t="shared" si="458"/>
        <v/>
      </c>
      <c r="AA174" s="605" t="str">
        <f t="shared" si="458"/>
        <v/>
      </c>
      <c r="AB174" s="605" t="str">
        <f t="shared" si="458"/>
        <v/>
      </c>
      <c r="AC174" s="605" t="str">
        <f t="shared" si="458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59">IF(SUM(AL167)&gt;0,AL169/AL167,"")</f>
        <v/>
      </c>
      <c r="AM174" s="605" t="str">
        <f t="shared" si="459"/>
        <v/>
      </c>
      <c r="AN174" s="605" t="str">
        <f t="shared" si="459"/>
        <v/>
      </c>
      <c r="AO174" s="605" t="str">
        <f t="shared" si="459"/>
        <v/>
      </c>
      <c r="AP174" s="605" t="str">
        <f t="shared" si="459"/>
        <v/>
      </c>
      <c r="AQ174" s="605" t="str">
        <f t="shared" si="459"/>
        <v/>
      </c>
      <c r="AR174" s="605" t="str">
        <f t="shared" si="459"/>
        <v/>
      </c>
      <c r="AS174" s="605" t="str">
        <f t="shared" si="459"/>
        <v/>
      </c>
      <c r="AT174" s="605" t="str">
        <f t="shared" si="459"/>
        <v/>
      </c>
      <c r="AU174" s="605" t="str">
        <f t="shared" si="459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0">IF(SUM(BD167)&gt;0,BD169/BD167,"")</f>
        <v/>
      </c>
      <c r="BE174" s="1197" t="str">
        <f t="shared" si="460"/>
        <v/>
      </c>
      <c r="BF174" s="1197" t="str">
        <f t="shared" si="460"/>
        <v/>
      </c>
      <c r="BG174" s="1197" t="str">
        <f t="shared" si="460"/>
        <v/>
      </c>
      <c r="BH174" s="1197" t="str">
        <f t="shared" si="460"/>
        <v/>
      </c>
      <c r="BI174" s="1197" t="str">
        <f t="shared" si="460"/>
        <v/>
      </c>
      <c r="BJ174" s="1197" t="str">
        <f t="shared" si="460"/>
        <v/>
      </c>
      <c r="BK174" s="1197" t="str">
        <f t="shared" si="460"/>
        <v/>
      </c>
      <c r="BL174" s="1197" t="str">
        <f t="shared" si="460"/>
        <v/>
      </c>
      <c r="BM174" s="1197" t="str">
        <f t="shared" si="460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25"/>
        <v/>
      </c>
      <c r="CA174" s="607" t="str">
        <f t="shared" si="426"/>
        <v/>
      </c>
      <c r="CB174" s="607" t="str">
        <f t="shared" si="427"/>
        <v/>
      </c>
      <c r="CC174" s="607" t="str">
        <f t="shared" si="428"/>
        <v/>
      </c>
      <c r="CD174" s="1000" t="str">
        <f t="shared" si="386"/>
        <v/>
      </c>
      <c r="CE174" s="1002" t="str">
        <f t="shared" si="387"/>
        <v/>
      </c>
      <c r="CF174" s="1002" t="str">
        <f t="shared" si="388"/>
        <v/>
      </c>
      <c r="CG174" s="1002" t="str">
        <f t="shared" si="389"/>
        <v/>
      </c>
      <c r="CH174" s="1003" t="str">
        <f t="shared" si="390"/>
        <v/>
      </c>
      <c r="CI174" s="1003" t="str">
        <f t="shared" si="391"/>
        <v/>
      </c>
      <c r="CJ174" s="1002" t="str">
        <f t="shared" si="392"/>
        <v/>
      </c>
      <c r="CK174" s="1002" t="str">
        <f t="shared" si="393"/>
        <v/>
      </c>
      <c r="CL174" s="1002" t="str">
        <f t="shared" si="394"/>
        <v/>
      </c>
      <c r="CM174" s="1000" t="str">
        <f t="shared" si="395"/>
        <v/>
      </c>
      <c r="CN174" s="521" t="str">
        <f t="shared" si="396"/>
        <v/>
      </c>
      <c r="CO174" s="522" t="str">
        <f t="shared" si="397"/>
        <v/>
      </c>
      <c r="CP174" s="523" t="str">
        <f t="shared" si="398"/>
        <v/>
      </c>
      <c r="CQ174" s="523" t="str">
        <f t="shared" si="399"/>
        <v/>
      </c>
      <c r="CR174" s="523" t="str">
        <f t="shared" si="400"/>
        <v/>
      </c>
      <c r="CS174" s="523" t="str">
        <f t="shared" si="401"/>
        <v/>
      </c>
      <c r="CT174" s="523" t="str">
        <f t="shared" si="402"/>
        <v/>
      </c>
      <c r="CU174" s="524" t="str">
        <f t="shared" si="403"/>
        <v/>
      </c>
      <c r="CV174" s="524" t="str">
        <f t="shared" si="404"/>
        <v/>
      </c>
      <c r="CW174" s="524" t="str">
        <f t="shared" si="405"/>
        <v/>
      </c>
      <c r="CX174" s="523" t="str">
        <f t="shared" si="406"/>
        <v/>
      </c>
      <c r="CY174" s="523" t="str">
        <f t="shared" si="407"/>
        <v/>
      </c>
      <c r="CZ174" s="523" t="str">
        <f t="shared" si="408"/>
        <v/>
      </c>
      <c r="DA174" s="523" t="str">
        <f t="shared" si="409"/>
        <v/>
      </c>
      <c r="DB174" s="523" t="str">
        <f t="shared" si="410"/>
        <v/>
      </c>
      <c r="DC174" s="522" t="str">
        <f t="shared" si="411"/>
        <v/>
      </c>
      <c r="DD174" s="521" t="str">
        <f t="shared" si="412"/>
        <v/>
      </c>
      <c r="DE174" s="635">
        <f t="shared" si="413"/>
        <v>0</v>
      </c>
      <c r="DF174" s="95">
        <f t="shared" si="414"/>
        <v>0</v>
      </c>
      <c r="DG174" s="95">
        <f t="shared" si="415"/>
        <v>0</v>
      </c>
      <c r="DH174" s="95">
        <f t="shared" si="416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25"/>
        <v/>
      </c>
      <c r="CA175" s="582" t="str">
        <f t="shared" si="426"/>
        <v/>
      </c>
      <c r="CB175" s="582" t="str">
        <f t="shared" si="427"/>
        <v/>
      </c>
      <c r="CC175" s="582" t="str">
        <f t="shared" si="428"/>
        <v/>
      </c>
      <c r="CD175" s="1008" t="str">
        <f t="shared" si="386"/>
        <v/>
      </c>
      <c r="CE175" s="1010" t="str">
        <f t="shared" si="387"/>
        <v/>
      </c>
      <c r="CF175" s="1010" t="str">
        <f t="shared" si="388"/>
        <v/>
      </c>
      <c r="CG175" s="1010" t="str">
        <f t="shared" si="389"/>
        <v/>
      </c>
      <c r="CH175" s="1011" t="str">
        <f t="shared" si="390"/>
        <v/>
      </c>
      <c r="CI175" s="1011" t="str">
        <f t="shared" si="391"/>
        <v/>
      </c>
      <c r="CJ175" s="1010" t="str">
        <f t="shared" si="392"/>
        <v/>
      </c>
      <c r="CK175" s="1010" t="str">
        <f t="shared" si="393"/>
        <v/>
      </c>
      <c r="CL175" s="1010" t="str">
        <f t="shared" si="394"/>
        <v/>
      </c>
      <c r="CM175" s="1008" t="str">
        <f t="shared" si="395"/>
        <v/>
      </c>
      <c r="CN175" s="533" t="str">
        <f t="shared" si="396"/>
        <v/>
      </c>
      <c r="CO175" s="534" t="str">
        <f t="shared" si="397"/>
        <v/>
      </c>
      <c r="CP175" s="535" t="str">
        <f t="shared" si="398"/>
        <v/>
      </c>
      <c r="CQ175" s="535" t="str">
        <f t="shared" si="399"/>
        <v/>
      </c>
      <c r="CR175" s="535" t="str">
        <f t="shared" si="400"/>
        <v/>
      </c>
      <c r="CS175" s="535" t="str">
        <f t="shared" si="401"/>
        <v/>
      </c>
      <c r="CT175" s="535" t="str">
        <f t="shared" si="402"/>
        <v/>
      </c>
      <c r="CU175" s="536" t="str">
        <f t="shared" si="403"/>
        <v/>
      </c>
      <c r="CV175" s="536" t="str">
        <f t="shared" si="404"/>
        <v/>
      </c>
      <c r="CW175" s="536" t="str">
        <f t="shared" si="405"/>
        <v/>
      </c>
      <c r="CX175" s="535" t="str">
        <f t="shared" si="406"/>
        <v/>
      </c>
      <c r="CY175" s="535" t="str">
        <f t="shared" si="407"/>
        <v/>
      </c>
      <c r="CZ175" s="535" t="str">
        <f t="shared" si="408"/>
        <v/>
      </c>
      <c r="DA175" s="535" t="str">
        <f t="shared" si="409"/>
        <v/>
      </c>
      <c r="DB175" s="535" t="str">
        <f t="shared" si="410"/>
        <v/>
      </c>
      <c r="DC175" s="534" t="str">
        <f t="shared" si="411"/>
        <v/>
      </c>
      <c r="DD175" s="533" t="str">
        <f t="shared" si="412"/>
        <v/>
      </c>
      <c r="DE175" s="635">
        <f t="shared" si="413"/>
        <v>0</v>
      </c>
      <c r="DF175" s="95">
        <f t="shared" si="414"/>
        <v>0</v>
      </c>
      <c r="DG175" s="95">
        <f t="shared" si="415"/>
        <v>0</v>
      </c>
      <c r="DH175" s="95">
        <f t="shared" si="416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25"/>
        <v/>
      </c>
      <c r="CA176" s="582" t="str">
        <f t="shared" si="426"/>
        <v/>
      </c>
      <c r="CB176" s="582" t="str">
        <f t="shared" si="427"/>
        <v/>
      </c>
      <c r="CC176" s="582" t="str">
        <f t="shared" si="428"/>
        <v/>
      </c>
      <c r="CD176" s="1008" t="str">
        <f t="shared" si="386"/>
        <v/>
      </c>
      <c r="CE176" s="1010" t="str">
        <f t="shared" si="387"/>
        <v/>
      </c>
      <c r="CF176" s="1010" t="str">
        <f t="shared" si="388"/>
        <v/>
      </c>
      <c r="CG176" s="1010" t="str">
        <f t="shared" si="389"/>
        <v/>
      </c>
      <c r="CH176" s="1011" t="str">
        <f t="shared" si="390"/>
        <v/>
      </c>
      <c r="CI176" s="1011" t="str">
        <f t="shared" si="391"/>
        <v/>
      </c>
      <c r="CJ176" s="1010" t="str">
        <f t="shared" si="392"/>
        <v/>
      </c>
      <c r="CK176" s="1010" t="str">
        <f t="shared" si="393"/>
        <v/>
      </c>
      <c r="CL176" s="1010" t="str">
        <f t="shared" si="394"/>
        <v/>
      </c>
      <c r="CM176" s="1008" t="str">
        <f t="shared" si="395"/>
        <v/>
      </c>
      <c r="CN176" s="533" t="str">
        <f t="shared" si="396"/>
        <v/>
      </c>
      <c r="CO176" s="534" t="str">
        <f t="shared" si="397"/>
        <v/>
      </c>
      <c r="CP176" s="535" t="str">
        <f t="shared" si="398"/>
        <v/>
      </c>
      <c r="CQ176" s="535" t="str">
        <f t="shared" si="399"/>
        <v/>
      </c>
      <c r="CR176" s="535" t="str">
        <f t="shared" si="400"/>
        <v/>
      </c>
      <c r="CS176" s="535" t="str">
        <f t="shared" si="401"/>
        <v/>
      </c>
      <c r="CT176" s="535" t="str">
        <f t="shared" si="402"/>
        <v/>
      </c>
      <c r="CU176" s="536" t="str">
        <f t="shared" si="403"/>
        <v/>
      </c>
      <c r="CV176" s="536" t="str">
        <f t="shared" si="404"/>
        <v/>
      </c>
      <c r="CW176" s="536" t="str">
        <f t="shared" si="405"/>
        <v/>
      </c>
      <c r="CX176" s="535" t="str">
        <f t="shared" si="406"/>
        <v/>
      </c>
      <c r="CY176" s="535" t="str">
        <f t="shared" si="407"/>
        <v/>
      </c>
      <c r="CZ176" s="535" t="str">
        <f t="shared" si="408"/>
        <v/>
      </c>
      <c r="DA176" s="535" t="str">
        <f t="shared" si="409"/>
        <v/>
      </c>
      <c r="DB176" s="535" t="str">
        <f t="shared" si="410"/>
        <v/>
      </c>
      <c r="DC176" s="534" t="str">
        <f t="shared" si="411"/>
        <v/>
      </c>
      <c r="DD176" s="533" t="str">
        <f t="shared" si="412"/>
        <v/>
      </c>
      <c r="DE176" s="635">
        <f t="shared" si="413"/>
        <v>0</v>
      </c>
      <c r="DF176" s="95">
        <f t="shared" si="414"/>
        <v>0</v>
      </c>
      <c r="DG176" s="95">
        <f t="shared" si="415"/>
        <v>0</v>
      </c>
      <c r="DH176" s="95">
        <f t="shared" si="416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1">IF(B176="","",B175*B176*9839/$G$1/365/B$46)</f>
        <v/>
      </c>
      <c r="C177" s="615" t="str">
        <f t="shared" si="461"/>
        <v/>
      </c>
      <c r="D177" s="615" t="str">
        <f t="shared" si="461"/>
        <v/>
      </c>
      <c r="E177" s="615" t="str">
        <f t="shared" si="461"/>
        <v/>
      </c>
      <c r="F177" s="615" t="str">
        <f t="shared" si="461"/>
        <v/>
      </c>
      <c r="G177" s="615" t="str">
        <f t="shared" si="461"/>
        <v/>
      </c>
      <c r="H177" s="615" t="str">
        <f t="shared" si="461"/>
        <v/>
      </c>
      <c r="I177" s="615" t="str">
        <f t="shared" si="461"/>
        <v/>
      </c>
      <c r="J177" s="615" t="str">
        <f t="shared" si="461"/>
        <v/>
      </c>
      <c r="K177" s="615" t="str">
        <f t="shared" si="461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2">IF(T176="","",T175*T176*9839/$G$1/365/T$46)</f>
        <v/>
      </c>
      <c r="U177" s="615" t="str">
        <f t="shared" si="462"/>
        <v/>
      </c>
      <c r="V177" s="615" t="str">
        <f t="shared" si="462"/>
        <v/>
      </c>
      <c r="W177" s="615" t="str">
        <f t="shared" si="462"/>
        <v/>
      </c>
      <c r="X177" s="615" t="str">
        <f t="shared" si="462"/>
        <v/>
      </c>
      <c r="Y177" s="615" t="str">
        <f t="shared" si="462"/>
        <v/>
      </c>
      <c r="Z177" s="615" t="str">
        <f t="shared" si="462"/>
        <v/>
      </c>
      <c r="AA177" s="615" t="str">
        <f t="shared" si="462"/>
        <v/>
      </c>
      <c r="AB177" s="615" t="str">
        <f t="shared" si="462"/>
        <v/>
      </c>
      <c r="AC177" s="615" t="str">
        <f t="shared" si="462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3">IF(AL176="","",AL175*AL176*9839/$G$1/365/AL$46)</f>
        <v/>
      </c>
      <c r="AM177" s="615" t="str">
        <f t="shared" si="463"/>
        <v/>
      </c>
      <c r="AN177" s="615" t="str">
        <f t="shared" si="463"/>
        <v/>
      </c>
      <c r="AO177" s="615" t="str">
        <f t="shared" si="463"/>
        <v/>
      </c>
      <c r="AP177" s="615" t="str">
        <f t="shared" si="463"/>
        <v/>
      </c>
      <c r="AQ177" s="615" t="str">
        <f t="shared" si="463"/>
        <v/>
      </c>
      <c r="AR177" s="615" t="str">
        <f t="shared" si="463"/>
        <v/>
      </c>
      <c r="AS177" s="615" t="str">
        <f t="shared" si="463"/>
        <v/>
      </c>
      <c r="AT177" s="615" t="str">
        <f t="shared" si="463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64">IF(BD176="","",BD175*BD176*9839/$G$1/365/BD$46)</f>
        <v/>
      </c>
      <c r="BE177" s="1202" t="str">
        <f t="shared" si="464"/>
        <v/>
      </c>
      <c r="BF177" s="1202" t="str">
        <f t="shared" si="464"/>
        <v/>
      </c>
      <c r="BG177" s="1202" t="str">
        <f t="shared" si="464"/>
        <v/>
      </c>
      <c r="BH177" s="1202" t="str">
        <f t="shared" si="464"/>
        <v/>
      </c>
      <c r="BI177" s="1202" t="str">
        <f t="shared" si="464"/>
        <v/>
      </c>
      <c r="BJ177" s="1202" t="str">
        <f t="shared" si="464"/>
        <v/>
      </c>
      <c r="BK177" s="1202" t="str">
        <f t="shared" si="464"/>
        <v/>
      </c>
      <c r="BL177" s="1202" t="str">
        <f t="shared" si="464"/>
        <v/>
      </c>
      <c r="BM177" s="1202" t="str">
        <f t="shared" si="464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25"/>
        <v/>
      </c>
      <c r="CA177" s="582" t="str">
        <f t="shared" si="426"/>
        <v/>
      </c>
      <c r="CB177" s="582" t="str">
        <f t="shared" si="427"/>
        <v/>
      </c>
      <c r="CC177" s="582" t="str">
        <f t="shared" si="428"/>
        <v/>
      </c>
      <c r="CD177" s="1000" t="str">
        <f t="shared" si="386"/>
        <v/>
      </c>
      <c r="CE177" s="1002" t="str">
        <f t="shared" si="387"/>
        <v/>
      </c>
      <c r="CF177" s="1002" t="str">
        <f t="shared" si="388"/>
        <v/>
      </c>
      <c r="CG177" s="1002" t="str">
        <f t="shared" si="389"/>
        <v/>
      </c>
      <c r="CH177" s="1003" t="str">
        <f t="shared" si="390"/>
        <v/>
      </c>
      <c r="CI177" s="1003" t="str">
        <f t="shared" si="391"/>
        <v/>
      </c>
      <c r="CJ177" s="1002" t="str">
        <f t="shared" si="392"/>
        <v/>
      </c>
      <c r="CK177" s="1002" t="str">
        <f t="shared" si="393"/>
        <v/>
      </c>
      <c r="CL177" s="1002" t="str">
        <f t="shared" si="394"/>
        <v/>
      </c>
      <c r="CM177" s="1000" t="str">
        <f t="shared" si="395"/>
        <v/>
      </c>
      <c r="CN177" s="521" t="str">
        <f t="shared" si="396"/>
        <v/>
      </c>
      <c r="CO177" s="522" t="str">
        <f t="shared" si="397"/>
        <v/>
      </c>
      <c r="CP177" s="523" t="str">
        <f t="shared" si="398"/>
        <v/>
      </c>
      <c r="CQ177" s="523" t="str">
        <f t="shared" si="399"/>
        <v/>
      </c>
      <c r="CR177" s="523" t="str">
        <f t="shared" si="400"/>
        <v/>
      </c>
      <c r="CS177" s="523" t="str">
        <f t="shared" si="401"/>
        <v/>
      </c>
      <c r="CT177" s="523" t="str">
        <f t="shared" si="402"/>
        <v/>
      </c>
      <c r="CU177" s="524" t="str">
        <f t="shared" si="403"/>
        <v/>
      </c>
      <c r="CV177" s="524" t="str">
        <f t="shared" si="404"/>
        <v/>
      </c>
      <c r="CW177" s="524" t="str">
        <f t="shared" si="405"/>
        <v/>
      </c>
      <c r="CX177" s="523" t="str">
        <f t="shared" si="406"/>
        <v/>
      </c>
      <c r="CY177" s="523" t="str">
        <f t="shared" si="407"/>
        <v/>
      </c>
      <c r="CZ177" s="523" t="str">
        <f t="shared" si="408"/>
        <v/>
      </c>
      <c r="DA177" s="523" t="str">
        <f t="shared" si="409"/>
        <v/>
      </c>
      <c r="DB177" s="523" t="str">
        <f t="shared" si="410"/>
        <v/>
      </c>
      <c r="DC177" s="522" t="str">
        <f t="shared" si="411"/>
        <v/>
      </c>
      <c r="DD177" s="521" t="str">
        <f t="shared" si="412"/>
        <v/>
      </c>
      <c r="DE177" s="635">
        <f t="shared" si="413"/>
        <v>0</v>
      </c>
      <c r="DF177" s="95">
        <f t="shared" si="414"/>
        <v>0</v>
      </c>
      <c r="DG177" s="95">
        <f t="shared" si="415"/>
        <v>0</v>
      </c>
      <c r="DH177" s="95">
        <f t="shared" si="416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25"/>
        <v>0</v>
      </c>
      <c r="CA178" s="582">
        <f t="shared" si="426"/>
        <v>0</v>
      </c>
      <c r="CB178" s="582">
        <f t="shared" si="427"/>
        <v>0</v>
      </c>
      <c r="CC178" s="582">
        <f t="shared" si="428"/>
        <v>0</v>
      </c>
      <c r="CD178" s="988">
        <f t="shared" ref="CD178:CM179" si="46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65"/>
        <v>0</v>
      </c>
      <c r="CF178" s="989">
        <f t="shared" si="465"/>
        <v>0</v>
      </c>
      <c r="CG178" s="989">
        <f t="shared" si="465"/>
        <v>0</v>
      </c>
      <c r="CH178" s="990">
        <f t="shared" si="465"/>
        <v>0</v>
      </c>
      <c r="CI178" s="990">
        <f t="shared" si="465"/>
        <v>0</v>
      </c>
      <c r="CJ178" s="989">
        <f t="shared" si="465"/>
        <v>0</v>
      </c>
      <c r="CK178" s="989">
        <f t="shared" si="465"/>
        <v>0</v>
      </c>
      <c r="CL178" s="989">
        <f t="shared" si="465"/>
        <v>0</v>
      </c>
      <c r="CM178" s="988">
        <f t="shared" si="465"/>
        <v>0</v>
      </c>
      <c r="CN178" s="533" t="str">
        <f t="shared" si="396"/>
        <v/>
      </c>
      <c r="CO178" s="534" t="str">
        <f t="shared" si="397"/>
        <v/>
      </c>
      <c r="CP178" s="535" t="str">
        <f t="shared" si="398"/>
        <v/>
      </c>
      <c r="CQ178" s="535" t="str">
        <f t="shared" si="399"/>
        <v/>
      </c>
      <c r="CR178" s="535">
        <f t="shared" si="400"/>
        <v>0</v>
      </c>
      <c r="CS178" s="535">
        <f t="shared" si="401"/>
        <v>0</v>
      </c>
      <c r="CT178" s="535">
        <f t="shared" si="402"/>
        <v>0</v>
      </c>
      <c r="CU178" s="536">
        <f t="shared" si="403"/>
        <v>0</v>
      </c>
      <c r="CV178" s="536">
        <f t="shared" si="404"/>
        <v>0</v>
      </c>
      <c r="CW178" s="536">
        <f t="shared" si="405"/>
        <v>0</v>
      </c>
      <c r="CX178" s="535">
        <f t="shared" si="406"/>
        <v>0</v>
      </c>
      <c r="CY178" s="535">
        <f t="shared" si="407"/>
        <v>0</v>
      </c>
      <c r="CZ178" s="535">
        <f t="shared" si="408"/>
        <v>0</v>
      </c>
      <c r="DA178" s="535">
        <f t="shared" si="409"/>
        <v>0</v>
      </c>
      <c r="DB178" s="535" t="str">
        <f t="shared" si="410"/>
        <v/>
      </c>
      <c r="DC178" s="534" t="str">
        <f t="shared" si="411"/>
        <v/>
      </c>
      <c r="DD178" s="533" t="str">
        <f t="shared" si="412"/>
        <v/>
      </c>
      <c r="DE178" s="635">
        <f t="shared" si="413"/>
        <v>10</v>
      </c>
      <c r="DF178" s="95">
        <f t="shared" si="414"/>
        <v>10</v>
      </c>
      <c r="DG178" s="95">
        <f t="shared" si="415"/>
        <v>10</v>
      </c>
      <c r="DH178" s="95">
        <f t="shared" si="416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25"/>
        <v>150</v>
      </c>
      <c r="CA179" s="582">
        <f t="shared" si="426"/>
        <v>150</v>
      </c>
      <c r="CB179" s="582">
        <f t="shared" si="427"/>
        <v>150</v>
      </c>
      <c r="CC179" s="582">
        <f t="shared" si="428"/>
        <v>150</v>
      </c>
      <c r="CD179" s="988">
        <f t="shared" si="465"/>
        <v>150</v>
      </c>
      <c r="CE179" s="989">
        <f t="shared" si="465"/>
        <v>150</v>
      </c>
      <c r="CF179" s="989">
        <f t="shared" si="465"/>
        <v>150</v>
      </c>
      <c r="CG179" s="989">
        <f t="shared" si="465"/>
        <v>150</v>
      </c>
      <c r="CH179" s="990">
        <f t="shared" si="465"/>
        <v>150</v>
      </c>
      <c r="CI179" s="990">
        <f t="shared" si="465"/>
        <v>150</v>
      </c>
      <c r="CJ179" s="989">
        <f t="shared" si="465"/>
        <v>150</v>
      </c>
      <c r="CK179" s="989">
        <f t="shared" si="465"/>
        <v>150</v>
      </c>
      <c r="CL179" s="989">
        <f t="shared" si="465"/>
        <v>150</v>
      </c>
      <c r="CM179" s="988">
        <f t="shared" si="465"/>
        <v>150</v>
      </c>
      <c r="CN179" s="533" t="str">
        <f t="shared" si="396"/>
        <v/>
      </c>
      <c r="CO179" s="534" t="str">
        <f t="shared" si="397"/>
        <v/>
      </c>
      <c r="CP179" s="535" t="str">
        <f t="shared" si="398"/>
        <v/>
      </c>
      <c r="CQ179" s="535" t="str">
        <f t="shared" si="399"/>
        <v/>
      </c>
      <c r="CR179" s="535">
        <f t="shared" si="400"/>
        <v>150</v>
      </c>
      <c r="CS179" s="535">
        <f t="shared" si="401"/>
        <v>150</v>
      </c>
      <c r="CT179" s="535">
        <f t="shared" si="402"/>
        <v>150</v>
      </c>
      <c r="CU179" s="536">
        <f t="shared" si="403"/>
        <v>150</v>
      </c>
      <c r="CV179" s="536">
        <f t="shared" si="404"/>
        <v>150</v>
      </c>
      <c r="CW179" s="536">
        <f t="shared" si="405"/>
        <v>150</v>
      </c>
      <c r="CX179" s="535">
        <f t="shared" si="406"/>
        <v>150</v>
      </c>
      <c r="CY179" s="535">
        <f t="shared" si="407"/>
        <v>150</v>
      </c>
      <c r="CZ179" s="535">
        <f t="shared" si="408"/>
        <v>150</v>
      </c>
      <c r="DA179" s="535">
        <f t="shared" si="409"/>
        <v>150</v>
      </c>
      <c r="DB179" s="535" t="str">
        <f t="shared" si="410"/>
        <v/>
      </c>
      <c r="DC179" s="534" t="str">
        <f t="shared" si="411"/>
        <v/>
      </c>
      <c r="DD179" s="533" t="str">
        <f t="shared" si="412"/>
        <v/>
      </c>
      <c r="DE179" s="635">
        <f t="shared" si="413"/>
        <v>10</v>
      </c>
      <c r="DF179" s="95">
        <f t="shared" si="414"/>
        <v>10</v>
      </c>
      <c r="DG179" s="95">
        <f t="shared" si="415"/>
        <v>10</v>
      </c>
      <c r="DH179" s="95">
        <f t="shared" si="416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:K180" si="466">IF(SUM($BV$46)=0,"",B178*B179*$K$1*2350/B$46/365/$G$1)</f>
        <v>#VALUE!</v>
      </c>
      <c r="C180" s="1067" t="e">
        <f t="shared" si="466"/>
        <v>#VALUE!</v>
      </c>
      <c r="D180" s="1067" t="e">
        <f t="shared" si="466"/>
        <v>#VALUE!</v>
      </c>
      <c r="E180" s="1067" t="e">
        <f t="shared" si="466"/>
        <v>#VALUE!</v>
      </c>
      <c r="F180" s="1067" t="e">
        <f t="shared" si="466"/>
        <v>#VALUE!</v>
      </c>
      <c r="G180" s="1067" t="e">
        <f t="shared" si="466"/>
        <v>#VALUE!</v>
      </c>
      <c r="H180" s="1067" t="e">
        <f t="shared" si="466"/>
        <v>#VALUE!</v>
      </c>
      <c r="I180" s="1067" t="e">
        <f t="shared" si="466"/>
        <v>#VALUE!</v>
      </c>
      <c r="J180" s="1067" t="e">
        <f t="shared" si="466"/>
        <v>#VALUE!</v>
      </c>
      <c r="K180" s="1067" t="e">
        <f t="shared" si="466"/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:AC180" si="467">IF(SUM($BV$46)=0,"",T178*T179*$K$1*2350/T$46/365/$G$1)</f>
        <v>#VALUE!</v>
      </c>
      <c r="U180" s="1067" t="e">
        <f t="shared" si="467"/>
        <v>#VALUE!</v>
      </c>
      <c r="V180" s="1067" t="e">
        <f t="shared" si="467"/>
        <v>#VALUE!</v>
      </c>
      <c r="W180" s="1067" t="e">
        <f t="shared" si="467"/>
        <v>#VALUE!</v>
      </c>
      <c r="X180" s="1067" t="e">
        <f t="shared" si="467"/>
        <v>#VALUE!</v>
      </c>
      <c r="Y180" s="1067" t="e">
        <f t="shared" si="467"/>
        <v>#VALUE!</v>
      </c>
      <c r="Z180" s="1067" t="e">
        <f t="shared" si="467"/>
        <v>#VALUE!</v>
      </c>
      <c r="AA180" s="1067" t="e">
        <f t="shared" si="467"/>
        <v>#VALUE!</v>
      </c>
      <c r="AB180" s="1067" t="e">
        <f t="shared" si="467"/>
        <v>#VALUE!</v>
      </c>
      <c r="AC180" s="1067" t="e">
        <f t="shared" si="467"/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:AU180" si="468">IF(SUM($BV$46)=0,"",AL178*AL179*$K$1*2350/AL$46/365/$G$1)</f>
        <v>#VALUE!</v>
      </c>
      <c r="AM180" s="1067" t="e">
        <f t="shared" si="468"/>
        <v>#VALUE!</v>
      </c>
      <c r="AN180" s="1067" t="e">
        <f t="shared" si="468"/>
        <v>#VALUE!</v>
      </c>
      <c r="AO180" s="1067" t="e">
        <f t="shared" si="468"/>
        <v>#VALUE!</v>
      </c>
      <c r="AP180" s="1067" t="e">
        <f t="shared" si="468"/>
        <v>#VALUE!</v>
      </c>
      <c r="AQ180" s="1067" t="e">
        <f t="shared" si="468"/>
        <v>#VALUE!</v>
      </c>
      <c r="AR180" s="1067" t="e">
        <f t="shared" si="468"/>
        <v>#VALUE!</v>
      </c>
      <c r="AS180" s="1067" t="e">
        <f t="shared" si="468"/>
        <v>#VALUE!</v>
      </c>
      <c r="AT180" s="1067" t="e">
        <f t="shared" si="468"/>
        <v>#VALUE!</v>
      </c>
      <c r="AU180" s="1067" t="e">
        <f t="shared" si="468"/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:BM180" si="469">IF(SUM($BV$46)=0,"",BD178*BD179*$K$1*2350/BD$46/365/$G$1)</f>
        <v>#VALUE!</v>
      </c>
      <c r="BE180" s="1067" t="e">
        <f t="shared" si="469"/>
        <v>#VALUE!</v>
      </c>
      <c r="BF180" s="1067" t="e">
        <f t="shared" si="469"/>
        <v>#VALUE!</v>
      </c>
      <c r="BG180" s="1067" t="e">
        <f t="shared" si="469"/>
        <v>#VALUE!</v>
      </c>
      <c r="BH180" s="1067" t="e">
        <f t="shared" si="469"/>
        <v>#VALUE!</v>
      </c>
      <c r="BI180" s="1067" t="e">
        <f t="shared" si="469"/>
        <v>#VALUE!</v>
      </c>
      <c r="BJ180" s="1067" t="e">
        <f t="shared" si="469"/>
        <v>#VALUE!</v>
      </c>
      <c r="BK180" s="1067" t="e">
        <f t="shared" si="469"/>
        <v>#VALUE!</v>
      </c>
      <c r="BL180" s="1067" t="e">
        <f t="shared" si="469"/>
        <v>#VALUE!</v>
      </c>
      <c r="BM180" s="1067" t="e">
        <f t="shared" si="469"/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>IF(SUM($BV$46)=0,"",BV178*BV179*$K$1*2350/BV$46/365/$G$1)</f>
        <v>0</v>
      </c>
      <c r="BW180" s="1067">
        <f>IF(SUM($BV$46)=0,"",BW178*BW179*$K$1*2350/BW$46/365/$G$1)</f>
        <v>0</v>
      </c>
      <c r="BX180" s="1067">
        <f>IF(SUM($BV$46)=0,"",BX178*BX179*$K$1*2350/BX$46/365/$G$1)</f>
        <v>0</v>
      </c>
      <c r="BY180" s="1067">
        <f>IF(SUM($BV$46)=0,"",BY178*BY179*$K$1*2350/BY$46/365/$G$1)</f>
        <v>0</v>
      </c>
      <c r="BZ180" s="582" t="str">
        <f t="shared" si="425"/>
        <v/>
      </c>
      <c r="CA180" s="607" t="str">
        <f t="shared" si="426"/>
        <v/>
      </c>
      <c r="CB180" s="607" t="str">
        <f t="shared" si="427"/>
        <v/>
      </c>
      <c r="CC180" s="607" t="str">
        <f t="shared" si="428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4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470"/>
        <v/>
      </c>
      <c r="CG180" s="992" t="str">
        <f t="shared" si="470"/>
        <v/>
      </c>
      <c r="CH180" s="993" t="str">
        <f t="shared" si="470"/>
        <v/>
      </c>
      <c r="CI180" s="993" t="str">
        <f t="shared" si="470"/>
        <v/>
      </c>
      <c r="CJ180" s="992" t="str">
        <f t="shared" si="470"/>
        <v/>
      </c>
      <c r="CK180" s="992" t="str">
        <f t="shared" si="470"/>
        <v/>
      </c>
      <c r="CL180" s="992" t="str">
        <f t="shared" si="470"/>
        <v/>
      </c>
      <c r="CM180" s="991" t="str">
        <f t="shared" si="470"/>
        <v/>
      </c>
      <c r="CN180" s="521" t="str">
        <f t="shared" si="396"/>
        <v/>
      </c>
      <c r="CO180" s="522" t="str">
        <f t="shared" si="397"/>
        <v/>
      </c>
      <c r="CP180" s="523" t="str">
        <f t="shared" si="398"/>
        <v/>
      </c>
      <c r="CQ180" s="523" t="str">
        <f t="shared" si="399"/>
        <v/>
      </c>
      <c r="CR180" s="523" t="str">
        <f t="shared" si="400"/>
        <v/>
      </c>
      <c r="CS180" s="523" t="str">
        <f t="shared" si="401"/>
        <v/>
      </c>
      <c r="CT180" s="523" t="str">
        <f t="shared" si="402"/>
        <v/>
      </c>
      <c r="CU180" s="524" t="str">
        <f t="shared" si="403"/>
        <v/>
      </c>
      <c r="CV180" s="524" t="str">
        <f t="shared" si="404"/>
        <v/>
      </c>
      <c r="CW180" s="524" t="str">
        <f t="shared" si="405"/>
        <v/>
      </c>
      <c r="CX180" s="523" t="str">
        <f t="shared" si="406"/>
        <v/>
      </c>
      <c r="CY180" s="523" t="str">
        <f t="shared" si="407"/>
        <v/>
      </c>
      <c r="CZ180" s="523" t="str">
        <f t="shared" si="408"/>
        <v/>
      </c>
      <c r="DA180" s="523" t="str">
        <f t="shared" si="409"/>
        <v/>
      </c>
      <c r="DB180" s="523" t="str">
        <f t="shared" si="410"/>
        <v/>
      </c>
      <c r="DC180" s="522" t="str">
        <f t="shared" si="411"/>
        <v/>
      </c>
      <c r="DD180" s="521" t="str">
        <f t="shared" si="412"/>
        <v/>
      </c>
      <c r="DE180" s="635">
        <f t="shared" ref="DE180:DE211" si="471">COUNT(B180:R180)</f>
        <v>0</v>
      </c>
      <c r="DF180" s="95">
        <f t="shared" ref="DF180:DF211" si="472">COUNT(T180:AJ180)</f>
        <v>0</v>
      </c>
      <c r="DG180" s="95">
        <f t="shared" ref="DG180:DG211" si="473">COUNT(AL180:BB180)</f>
        <v>0</v>
      </c>
      <c r="DH180" s="95">
        <f t="shared" ref="DH180:DH211" si="474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25"/>
        <v>0</v>
      </c>
      <c r="CA181" s="582">
        <f t="shared" si="426"/>
        <v>0</v>
      </c>
      <c r="CB181" s="582">
        <f t="shared" si="427"/>
        <v>0</v>
      </c>
      <c r="CC181" s="582">
        <f t="shared" si="428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470"/>
        <v>0</v>
      </c>
      <c r="CF181" s="989">
        <f t="shared" si="470"/>
        <v>0</v>
      </c>
      <c r="CG181" s="989">
        <f t="shared" si="470"/>
        <v>0</v>
      </c>
      <c r="CH181" s="990">
        <f t="shared" si="470"/>
        <v>0</v>
      </c>
      <c r="CI181" s="990">
        <f t="shared" si="470"/>
        <v>0</v>
      </c>
      <c r="CJ181" s="989">
        <f t="shared" si="470"/>
        <v>0</v>
      </c>
      <c r="CK181" s="989">
        <f t="shared" si="470"/>
        <v>0</v>
      </c>
      <c r="CL181" s="989">
        <f t="shared" si="470"/>
        <v>0</v>
      </c>
      <c r="CM181" s="988">
        <f t="shared" si="470"/>
        <v>0</v>
      </c>
      <c r="CN181" s="533" t="str">
        <f t="shared" si="396"/>
        <v/>
      </c>
      <c r="CO181" s="534" t="str">
        <f t="shared" si="397"/>
        <v/>
      </c>
      <c r="CP181" s="535" t="str">
        <f t="shared" si="398"/>
        <v/>
      </c>
      <c r="CQ181" s="535" t="str">
        <f t="shared" si="399"/>
        <v/>
      </c>
      <c r="CR181" s="535">
        <f t="shared" si="400"/>
        <v>0</v>
      </c>
      <c r="CS181" s="535">
        <f t="shared" si="401"/>
        <v>0</v>
      </c>
      <c r="CT181" s="535">
        <f t="shared" si="402"/>
        <v>0</v>
      </c>
      <c r="CU181" s="536">
        <f t="shared" si="403"/>
        <v>0</v>
      </c>
      <c r="CV181" s="536">
        <f t="shared" si="404"/>
        <v>0</v>
      </c>
      <c r="CW181" s="536">
        <f t="shared" si="405"/>
        <v>0</v>
      </c>
      <c r="CX181" s="535">
        <f t="shared" si="406"/>
        <v>0</v>
      </c>
      <c r="CY181" s="535">
        <f t="shared" si="407"/>
        <v>0</v>
      </c>
      <c r="CZ181" s="535">
        <f t="shared" si="408"/>
        <v>0</v>
      </c>
      <c r="DA181" s="535">
        <f t="shared" si="409"/>
        <v>0</v>
      </c>
      <c r="DB181" s="535" t="str">
        <f t="shared" si="410"/>
        <v/>
      </c>
      <c r="DC181" s="534" t="str">
        <f t="shared" si="411"/>
        <v/>
      </c>
      <c r="DD181" s="533" t="str">
        <f t="shared" si="412"/>
        <v/>
      </c>
      <c r="DE181" s="635">
        <f t="shared" si="471"/>
        <v>10</v>
      </c>
      <c r="DF181" s="95">
        <f t="shared" si="472"/>
        <v>10</v>
      </c>
      <c r="DG181" s="95">
        <f t="shared" si="473"/>
        <v>10</v>
      </c>
      <c r="DH181" s="95">
        <f t="shared" si="474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25"/>
        <v>25</v>
      </c>
      <c r="CA182" s="582">
        <f t="shared" si="426"/>
        <v>25</v>
      </c>
      <c r="CB182" s="582">
        <f t="shared" si="427"/>
        <v>25</v>
      </c>
      <c r="CC182" s="582">
        <f t="shared" si="428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470"/>
        <v>25</v>
      </c>
      <c r="CF182" s="989">
        <f t="shared" si="470"/>
        <v>25</v>
      </c>
      <c r="CG182" s="989">
        <f t="shared" si="470"/>
        <v>25</v>
      </c>
      <c r="CH182" s="990">
        <f t="shared" si="470"/>
        <v>25</v>
      </c>
      <c r="CI182" s="990">
        <f t="shared" si="470"/>
        <v>25</v>
      </c>
      <c r="CJ182" s="989">
        <f t="shared" si="470"/>
        <v>25</v>
      </c>
      <c r="CK182" s="989">
        <f t="shared" si="470"/>
        <v>25</v>
      </c>
      <c r="CL182" s="989">
        <f t="shared" si="470"/>
        <v>25</v>
      </c>
      <c r="CM182" s="988">
        <f t="shared" si="470"/>
        <v>25</v>
      </c>
      <c r="CN182" s="533" t="str">
        <f t="shared" si="396"/>
        <v/>
      </c>
      <c r="CO182" s="534" t="str">
        <f t="shared" si="397"/>
        <v/>
      </c>
      <c r="CP182" s="535" t="str">
        <f t="shared" si="398"/>
        <v/>
      </c>
      <c r="CQ182" s="535" t="str">
        <f t="shared" si="399"/>
        <v/>
      </c>
      <c r="CR182" s="535">
        <f t="shared" si="400"/>
        <v>25</v>
      </c>
      <c r="CS182" s="535">
        <f t="shared" si="401"/>
        <v>25</v>
      </c>
      <c r="CT182" s="535">
        <f t="shared" si="402"/>
        <v>25</v>
      </c>
      <c r="CU182" s="536">
        <f t="shared" si="403"/>
        <v>25</v>
      </c>
      <c r="CV182" s="536">
        <f t="shared" si="404"/>
        <v>25</v>
      </c>
      <c r="CW182" s="536">
        <f t="shared" si="405"/>
        <v>25</v>
      </c>
      <c r="CX182" s="535">
        <f t="shared" si="406"/>
        <v>25</v>
      </c>
      <c r="CY182" s="535">
        <f t="shared" si="407"/>
        <v>25</v>
      </c>
      <c r="CZ182" s="535">
        <f t="shared" si="408"/>
        <v>25</v>
      </c>
      <c r="DA182" s="535">
        <f t="shared" si="409"/>
        <v>25</v>
      </c>
      <c r="DB182" s="535" t="str">
        <f t="shared" si="410"/>
        <v/>
      </c>
      <c r="DC182" s="534" t="str">
        <f t="shared" si="411"/>
        <v/>
      </c>
      <c r="DD182" s="533" t="str">
        <f t="shared" si="412"/>
        <v/>
      </c>
      <c r="DE182" s="635">
        <f t="shared" si="471"/>
        <v>10</v>
      </c>
      <c r="DF182" s="95">
        <f t="shared" si="472"/>
        <v>10</v>
      </c>
      <c r="DG182" s="95">
        <f t="shared" si="473"/>
        <v>10</v>
      </c>
      <c r="DH182" s="95">
        <f t="shared" si="474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:K183" si="475">IF(OR(B182="",B$46=0,B$46=""),"",B181*B182*$K$1*1450/$G$1/365/B$46)</f>
        <v/>
      </c>
      <c r="C183" s="615" t="str">
        <f t="shared" si="475"/>
        <v/>
      </c>
      <c r="D183" s="615" t="str">
        <f t="shared" si="475"/>
        <v/>
      </c>
      <c r="E183" s="615" t="str">
        <f t="shared" si="475"/>
        <v/>
      </c>
      <c r="F183" s="615" t="str">
        <f t="shared" si="475"/>
        <v/>
      </c>
      <c r="G183" s="615" t="str">
        <f t="shared" si="475"/>
        <v/>
      </c>
      <c r="H183" s="615" t="str">
        <f t="shared" si="475"/>
        <v/>
      </c>
      <c r="I183" s="615" t="str">
        <f t="shared" si="475"/>
        <v/>
      </c>
      <c r="J183" s="615" t="str">
        <f t="shared" si="475"/>
        <v/>
      </c>
      <c r="K183" s="615" t="str">
        <f t="shared" si="475"/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:AC183" si="476">IF(OR(T182="",T$46=0,T$46=""),"",T181*T182*$K$1*1450/$G$1/365/T$46)</f>
        <v/>
      </c>
      <c r="U183" s="615" t="str">
        <f t="shared" si="476"/>
        <v/>
      </c>
      <c r="V183" s="615" t="str">
        <f t="shared" si="476"/>
        <v/>
      </c>
      <c r="W183" s="615" t="str">
        <f t="shared" si="476"/>
        <v/>
      </c>
      <c r="X183" s="615" t="str">
        <f t="shared" si="476"/>
        <v/>
      </c>
      <c r="Y183" s="615" t="str">
        <f t="shared" si="476"/>
        <v/>
      </c>
      <c r="Z183" s="615" t="str">
        <f t="shared" si="476"/>
        <v/>
      </c>
      <c r="AA183" s="615" t="str">
        <f t="shared" si="476"/>
        <v/>
      </c>
      <c r="AB183" s="615" t="str">
        <f t="shared" si="476"/>
        <v/>
      </c>
      <c r="AC183" s="615" t="str">
        <f t="shared" si="476"/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:AU183" si="477">IF(OR(AL182="",AL$46=0,AL$46=""),"",AL181*AL182*$K$1*1450/$G$1/365/AL$46)</f>
        <v/>
      </c>
      <c r="AM183" s="615" t="str">
        <f t="shared" si="477"/>
        <v/>
      </c>
      <c r="AN183" s="615" t="str">
        <f t="shared" si="477"/>
        <v/>
      </c>
      <c r="AO183" s="615" t="str">
        <f t="shared" si="477"/>
        <v/>
      </c>
      <c r="AP183" s="615" t="str">
        <f t="shared" si="477"/>
        <v/>
      </c>
      <c r="AQ183" s="615" t="str">
        <f t="shared" si="477"/>
        <v/>
      </c>
      <c r="AR183" s="615" t="str">
        <f t="shared" si="477"/>
        <v/>
      </c>
      <c r="AS183" s="615" t="str">
        <f t="shared" si="477"/>
        <v/>
      </c>
      <c r="AT183" s="615" t="str">
        <f t="shared" si="477"/>
        <v/>
      </c>
      <c r="AU183" s="615" t="str">
        <f t="shared" si="477"/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:BM183" si="478">IF(OR(BD182="",BD$46=0,BD$46=""),"",BD181*BD182*$K$1*1450/$G$1/365/BD$46)</f>
        <v/>
      </c>
      <c r="BE183" s="615" t="str">
        <f t="shared" si="478"/>
        <v/>
      </c>
      <c r="BF183" s="615" t="str">
        <f t="shared" si="478"/>
        <v/>
      </c>
      <c r="BG183" s="615" t="str">
        <f t="shared" si="478"/>
        <v/>
      </c>
      <c r="BH183" s="615" t="str">
        <f t="shared" si="478"/>
        <v/>
      </c>
      <c r="BI183" s="615" t="str">
        <f t="shared" si="478"/>
        <v/>
      </c>
      <c r="BJ183" s="615" t="str">
        <f t="shared" si="478"/>
        <v/>
      </c>
      <c r="BK183" s="615" t="str">
        <f t="shared" si="478"/>
        <v/>
      </c>
      <c r="BL183" s="615" t="str">
        <f t="shared" si="478"/>
        <v/>
      </c>
      <c r="BM183" s="615" t="str">
        <f t="shared" si="478"/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>IF(OR(BV182="",BV$46=0,BV$46=""),"",BV181*BV182*$K$1*1450/$G$1/365/BV$46)</f>
        <v/>
      </c>
      <c r="BW183" s="615" t="str">
        <f>IF(OR(BW182="",BW$46=0,BW$46=""),"",BW181*BW182*$K$1*1450/$G$1/365/BW$46)</f>
        <v/>
      </c>
      <c r="BX183" s="615" t="str">
        <f>IF(OR(BX182="",BX$46=0,BX$46=""),"",BX181*BX182*$K$1*1450/$G$1/365/BX$46)</f>
        <v/>
      </c>
      <c r="BY183" s="615" t="str">
        <f>IF(OR(BY182="",BY$46=0,BY$46=""),"",BY181*BY182*$K$1*1450/$G$1/365/BY$46)</f>
        <v/>
      </c>
      <c r="BZ183" s="582" t="str">
        <f t="shared" si="425"/>
        <v/>
      </c>
      <c r="CA183" s="607" t="str">
        <f t="shared" si="426"/>
        <v/>
      </c>
      <c r="CB183" s="607" t="str">
        <f t="shared" si="427"/>
        <v/>
      </c>
      <c r="CC183" s="607" t="str">
        <f t="shared" si="428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4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479"/>
        <v/>
      </c>
      <c r="CG183" s="992" t="str">
        <f t="shared" si="479"/>
        <v/>
      </c>
      <c r="CH183" s="993" t="str">
        <f t="shared" si="479"/>
        <v/>
      </c>
      <c r="CI183" s="993" t="str">
        <f t="shared" si="479"/>
        <v/>
      </c>
      <c r="CJ183" s="992" t="str">
        <f t="shared" si="479"/>
        <v/>
      </c>
      <c r="CK183" s="992" t="str">
        <f t="shared" si="479"/>
        <v/>
      </c>
      <c r="CL183" s="992" t="str">
        <f t="shared" si="479"/>
        <v/>
      </c>
      <c r="CM183" s="991" t="str">
        <f t="shared" si="479"/>
        <v/>
      </c>
      <c r="CN183" s="521" t="str">
        <f t="shared" si="396"/>
        <v/>
      </c>
      <c r="CO183" s="522" t="str">
        <f t="shared" si="397"/>
        <v/>
      </c>
      <c r="CP183" s="523" t="str">
        <f t="shared" si="398"/>
        <v/>
      </c>
      <c r="CQ183" s="523" t="str">
        <f t="shared" si="399"/>
        <v/>
      </c>
      <c r="CR183" s="523" t="str">
        <f t="shared" si="400"/>
        <v/>
      </c>
      <c r="CS183" s="523" t="str">
        <f t="shared" si="401"/>
        <v/>
      </c>
      <c r="CT183" s="523" t="str">
        <f t="shared" si="402"/>
        <v/>
      </c>
      <c r="CU183" s="524" t="str">
        <f t="shared" si="403"/>
        <v/>
      </c>
      <c r="CV183" s="524" t="str">
        <f t="shared" si="404"/>
        <v/>
      </c>
      <c r="CW183" s="524" t="str">
        <f t="shared" si="405"/>
        <v/>
      </c>
      <c r="CX183" s="523" t="str">
        <f t="shared" si="406"/>
        <v/>
      </c>
      <c r="CY183" s="523" t="str">
        <f t="shared" si="407"/>
        <v/>
      </c>
      <c r="CZ183" s="523" t="str">
        <f t="shared" si="408"/>
        <v/>
      </c>
      <c r="DA183" s="523" t="str">
        <f t="shared" si="409"/>
        <v/>
      </c>
      <c r="DB183" s="523" t="str">
        <f t="shared" si="410"/>
        <v/>
      </c>
      <c r="DC183" s="522" t="str">
        <f t="shared" si="411"/>
        <v/>
      </c>
      <c r="DD183" s="521" t="str">
        <f t="shared" si="412"/>
        <v/>
      </c>
      <c r="DE183" s="635">
        <f t="shared" si="471"/>
        <v>0</v>
      </c>
      <c r="DF183" s="95">
        <f t="shared" si="472"/>
        <v>0</v>
      </c>
      <c r="DG183" s="95">
        <f t="shared" si="473"/>
        <v>0</v>
      </c>
      <c r="DH183" s="95">
        <f t="shared" si="474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25"/>
        <v/>
      </c>
      <c r="CA184" s="582" t="str">
        <f t="shared" si="426"/>
        <v/>
      </c>
      <c r="CB184" s="582" t="str">
        <f t="shared" si="427"/>
        <v/>
      </c>
      <c r="CC184" s="582" t="str">
        <f t="shared" si="428"/>
        <v/>
      </c>
      <c r="CD184" s="988" t="str">
        <f t="shared" si="386"/>
        <v/>
      </c>
      <c r="CE184" s="989" t="str">
        <f t="shared" si="387"/>
        <v/>
      </c>
      <c r="CF184" s="989" t="str">
        <f t="shared" si="388"/>
        <v/>
      </c>
      <c r="CG184" s="989" t="str">
        <f t="shared" si="389"/>
        <v/>
      </c>
      <c r="CH184" s="990" t="str">
        <f t="shared" si="390"/>
        <v/>
      </c>
      <c r="CI184" s="990" t="str">
        <f t="shared" si="391"/>
        <v/>
      </c>
      <c r="CJ184" s="989" t="str">
        <f t="shared" si="392"/>
        <v/>
      </c>
      <c r="CK184" s="989" t="str">
        <f t="shared" si="393"/>
        <v/>
      </c>
      <c r="CL184" s="989" t="str">
        <f t="shared" si="394"/>
        <v/>
      </c>
      <c r="CM184" s="988" t="str">
        <f t="shared" si="395"/>
        <v/>
      </c>
      <c r="CN184" s="533" t="str">
        <f t="shared" si="396"/>
        <v/>
      </c>
      <c r="CO184" s="534" t="str">
        <f t="shared" si="397"/>
        <v/>
      </c>
      <c r="CP184" s="535" t="str">
        <f t="shared" si="398"/>
        <v/>
      </c>
      <c r="CQ184" s="535" t="str">
        <f t="shared" si="399"/>
        <v/>
      </c>
      <c r="CR184" s="535" t="str">
        <f t="shared" si="400"/>
        <v/>
      </c>
      <c r="CS184" s="535" t="str">
        <f t="shared" si="401"/>
        <v/>
      </c>
      <c r="CT184" s="535" t="str">
        <f t="shared" si="402"/>
        <v/>
      </c>
      <c r="CU184" s="536" t="str">
        <f t="shared" si="403"/>
        <v/>
      </c>
      <c r="CV184" s="536" t="str">
        <f t="shared" si="404"/>
        <v/>
      </c>
      <c r="CW184" s="536" t="str">
        <f t="shared" si="405"/>
        <v/>
      </c>
      <c r="CX184" s="535" t="str">
        <f t="shared" si="406"/>
        <v/>
      </c>
      <c r="CY184" s="535" t="str">
        <f t="shared" si="407"/>
        <v/>
      </c>
      <c r="CZ184" s="535" t="str">
        <f t="shared" si="408"/>
        <v/>
      </c>
      <c r="DA184" s="535" t="str">
        <f t="shared" si="409"/>
        <v/>
      </c>
      <c r="DB184" s="535" t="str">
        <f t="shared" si="410"/>
        <v/>
      </c>
      <c r="DC184" s="534" t="str">
        <f t="shared" si="411"/>
        <v/>
      </c>
      <c r="DD184" s="533" t="str">
        <f t="shared" si="412"/>
        <v/>
      </c>
      <c r="DE184" s="635">
        <f t="shared" si="471"/>
        <v>0</v>
      </c>
      <c r="DF184" s="95">
        <f t="shared" si="472"/>
        <v>0</v>
      </c>
      <c r="DG184" s="95">
        <f t="shared" si="473"/>
        <v>0</v>
      </c>
      <c r="DH184" s="95">
        <f t="shared" si="474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25"/>
        <v/>
      </c>
      <c r="CA185" s="582" t="str">
        <f t="shared" si="426"/>
        <v/>
      </c>
      <c r="CB185" s="582" t="str">
        <f t="shared" si="427"/>
        <v/>
      </c>
      <c r="CC185" s="582" t="str">
        <f t="shared" si="428"/>
        <v/>
      </c>
      <c r="CD185" s="988" t="str">
        <f t="shared" si="386"/>
        <v/>
      </c>
      <c r="CE185" s="989" t="str">
        <f t="shared" si="387"/>
        <v/>
      </c>
      <c r="CF185" s="989" t="str">
        <f t="shared" si="388"/>
        <v/>
      </c>
      <c r="CG185" s="989" t="str">
        <f t="shared" si="389"/>
        <v/>
      </c>
      <c r="CH185" s="990" t="str">
        <f t="shared" si="390"/>
        <v/>
      </c>
      <c r="CI185" s="990" t="str">
        <f t="shared" si="391"/>
        <v/>
      </c>
      <c r="CJ185" s="989" t="str">
        <f t="shared" si="392"/>
        <v/>
      </c>
      <c r="CK185" s="989" t="str">
        <f t="shared" si="393"/>
        <v/>
      </c>
      <c r="CL185" s="989" t="str">
        <f t="shared" si="394"/>
        <v/>
      </c>
      <c r="CM185" s="988" t="str">
        <f t="shared" si="395"/>
        <v/>
      </c>
      <c r="CN185" s="533" t="str">
        <f t="shared" si="396"/>
        <v/>
      </c>
      <c r="CO185" s="534" t="str">
        <f t="shared" si="397"/>
        <v/>
      </c>
      <c r="CP185" s="535" t="str">
        <f t="shared" si="398"/>
        <v/>
      </c>
      <c r="CQ185" s="535" t="str">
        <f t="shared" si="399"/>
        <v/>
      </c>
      <c r="CR185" s="535" t="str">
        <f t="shared" si="400"/>
        <v/>
      </c>
      <c r="CS185" s="535" t="str">
        <f t="shared" si="401"/>
        <v/>
      </c>
      <c r="CT185" s="535" t="str">
        <f t="shared" si="402"/>
        <v/>
      </c>
      <c r="CU185" s="536" t="str">
        <f t="shared" si="403"/>
        <v/>
      </c>
      <c r="CV185" s="536" t="str">
        <f t="shared" si="404"/>
        <v/>
      </c>
      <c r="CW185" s="536" t="str">
        <f t="shared" si="405"/>
        <v/>
      </c>
      <c r="CX185" s="535" t="str">
        <f t="shared" si="406"/>
        <v/>
      </c>
      <c r="CY185" s="535" t="str">
        <f t="shared" si="407"/>
        <v/>
      </c>
      <c r="CZ185" s="535" t="str">
        <f t="shared" si="408"/>
        <v/>
      </c>
      <c r="DA185" s="535" t="str">
        <f t="shared" si="409"/>
        <v/>
      </c>
      <c r="DB185" s="535" t="str">
        <f t="shared" si="410"/>
        <v/>
      </c>
      <c r="DC185" s="534" t="str">
        <f t="shared" si="411"/>
        <v/>
      </c>
      <c r="DD185" s="533" t="str">
        <f t="shared" si="412"/>
        <v/>
      </c>
      <c r="DE185" s="635">
        <f t="shared" si="471"/>
        <v>0</v>
      </c>
      <c r="DF185" s="95">
        <f t="shared" si="472"/>
        <v>0</v>
      </c>
      <c r="DG185" s="95">
        <f t="shared" si="473"/>
        <v>0</v>
      </c>
      <c r="DH185" s="95">
        <f t="shared" si="474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480">IF(B184="","",B184*B185)</f>
        <v/>
      </c>
      <c r="C186" s="592" t="str">
        <f t="shared" si="480"/>
        <v/>
      </c>
      <c r="D186" s="592" t="str">
        <f t="shared" si="480"/>
        <v/>
      </c>
      <c r="E186" s="592" t="str">
        <f t="shared" si="480"/>
        <v/>
      </c>
      <c r="F186" s="592" t="str">
        <f t="shared" si="480"/>
        <v/>
      </c>
      <c r="G186" s="592" t="str">
        <f t="shared" si="480"/>
        <v/>
      </c>
      <c r="H186" s="592" t="str">
        <f t="shared" si="480"/>
        <v/>
      </c>
      <c r="I186" s="592" t="str">
        <f t="shared" si="480"/>
        <v/>
      </c>
      <c r="J186" s="592" t="str">
        <f t="shared" si="480"/>
        <v/>
      </c>
      <c r="K186" s="592" t="str">
        <f t="shared" si="48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481">IF(T184="","",T184*T185)</f>
        <v/>
      </c>
      <c r="U186" s="592" t="str">
        <f t="shared" si="481"/>
        <v/>
      </c>
      <c r="V186" s="592" t="str">
        <f t="shared" si="481"/>
        <v/>
      </c>
      <c r="W186" s="592" t="str">
        <f t="shared" si="481"/>
        <v/>
      </c>
      <c r="X186" s="592" t="str">
        <f t="shared" si="481"/>
        <v/>
      </c>
      <c r="Y186" s="592" t="str">
        <f t="shared" si="481"/>
        <v/>
      </c>
      <c r="Z186" s="592" t="str">
        <f t="shared" si="481"/>
        <v/>
      </c>
      <c r="AA186" s="592" t="str">
        <f t="shared" si="481"/>
        <v/>
      </c>
      <c r="AB186" s="592" t="str">
        <f t="shared" si="481"/>
        <v/>
      </c>
      <c r="AC186" s="592" t="str">
        <f t="shared" si="48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482">IF(AL184="","",AL184*AL185)</f>
        <v/>
      </c>
      <c r="AM186" s="592" t="str">
        <f t="shared" si="482"/>
        <v/>
      </c>
      <c r="AN186" s="592" t="str">
        <f t="shared" si="482"/>
        <v/>
      </c>
      <c r="AO186" s="592" t="str">
        <f t="shared" si="482"/>
        <v/>
      </c>
      <c r="AP186" s="592" t="str">
        <f t="shared" si="482"/>
        <v/>
      </c>
      <c r="AQ186" s="592" t="str">
        <f t="shared" si="482"/>
        <v/>
      </c>
      <c r="AR186" s="592" t="str">
        <f t="shared" si="482"/>
        <v/>
      </c>
      <c r="AS186" s="592" t="str">
        <f t="shared" si="482"/>
        <v/>
      </c>
      <c r="AT186" s="592" t="str">
        <f t="shared" si="48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25"/>
        <v/>
      </c>
      <c r="CA186" s="582" t="str">
        <f t="shared" si="426"/>
        <v/>
      </c>
      <c r="CB186" s="582" t="str">
        <f t="shared" si="427"/>
        <v/>
      </c>
      <c r="CC186" s="582" t="str">
        <f t="shared" si="428"/>
        <v/>
      </c>
      <c r="CD186" s="988" t="str">
        <f t="shared" si="386"/>
        <v/>
      </c>
      <c r="CE186" s="989" t="str">
        <f t="shared" si="387"/>
        <v/>
      </c>
      <c r="CF186" s="989" t="str">
        <f t="shared" si="388"/>
        <v/>
      </c>
      <c r="CG186" s="989" t="str">
        <f t="shared" si="389"/>
        <v/>
      </c>
      <c r="CH186" s="990" t="str">
        <f t="shared" si="390"/>
        <v/>
      </c>
      <c r="CI186" s="990" t="str">
        <f t="shared" si="391"/>
        <v/>
      </c>
      <c r="CJ186" s="989" t="str">
        <f t="shared" si="392"/>
        <v/>
      </c>
      <c r="CK186" s="989" t="str">
        <f t="shared" si="393"/>
        <v/>
      </c>
      <c r="CL186" s="989" t="str">
        <f t="shared" si="394"/>
        <v/>
      </c>
      <c r="CM186" s="988" t="str">
        <f t="shared" si="395"/>
        <v/>
      </c>
      <c r="CN186" s="533" t="str">
        <f t="shared" si="396"/>
        <v/>
      </c>
      <c r="CO186" s="534" t="str">
        <f t="shared" si="397"/>
        <v/>
      </c>
      <c r="CP186" s="535" t="str">
        <f t="shared" si="398"/>
        <v/>
      </c>
      <c r="CQ186" s="535" t="str">
        <f t="shared" si="399"/>
        <v/>
      </c>
      <c r="CR186" s="535" t="str">
        <f t="shared" si="400"/>
        <v/>
      </c>
      <c r="CS186" s="535" t="str">
        <f t="shared" si="401"/>
        <v/>
      </c>
      <c r="CT186" s="535" t="str">
        <f t="shared" si="402"/>
        <v/>
      </c>
      <c r="CU186" s="536" t="str">
        <f t="shared" si="403"/>
        <v/>
      </c>
      <c r="CV186" s="536" t="str">
        <f t="shared" si="404"/>
        <v/>
      </c>
      <c r="CW186" s="536" t="str">
        <f t="shared" si="405"/>
        <v/>
      </c>
      <c r="CX186" s="535" t="str">
        <f t="shared" si="406"/>
        <v/>
      </c>
      <c r="CY186" s="535" t="str">
        <f t="shared" si="407"/>
        <v/>
      </c>
      <c r="CZ186" s="535" t="str">
        <f t="shared" si="408"/>
        <v/>
      </c>
      <c r="DA186" s="535" t="str">
        <f t="shared" si="409"/>
        <v/>
      </c>
      <c r="DB186" s="535" t="str">
        <f t="shared" si="410"/>
        <v/>
      </c>
      <c r="DC186" s="534" t="str">
        <f t="shared" si="411"/>
        <v/>
      </c>
      <c r="DD186" s="533" t="str">
        <f t="shared" si="412"/>
        <v/>
      </c>
      <c r="DE186" s="635">
        <f t="shared" si="471"/>
        <v>0</v>
      </c>
      <c r="DF186" s="95">
        <f t="shared" si="472"/>
        <v>0</v>
      </c>
      <c r="DG186" s="95">
        <f t="shared" si="473"/>
        <v>0</v>
      </c>
      <c r="DH186" s="95">
        <f t="shared" si="474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25"/>
        <v/>
      </c>
      <c r="CA187" s="582" t="str">
        <f t="shared" si="426"/>
        <v/>
      </c>
      <c r="CB187" s="582" t="str">
        <f t="shared" si="427"/>
        <v/>
      </c>
      <c r="CC187" s="582" t="str">
        <f t="shared" si="428"/>
        <v/>
      </c>
      <c r="CD187" s="988" t="str">
        <f t="shared" si="386"/>
        <v/>
      </c>
      <c r="CE187" s="989" t="str">
        <f t="shared" si="387"/>
        <v/>
      </c>
      <c r="CF187" s="989" t="str">
        <f t="shared" si="388"/>
        <v/>
      </c>
      <c r="CG187" s="989" t="str">
        <f t="shared" si="389"/>
        <v/>
      </c>
      <c r="CH187" s="990" t="str">
        <f t="shared" si="390"/>
        <v/>
      </c>
      <c r="CI187" s="990" t="str">
        <f t="shared" si="391"/>
        <v/>
      </c>
      <c r="CJ187" s="989" t="str">
        <f t="shared" si="392"/>
        <v/>
      </c>
      <c r="CK187" s="989" t="str">
        <f t="shared" si="393"/>
        <v/>
      </c>
      <c r="CL187" s="989" t="str">
        <f t="shared" si="394"/>
        <v/>
      </c>
      <c r="CM187" s="988" t="str">
        <f t="shared" si="395"/>
        <v/>
      </c>
      <c r="CN187" s="533" t="str">
        <f t="shared" si="396"/>
        <v/>
      </c>
      <c r="CO187" s="534" t="str">
        <f t="shared" si="397"/>
        <v/>
      </c>
      <c r="CP187" s="535" t="str">
        <f t="shared" si="398"/>
        <v/>
      </c>
      <c r="CQ187" s="535" t="str">
        <f t="shared" si="399"/>
        <v/>
      </c>
      <c r="CR187" s="535" t="str">
        <f t="shared" si="400"/>
        <v/>
      </c>
      <c r="CS187" s="535" t="str">
        <f t="shared" si="401"/>
        <v/>
      </c>
      <c r="CT187" s="535" t="str">
        <f t="shared" si="402"/>
        <v/>
      </c>
      <c r="CU187" s="536" t="str">
        <f t="shared" si="403"/>
        <v/>
      </c>
      <c r="CV187" s="536" t="str">
        <f t="shared" si="404"/>
        <v/>
      </c>
      <c r="CW187" s="536" t="str">
        <f t="shared" si="405"/>
        <v/>
      </c>
      <c r="CX187" s="535" t="str">
        <f t="shared" si="406"/>
        <v/>
      </c>
      <c r="CY187" s="535" t="str">
        <f t="shared" si="407"/>
        <v/>
      </c>
      <c r="CZ187" s="535" t="str">
        <f t="shared" si="408"/>
        <v/>
      </c>
      <c r="DA187" s="535" t="str">
        <f t="shared" si="409"/>
        <v/>
      </c>
      <c r="DB187" s="535" t="str">
        <f t="shared" si="410"/>
        <v/>
      </c>
      <c r="DC187" s="534" t="str">
        <f t="shared" si="411"/>
        <v/>
      </c>
      <c r="DD187" s="533" t="str">
        <f t="shared" si="412"/>
        <v/>
      </c>
      <c r="DE187" s="635">
        <f t="shared" si="471"/>
        <v>0</v>
      </c>
      <c r="DF187" s="95">
        <f t="shared" si="472"/>
        <v>0</v>
      </c>
      <c r="DG187" s="95">
        <f t="shared" si="473"/>
        <v>0</v>
      </c>
      <c r="DH187" s="95">
        <f t="shared" si="474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25"/>
        <v/>
      </c>
      <c r="CA188" s="582" t="str">
        <f t="shared" si="426"/>
        <v/>
      </c>
      <c r="CB188" s="582" t="str">
        <f t="shared" si="427"/>
        <v/>
      </c>
      <c r="CC188" s="582" t="str">
        <f t="shared" si="428"/>
        <v/>
      </c>
      <c r="CD188" s="988" t="str">
        <f t="shared" si="386"/>
        <v/>
      </c>
      <c r="CE188" s="989" t="str">
        <f t="shared" si="387"/>
        <v/>
      </c>
      <c r="CF188" s="989" t="str">
        <f t="shared" si="388"/>
        <v/>
      </c>
      <c r="CG188" s="989" t="str">
        <f t="shared" si="389"/>
        <v/>
      </c>
      <c r="CH188" s="990" t="str">
        <f t="shared" si="390"/>
        <v/>
      </c>
      <c r="CI188" s="990" t="str">
        <f t="shared" si="391"/>
        <v/>
      </c>
      <c r="CJ188" s="989" t="str">
        <f t="shared" si="392"/>
        <v/>
      </c>
      <c r="CK188" s="989" t="str">
        <f t="shared" si="393"/>
        <v/>
      </c>
      <c r="CL188" s="989" t="str">
        <f t="shared" si="394"/>
        <v/>
      </c>
      <c r="CM188" s="988" t="str">
        <f t="shared" si="395"/>
        <v/>
      </c>
      <c r="CN188" s="533" t="str">
        <f t="shared" si="396"/>
        <v/>
      </c>
      <c r="CO188" s="534" t="str">
        <f t="shared" si="397"/>
        <v/>
      </c>
      <c r="CP188" s="535" t="str">
        <f t="shared" si="398"/>
        <v/>
      </c>
      <c r="CQ188" s="535" t="str">
        <f t="shared" si="399"/>
        <v/>
      </c>
      <c r="CR188" s="535" t="str">
        <f t="shared" si="400"/>
        <v/>
      </c>
      <c r="CS188" s="535" t="str">
        <f t="shared" si="401"/>
        <v/>
      </c>
      <c r="CT188" s="535" t="str">
        <f t="shared" si="402"/>
        <v/>
      </c>
      <c r="CU188" s="536" t="str">
        <f t="shared" si="403"/>
        <v/>
      </c>
      <c r="CV188" s="536" t="str">
        <f t="shared" si="404"/>
        <v/>
      </c>
      <c r="CW188" s="536" t="str">
        <f t="shared" si="405"/>
        <v/>
      </c>
      <c r="CX188" s="535" t="str">
        <f t="shared" si="406"/>
        <v/>
      </c>
      <c r="CY188" s="535" t="str">
        <f t="shared" si="407"/>
        <v/>
      </c>
      <c r="CZ188" s="535" t="str">
        <f t="shared" si="408"/>
        <v/>
      </c>
      <c r="DA188" s="535" t="str">
        <f t="shared" si="409"/>
        <v/>
      </c>
      <c r="DB188" s="535" t="str">
        <f t="shared" si="410"/>
        <v/>
      </c>
      <c r="DC188" s="534" t="str">
        <f t="shared" si="411"/>
        <v/>
      </c>
      <c r="DD188" s="533" t="str">
        <f t="shared" si="412"/>
        <v/>
      </c>
      <c r="DE188" s="635">
        <f t="shared" si="471"/>
        <v>0</v>
      </c>
      <c r="DF188" s="95">
        <f t="shared" si="472"/>
        <v>0</v>
      </c>
      <c r="DG188" s="95">
        <f t="shared" si="473"/>
        <v>0</v>
      </c>
      <c r="DH188" s="95">
        <f t="shared" si="474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483">IF(B187="","",B187*B188)</f>
        <v/>
      </c>
      <c r="C189" s="592" t="str">
        <f t="shared" si="483"/>
        <v/>
      </c>
      <c r="D189" s="592" t="str">
        <f t="shared" si="483"/>
        <v/>
      </c>
      <c r="E189" s="592" t="str">
        <f t="shared" si="483"/>
        <v/>
      </c>
      <c r="F189" s="592" t="str">
        <f t="shared" si="483"/>
        <v/>
      </c>
      <c r="G189" s="592" t="str">
        <f t="shared" si="483"/>
        <v/>
      </c>
      <c r="H189" s="592" t="str">
        <f t="shared" si="483"/>
        <v/>
      </c>
      <c r="I189" s="592" t="str">
        <f t="shared" si="483"/>
        <v/>
      </c>
      <c r="J189" s="592" t="str">
        <f t="shared" si="483"/>
        <v/>
      </c>
      <c r="K189" s="592" t="str">
        <f t="shared" si="48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484">IF(T187="","",T187*T188)</f>
        <v/>
      </c>
      <c r="U189" s="592" t="str">
        <f t="shared" si="484"/>
        <v/>
      </c>
      <c r="V189" s="592" t="str">
        <f t="shared" si="484"/>
        <v/>
      </c>
      <c r="W189" s="592" t="str">
        <f t="shared" si="484"/>
        <v/>
      </c>
      <c r="X189" s="592" t="str">
        <f t="shared" si="484"/>
        <v/>
      </c>
      <c r="Y189" s="592" t="str">
        <f t="shared" si="484"/>
        <v/>
      </c>
      <c r="Z189" s="592" t="str">
        <f t="shared" si="484"/>
        <v/>
      </c>
      <c r="AA189" s="592" t="str">
        <f t="shared" si="484"/>
        <v/>
      </c>
      <c r="AB189" s="592" t="str">
        <f t="shared" si="484"/>
        <v/>
      </c>
      <c r="AC189" s="592" t="str">
        <f t="shared" si="48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485">IF(AL187="","",AL187*AL188)</f>
        <v/>
      </c>
      <c r="AM189" s="592" t="str">
        <f t="shared" si="485"/>
        <v/>
      </c>
      <c r="AN189" s="592" t="str">
        <f t="shared" si="485"/>
        <v/>
      </c>
      <c r="AO189" s="592" t="str">
        <f t="shared" si="485"/>
        <v/>
      </c>
      <c r="AP189" s="592" t="str">
        <f t="shared" si="485"/>
        <v/>
      </c>
      <c r="AQ189" s="592" t="str">
        <f t="shared" si="485"/>
        <v/>
      </c>
      <c r="AR189" s="592" t="str">
        <f t="shared" si="485"/>
        <v/>
      </c>
      <c r="AS189" s="592" t="str">
        <f t="shared" si="485"/>
        <v/>
      </c>
      <c r="AT189" s="592" t="str">
        <f t="shared" si="48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25"/>
        <v/>
      </c>
      <c r="CA189" s="582" t="str">
        <f t="shared" si="426"/>
        <v/>
      </c>
      <c r="CB189" s="582" t="str">
        <f t="shared" si="427"/>
        <v/>
      </c>
      <c r="CC189" s="582" t="str">
        <f t="shared" si="428"/>
        <v/>
      </c>
      <c r="CD189" s="988" t="str">
        <f t="shared" si="386"/>
        <v/>
      </c>
      <c r="CE189" s="989" t="str">
        <f t="shared" si="387"/>
        <v/>
      </c>
      <c r="CF189" s="989" t="str">
        <f t="shared" si="388"/>
        <v/>
      </c>
      <c r="CG189" s="989" t="str">
        <f t="shared" si="389"/>
        <v/>
      </c>
      <c r="CH189" s="990" t="str">
        <f t="shared" si="390"/>
        <v/>
      </c>
      <c r="CI189" s="990" t="str">
        <f t="shared" si="391"/>
        <v/>
      </c>
      <c r="CJ189" s="989" t="str">
        <f t="shared" si="392"/>
        <v/>
      </c>
      <c r="CK189" s="989" t="str">
        <f t="shared" si="393"/>
        <v/>
      </c>
      <c r="CL189" s="989" t="str">
        <f t="shared" si="394"/>
        <v/>
      </c>
      <c r="CM189" s="988" t="str">
        <f t="shared" si="395"/>
        <v/>
      </c>
      <c r="CN189" s="533" t="str">
        <f t="shared" si="396"/>
        <v/>
      </c>
      <c r="CO189" s="534" t="str">
        <f t="shared" si="397"/>
        <v/>
      </c>
      <c r="CP189" s="535" t="str">
        <f t="shared" si="398"/>
        <v/>
      </c>
      <c r="CQ189" s="535" t="str">
        <f t="shared" si="399"/>
        <v/>
      </c>
      <c r="CR189" s="535" t="str">
        <f t="shared" si="400"/>
        <v/>
      </c>
      <c r="CS189" s="535" t="str">
        <f t="shared" si="401"/>
        <v/>
      </c>
      <c r="CT189" s="535" t="str">
        <f t="shared" si="402"/>
        <v/>
      </c>
      <c r="CU189" s="536" t="str">
        <f t="shared" si="403"/>
        <v/>
      </c>
      <c r="CV189" s="536" t="str">
        <f t="shared" si="404"/>
        <v/>
      </c>
      <c r="CW189" s="536" t="str">
        <f t="shared" si="405"/>
        <v/>
      </c>
      <c r="CX189" s="535" t="str">
        <f t="shared" si="406"/>
        <v/>
      </c>
      <c r="CY189" s="535" t="str">
        <f t="shared" si="407"/>
        <v/>
      </c>
      <c r="CZ189" s="535" t="str">
        <f t="shared" si="408"/>
        <v/>
      </c>
      <c r="DA189" s="535" t="str">
        <f t="shared" si="409"/>
        <v/>
      </c>
      <c r="DB189" s="535" t="str">
        <f t="shared" si="410"/>
        <v/>
      </c>
      <c r="DC189" s="534" t="str">
        <f t="shared" si="411"/>
        <v/>
      </c>
      <c r="DD189" s="533" t="str">
        <f t="shared" si="412"/>
        <v/>
      </c>
      <c r="DE189" s="635">
        <f t="shared" si="471"/>
        <v>0</v>
      </c>
      <c r="DF189" s="95">
        <f t="shared" si="472"/>
        <v>0</v>
      </c>
      <c r="DG189" s="95">
        <f t="shared" si="473"/>
        <v>0</v>
      </c>
      <c r="DH189" s="95">
        <f t="shared" si="474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486">IF(SUM(B51)=0,"",(B175+B184+B187)/B51)</f>
        <v/>
      </c>
      <c r="C190" s="605" t="str">
        <f t="shared" si="486"/>
        <v/>
      </c>
      <c r="D190" s="605" t="str">
        <f t="shared" si="486"/>
        <v/>
      </c>
      <c r="E190" s="605" t="str">
        <f t="shared" si="486"/>
        <v/>
      </c>
      <c r="F190" s="605" t="str">
        <f t="shared" si="486"/>
        <v/>
      </c>
      <c r="G190" s="605" t="str">
        <f t="shared" si="486"/>
        <v/>
      </c>
      <c r="H190" s="605" t="str">
        <f t="shared" si="486"/>
        <v/>
      </c>
      <c r="I190" s="605" t="str">
        <f t="shared" si="486"/>
        <v/>
      </c>
      <c r="J190" s="605" t="str">
        <f t="shared" si="486"/>
        <v/>
      </c>
      <c r="K190" s="605" t="str">
        <f t="shared" si="48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487">IF(SUM(T51)=0,"",(T175+T184+T187)/T51)</f>
        <v/>
      </c>
      <c r="U190" s="605" t="str">
        <f t="shared" si="487"/>
        <v/>
      </c>
      <c r="V190" s="605" t="str">
        <f t="shared" si="487"/>
        <v/>
      </c>
      <c r="W190" s="605" t="str">
        <f t="shared" si="487"/>
        <v/>
      </c>
      <c r="X190" s="605" t="str">
        <f t="shared" si="487"/>
        <v/>
      </c>
      <c r="Y190" s="605" t="str">
        <f t="shared" si="487"/>
        <v/>
      </c>
      <c r="Z190" s="605" t="str">
        <f t="shared" si="487"/>
        <v/>
      </c>
      <c r="AA190" s="605" t="str">
        <f t="shared" si="487"/>
        <v/>
      </c>
      <c r="AB190" s="605" t="str">
        <f t="shared" si="487"/>
        <v/>
      </c>
      <c r="AC190" s="605" t="str">
        <f t="shared" si="48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488">IF(SUM(AL51)=0,"",(AL175+AL184+AL187)/AL51)</f>
        <v/>
      </c>
      <c r="AM190" s="605" t="str">
        <f t="shared" si="488"/>
        <v/>
      </c>
      <c r="AN190" s="605" t="str">
        <f t="shared" si="488"/>
        <v/>
      </c>
      <c r="AO190" s="605" t="str">
        <f t="shared" si="488"/>
        <v/>
      </c>
      <c r="AP190" s="605" t="str">
        <f t="shared" si="488"/>
        <v/>
      </c>
      <c r="AQ190" s="605" t="str">
        <f t="shared" si="488"/>
        <v/>
      </c>
      <c r="AR190" s="605" t="str">
        <f t="shared" si="488"/>
        <v/>
      </c>
      <c r="AS190" s="605" t="str">
        <f t="shared" si="488"/>
        <v/>
      </c>
      <c r="AT190" s="605" t="str">
        <f t="shared" si="48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25"/>
        <v/>
      </c>
      <c r="CA190" s="582" t="str">
        <f t="shared" si="426"/>
        <v/>
      </c>
      <c r="CB190" s="582" t="str">
        <f t="shared" si="427"/>
        <v/>
      </c>
      <c r="CC190" s="582" t="str">
        <f t="shared" si="428"/>
        <v/>
      </c>
      <c r="CD190" s="991" t="str">
        <f t="shared" si="386"/>
        <v/>
      </c>
      <c r="CE190" s="992" t="str">
        <f t="shared" si="387"/>
        <v/>
      </c>
      <c r="CF190" s="992" t="str">
        <f t="shared" si="388"/>
        <v/>
      </c>
      <c r="CG190" s="992" t="str">
        <f t="shared" si="389"/>
        <v/>
      </c>
      <c r="CH190" s="993" t="str">
        <f t="shared" si="390"/>
        <v/>
      </c>
      <c r="CI190" s="993" t="str">
        <f t="shared" si="391"/>
        <v/>
      </c>
      <c r="CJ190" s="992" t="str">
        <f t="shared" si="392"/>
        <v/>
      </c>
      <c r="CK190" s="992" t="str">
        <f t="shared" si="393"/>
        <v/>
      </c>
      <c r="CL190" s="992" t="str">
        <f t="shared" si="394"/>
        <v/>
      </c>
      <c r="CM190" s="991" t="str">
        <f t="shared" si="395"/>
        <v/>
      </c>
      <c r="CN190" s="521" t="str">
        <f t="shared" si="396"/>
        <v/>
      </c>
      <c r="CO190" s="522" t="str">
        <f t="shared" si="397"/>
        <v/>
      </c>
      <c r="CP190" s="523" t="str">
        <f t="shared" si="398"/>
        <v/>
      </c>
      <c r="CQ190" s="523" t="str">
        <f t="shared" si="399"/>
        <v/>
      </c>
      <c r="CR190" s="523" t="str">
        <f t="shared" si="400"/>
        <v/>
      </c>
      <c r="CS190" s="523" t="str">
        <f t="shared" si="401"/>
        <v/>
      </c>
      <c r="CT190" s="523" t="str">
        <f t="shared" si="402"/>
        <v/>
      </c>
      <c r="CU190" s="524" t="str">
        <f t="shared" si="403"/>
        <v/>
      </c>
      <c r="CV190" s="524" t="str">
        <f t="shared" si="404"/>
        <v/>
      </c>
      <c r="CW190" s="524" t="str">
        <f t="shared" si="405"/>
        <v/>
      </c>
      <c r="CX190" s="523" t="str">
        <f t="shared" si="406"/>
        <v/>
      </c>
      <c r="CY190" s="523" t="str">
        <f t="shared" si="407"/>
        <v/>
      </c>
      <c r="CZ190" s="523" t="str">
        <f t="shared" si="408"/>
        <v/>
      </c>
      <c r="DA190" s="523" t="str">
        <f t="shared" si="409"/>
        <v/>
      </c>
      <c r="DB190" s="523" t="str">
        <f t="shared" si="410"/>
        <v/>
      </c>
      <c r="DC190" s="522" t="str">
        <f t="shared" si="411"/>
        <v/>
      </c>
      <c r="DD190" s="521" t="str">
        <f t="shared" si="412"/>
        <v/>
      </c>
      <c r="DE190" s="635">
        <f t="shared" si="471"/>
        <v>0</v>
      </c>
      <c r="DF190" s="95">
        <f t="shared" si="472"/>
        <v>0</v>
      </c>
      <c r="DG190" s="95">
        <f t="shared" si="473"/>
        <v>0</v>
      </c>
      <c r="DH190" s="95">
        <f t="shared" si="474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25"/>
        <v/>
      </c>
      <c r="CA191" s="582" t="str">
        <f t="shared" si="426"/>
        <v/>
      </c>
      <c r="CB191" s="582" t="str">
        <f t="shared" si="427"/>
        <v/>
      </c>
      <c r="CC191" s="582" t="str">
        <f t="shared" si="428"/>
        <v/>
      </c>
      <c r="CD191" s="988" t="str">
        <f t="shared" ref="CD191:CM200" si="48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489"/>
        <v/>
      </c>
      <c r="CF191" s="989" t="str">
        <f t="shared" si="489"/>
        <v/>
      </c>
      <c r="CG191" s="989" t="str">
        <f t="shared" si="489"/>
        <v/>
      </c>
      <c r="CH191" s="990" t="str">
        <f t="shared" si="489"/>
        <v/>
      </c>
      <c r="CI191" s="990" t="str">
        <f t="shared" si="489"/>
        <v/>
      </c>
      <c r="CJ191" s="989" t="str">
        <f t="shared" si="489"/>
        <v/>
      </c>
      <c r="CK191" s="989" t="str">
        <f t="shared" si="489"/>
        <v/>
      </c>
      <c r="CL191" s="989" t="str">
        <f t="shared" si="489"/>
        <v/>
      </c>
      <c r="CM191" s="988" t="str">
        <f t="shared" si="489"/>
        <v/>
      </c>
      <c r="CN191" s="533" t="str">
        <f t="shared" si="396"/>
        <v/>
      </c>
      <c r="CO191" s="534" t="str">
        <f t="shared" si="397"/>
        <v/>
      </c>
      <c r="CP191" s="535" t="str">
        <f t="shared" si="398"/>
        <v/>
      </c>
      <c r="CQ191" s="535" t="str">
        <f t="shared" si="399"/>
        <v/>
      </c>
      <c r="CR191" s="535" t="str">
        <f t="shared" si="400"/>
        <v/>
      </c>
      <c r="CS191" s="535" t="str">
        <f t="shared" si="401"/>
        <v/>
      </c>
      <c r="CT191" s="535" t="str">
        <f t="shared" si="402"/>
        <v/>
      </c>
      <c r="CU191" s="536" t="str">
        <f t="shared" si="403"/>
        <v/>
      </c>
      <c r="CV191" s="536" t="str">
        <f t="shared" si="404"/>
        <v/>
      </c>
      <c r="CW191" s="536" t="str">
        <f t="shared" si="405"/>
        <v/>
      </c>
      <c r="CX191" s="535" t="str">
        <f t="shared" si="406"/>
        <v/>
      </c>
      <c r="CY191" s="535" t="str">
        <f t="shared" si="407"/>
        <v/>
      </c>
      <c r="CZ191" s="535" t="str">
        <f t="shared" si="408"/>
        <v/>
      </c>
      <c r="DA191" s="535" t="str">
        <f t="shared" si="409"/>
        <v/>
      </c>
      <c r="DB191" s="535" t="str">
        <f t="shared" si="410"/>
        <v/>
      </c>
      <c r="DC191" s="534" t="str">
        <f t="shared" si="411"/>
        <v/>
      </c>
      <c r="DD191" s="533" t="str">
        <f t="shared" si="412"/>
        <v/>
      </c>
      <c r="DE191" s="635">
        <f t="shared" si="471"/>
        <v>0</v>
      </c>
      <c r="DF191" s="95">
        <f t="shared" si="472"/>
        <v>0</v>
      </c>
      <c r="DG191" s="95">
        <f t="shared" si="473"/>
        <v>0</v>
      </c>
      <c r="DH191" s="95">
        <f t="shared" si="474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25"/>
        <v/>
      </c>
      <c r="CA192" s="582" t="str">
        <f t="shared" si="426"/>
        <v/>
      </c>
      <c r="CB192" s="582" t="str">
        <f t="shared" si="427"/>
        <v/>
      </c>
      <c r="CC192" s="582" t="str">
        <f t="shared" si="428"/>
        <v/>
      </c>
      <c r="CD192" s="988" t="str">
        <f t="shared" si="489"/>
        <v/>
      </c>
      <c r="CE192" s="989" t="str">
        <f t="shared" si="489"/>
        <v/>
      </c>
      <c r="CF192" s="989" t="str">
        <f t="shared" si="489"/>
        <v/>
      </c>
      <c r="CG192" s="989" t="str">
        <f t="shared" si="489"/>
        <v/>
      </c>
      <c r="CH192" s="990" t="str">
        <f t="shared" si="489"/>
        <v/>
      </c>
      <c r="CI192" s="990" t="str">
        <f t="shared" si="489"/>
        <v/>
      </c>
      <c r="CJ192" s="989" t="str">
        <f t="shared" si="489"/>
        <v/>
      </c>
      <c r="CK192" s="989" t="str">
        <f t="shared" si="489"/>
        <v/>
      </c>
      <c r="CL192" s="989" t="str">
        <f t="shared" si="489"/>
        <v/>
      </c>
      <c r="CM192" s="988" t="str">
        <f t="shared" si="489"/>
        <v/>
      </c>
      <c r="CN192" s="533" t="str">
        <f t="shared" si="396"/>
        <v/>
      </c>
      <c r="CO192" s="534" t="str">
        <f t="shared" si="397"/>
        <v/>
      </c>
      <c r="CP192" s="535" t="str">
        <f t="shared" si="398"/>
        <v/>
      </c>
      <c r="CQ192" s="535" t="str">
        <f t="shared" si="399"/>
        <v/>
      </c>
      <c r="CR192" s="535" t="str">
        <f t="shared" si="400"/>
        <v/>
      </c>
      <c r="CS192" s="535" t="str">
        <f t="shared" si="401"/>
        <v/>
      </c>
      <c r="CT192" s="535" t="str">
        <f t="shared" si="402"/>
        <v/>
      </c>
      <c r="CU192" s="536" t="str">
        <f t="shared" si="403"/>
        <v/>
      </c>
      <c r="CV192" s="536" t="str">
        <f t="shared" si="404"/>
        <v/>
      </c>
      <c r="CW192" s="536" t="str">
        <f t="shared" si="405"/>
        <v/>
      </c>
      <c r="CX192" s="535" t="str">
        <f t="shared" si="406"/>
        <v/>
      </c>
      <c r="CY192" s="535" t="str">
        <f t="shared" si="407"/>
        <v/>
      </c>
      <c r="CZ192" s="535" t="str">
        <f t="shared" si="408"/>
        <v/>
      </c>
      <c r="DA192" s="535" t="str">
        <f t="shared" si="409"/>
        <v/>
      </c>
      <c r="DB192" s="535" t="str">
        <f t="shared" si="410"/>
        <v/>
      </c>
      <c r="DC192" s="534" t="str">
        <f t="shared" si="411"/>
        <v/>
      </c>
      <c r="DD192" s="533" t="str">
        <f t="shared" si="412"/>
        <v/>
      </c>
      <c r="DE192" s="635">
        <f t="shared" si="471"/>
        <v>0</v>
      </c>
      <c r="DF192" s="95">
        <f t="shared" si="472"/>
        <v>0</v>
      </c>
      <c r="DG192" s="95">
        <f t="shared" si="473"/>
        <v>0</v>
      </c>
      <c r="DH192" s="95">
        <f t="shared" si="474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25"/>
        <v/>
      </c>
      <c r="CA193" s="582" t="str">
        <f t="shared" si="426"/>
        <v/>
      </c>
      <c r="CB193" s="582" t="str">
        <f t="shared" si="427"/>
        <v/>
      </c>
      <c r="CC193" s="582" t="str">
        <f t="shared" si="428"/>
        <v/>
      </c>
      <c r="CD193" s="988" t="str">
        <f t="shared" si="489"/>
        <v/>
      </c>
      <c r="CE193" s="989" t="str">
        <f t="shared" si="489"/>
        <v/>
      </c>
      <c r="CF193" s="989" t="str">
        <f t="shared" si="489"/>
        <v/>
      </c>
      <c r="CG193" s="989" t="str">
        <f t="shared" si="489"/>
        <v/>
      </c>
      <c r="CH193" s="990" t="str">
        <f t="shared" si="489"/>
        <v/>
      </c>
      <c r="CI193" s="990" t="str">
        <f t="shared" si="489"/>
        <v/>
      </c>
      <c r="CJ193" s="989" t="str">
        <f t="shared" si="489"/>
        <v/>
      </c>
      <c r="CK193" s="989" t="str">
        <f t="shared" si="489"/>
        <v/>
      </c>
      <c r="CL193" s="989" t="str">
        <f t="shared" si="489"/>
        <v/>
      </c>
      <c r="CM193" s="988" t="str">
        <f t="shared" si="489"/>
        <v/>
      </c>
      <c r="CN193" s="533" t="str">
        <f t="shared" si="396"/>
        <v/>
      </c>
      <c r="CO193" s="534" t="str">
        <f t="shared" si="397"/>
        <v/>
      </c>
      <c r="CP193" s="535" t="str">
        <f t="shared" si="398"/>
        <v/>
      </c>
      <c r="CQ193" s="535" t="str">
        <f t="shared" si="399"/>
        <v/>
      </c>
      <c r="CR193" s="535" t="str">
        <f t="shared" si="400"/>
        <v/>
      </c>
      <c r="CS193" s="535" t="str">
        <f t="shared" si="401"/>
        <v/>
      </c>
      <c r="CT193" s="535" t="str">
        <f t="shared" si="402"/>
        <v/>
      </c>
      <c r="CU193" s="536" t="str">
        <f t="shared" si="403"/>
        <v/>
      </c>
      <c r="CV193" s="536" t="str">
        <f t="shared" si="404"/>
        <v/>
      </c>
      <c r="CW193" s="536" t="str">
        <f t="shared" si="405"/>
        <v/>
      </c>
      <c r="CX193" s="535" t="str">
        <f t="shared" si="406"/>
        <v/>
      </c>
      <c r="CY193" s="535" t="str">
        <f t="shared" si="407"/>
        <v/>
      </c>
      <c r="CZ193" s="535" t="str">
        <f t="shared" si="408"/>
        <v/>
      </c>
      <c r="DA193" s="535" t="str">
        <f t="shared" si="409"/>
        <v/>
      </c>
      <c r="DB193" s="535" t="str">
        <f t="shared" si="410"/>
        <v/>
      </c>
      <c r="DC193" s="534" t="str">
        <f t="shared" si="411"/>
        <v/>
      </c>
      <c r="DD193" s="533" t="str">
        <f t="shared" si="412"/>
        <v/>
      </c>
      <c r="DE193" s="635">
        <f t="shared" si="471"/>
        <v>0</v>
      </c>
      <c r="DF193" s="95">
        <f t="shared" si="472"/>
        <v>0</v>
      </c>
      <c r="DG193" s="95">
        <f t="shared" si="473"/>
        <v>0</v>
      </c>
      <c r="DH193" s="95">
        <f t="shared" si="474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490">IF(B191="","",B191*(B193-B192))</f>
        <v/>
      </c>
      <c r="C194" s="592" t="str">
        <f t="shared" si="490"/>
        <v/>
      </c>
      <c r="D194" s="592" t="str">
        <f t="shared" si="490"/>
        <v/>
      </c>
      <c r="E194" s="592" t="str">
        <f t="shared" si="490"/>
        <v/>
      </c>
      <c r="F194" s="592" t="str">
        <f t="shared" si="490"/>
        <v/>
      </c>
      <c r="G194" s="592" t="str">
        <f t="shared" si="490"/>
        <v/>
      </c>
      <c r="H194" s="592" t="str">
        <f t="shared" si="490"/>
        <v/>
      </c>
      <c r="I194" s="592" t="str">
        <f t="shared" si="490"/>
        <v/>
      </c>
      <c r="J194" s="592" t="str">
        <f t="shared" si="490"/>
        <v/>
      </c>
      <c r="K194" s="592" t="str">
        <f t="shared" si="49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491">IF(T191="","",T191*(T193-T192))</f>
        <v/>
      </c>
      <c r="U194" s="592" t="str">
        <f t="shared" si="491"/>
        <v/>
      </c>
      <c r="V194" s="592" t="str">
        <f t="shared" si="491"/>
        <v/>
      </c>
      <c r="W194" s="592" t="str">
        <f t="shared" si="491"/>
        <v/>
      </c>
      <c r="X194" s="592" t="str">
        <f t="shared" si="491"/>
        <v/>
      </c>
      <c r="Y194" s="592" t="str">
        <f t="shared" si="491"/>
        <v/>
      </c>
      <c r="Z194" s="592" t="str">
        <f t="shared" si="491"/>
        <v/>
      </c>
      <c r="AA194" s="592" t="str">
        <f t="shared" si="491"/>
        <v/>
      </c>
      <c r="AB194" s="592" t="str">
        <f t="shared" si="491"/>
        <v/>
      </c>
      <c r="AC194" s="592" t="str">
        <f t="shared" si="49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492">IF(AL191="","",AL191*(AL193-AL192))</f>
        <v/>
      </c>
      <c r="AM194" s="592" t="str">
        <f t="shared" si="492"/>
        <v/>
      </c>
      <c r="AN194" s="592" t="str">
        <f t="shared" si="492"/>
        <v/>
      </c>
      <c r="AO194" s="592" t="str">
        <f t="shared" si="492"/>
        <v/>
      </c>
      <c r="AP194" s="592" t="str">
        <f t="shared" si="492"/>
        <v/>
      </c>
      <c r="AQ194" s="592" t="str">
        <f t="shared" si="492"/>
        <v/>
      </c>
      <c r="AR194" s="592" t="str">
        <f t="shared" si="492"/>
        <v/>
      </c>
      <c r="AS194" s="592" t="str">
        <f t="shared" si="492"/>
        <v/>
      </c>
      <c r="AT194" s="592" t="str">
        <f t="shared" si="492"/>
        <v/>
      </c>
      <c r="AU194" s="592" t="str">
        <f t="shared" si="49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493">IF(BD191="","",BD191*(BD193-BD192))</f>
        <v/>
      </c>
      <c r="BE194" s="1195" t="str">
        <f t="shared" si="493"/>
        <v/>
      </c>
      <c r="BF194" s="1195" t="str">
        <f t="shared" si="493"/>
        <v/>
      </c>
      <c r="BG194" s="1195" t="str">
        <f t="shared" si="493"/>
        <v/>
      </c>
      <c r="BH194" s="1195" t="str">
        <f t="shared" si="493"/>
        <v/>
      </c>
      <c r="BI194" s="1195" t="str">
        <f t="shared" si="493"/>
        <v/>
      </c>
      <c r="BJ194" s="1195" t="str">
        <f t="shared" si="493"/>
        <v/>
      </c>
      <c r="BK194" s="1195" t="str">
        <f t="shared" si="493"/>
        <v/>
      </c>
      <c r="BL194" s="1195" t="str">
        <f t="shared" si="493"/>
        <v/>
      </c>
      <c r="BM194" s="1195" t="str">
        <f t="shared" si="49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25"/>
        <v/>
      </c>
      <c r="CA194" s="582" t="str">
        <f t="shared" si="426"/>
        <v/>
      </c>
      <c r="CB194" s="582" t="str">
        <f t="shared" si="427"/>
        <v/>
      </c>
      <c r="CC194" s="582" t="str">
        <f t="shared" si="428"/>
        <v/>
      </c>
      <c r="CD194" s="988" t="str">
        <f t="shared" si="489"/>
        <v/>
      </c>
      <c r="CE194" s="989" t="str">
        <f t="shared" si="489"/>
        <v/>
      </c>
      <c r="CF194" s="989" t="str">
        <f t="shared" si="489"/>
        <v/>
      </c>
      <c r="CG194" s="989" t="str">
        <f t="shared" si="489"/>
        <v/>
      </c>
      <c r="CH194" s="990" t="str">
        <f t="shared" si="489"/>
        <v/>
      </c>
      <c r="CI194" s="990" t="str">
        <f t="shared" si="489"/>
        <v/>
      </c>
      <c r="CJ194" s="989" t="str">
        <f t="shared" si="489"/>
        <v/>
      </c>
      <c r="CK194" s="989" t="str">
        <f t="shared" si="489"/>
        <v/>
      </c>
      <c r="CL194" s="989" t="str">
        <f t="shared" si="489"/>
        <v/>
      </c>
      <c r="CM194" s="988" t="str">
        <f t="shared" si="489"/>
        <v/>
      </c>
      <c r="CN194" s="533" t="str">
        <f t="shared" si="396"/>
        <v/>
      </c>
      <c r="CO194" s="534" t="str">
        <f t="shared" si="397"/>
        <v/>
      </c>
      <c r="CP194" s="535" t="str">
        <f t="shared" si="398"/>
        <v/>
      </c>
      <c r="CQ194" s="535" t="str">
        <f t="shared" si="399"/>
        <v/>
      </c>
      <c r="CR194" s="535" t="str">
        <f t="shared" si="400"/>
        <v/>
      </c>
      <c r="CS194" s="535" t="str">
        <f t="shared" si="401"/>
        <v/>
      </c>
      <c r="CT194" s="535" t="str">
        <f t="shared" si="402"/>
        <v/>
      </c>
      <c r="CU194" s="536" t="str">
        <f t="shared" si="403"/>
        <v/>
      </c>
      <c r="CV194" s="536" t="str">
        <f t="shared" si="404"/>
        <v/>
      </c>
      <c r="CW194" s="536" t="str">
        <f t="shared" si="405"/>
        <v/>
      </c>
      <c r="CX194" s="535" t="str">
        <f t="shared" si="406"/>
        <v/>
      </c>
      <c r="CY194" s="535" t="str">
        <f t="shared" si="407"/>
        <v/>
      </c>
      <c r="CZ194" s="535" t="str">
        <f t="shared" si="408"/>
        <v/>
      </c>
      <c r="DA194" s="535" t="str">
        <f t="shared" si="409"/>
        <v/>
      </c>
      <c r="DB194" s="535" t="str">
        <f t="shared" si="410"/>
        <v/>
      </c>
      <c r="DC194" s="534" t="str">
        <f t="shared" si="411"/>
        <v/>
      </c>
      <c r="DD194" s="533" t="str">
        <f t="shared" si="412"/>
        <v/>
      </c>
      <c r="DE194" s="635">
        <f t="shared" si="471"/>
        <v>0</v>
      </c>
      <c r="DF194" s="95">
        <f t="shared" si="472"/>
        <v>0</v>
      </c>
      <c r="DG194" s="95">
        <f t="shared" si="473"/>
        <v>0</v>
      </c>
      <c r="DH194" s="95">
        <f t="shared" si="474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25"/>
        <v/>
      </c>
      <c r="CA195" s="582" t="str">
        <f t="shared" si="426"/>
        <v/>
      </c>
      <c r="CB195" s="582" t="str">
        <f t="shared" si="427"/>
        <v/>
      </c>
      <c r="CC195" s="582" t="str">
        <f t="shared" si="428"/>
        <v/>
      </c>
      <c r="CD195" s="988" t="str">
        <f t="shared" si="489"/>
        <v/>
      </c>
      <c r="CE195" s="989" t="str">
        <f t="shared" si="489"/>
        <v/>
      </c>
      <c r="CF195" s="989" t="str">
        <f t="shared" si="489"/>
        <v/>
      </c>
      <c r="CG195" s="989" t="str">
        <f t="shared" si="489"/>
        <v/>
      </c>
      <c r="CH195" s="990" t="str">
        <f t="shared" si="489"/>
        <v/>
      </c>
      <c r="CI195" s="990" t="str">
        <f t="shared" si="489"/>
        <v/>
      </c>
      <c r="CJ195" s="989" t="str">
        <f t="shared" si="489"/>
        <v/>
      </c>
      <c r="CK195" s="989" t="str">
        <f t="shared" si="489"/>
        <v/>
      </c>
      <c r="CL195" s="989" t="str">
        <f t="shared" si="489"/>
        <v/>
      </c>
      <c r="CM195" s="988" t="str">
        <f t="shared" si="489"/>
        <v/>
      </c>
      <c r="CN195" s="533" t="str">
        <f t="shared" si="396"/>
        <v/>
      </c>
      <c r="CO195" s="534" t="str">
        <f t="shared" si="397"/>
        <v/>
      </c>
      <c r="CP195" s="535" t="str">
        <f t="shared" si="398"/>
        <v/>
      </c>
      <c r="CQ195" s="535" t="str">
        <f t="shared" si="399"/>
        <v/>
      </c>
      <c r="CR195" s="535" t="str">
        <f t="shared" si="400"/>
        <v/>
      </c>
      <c r="CS195" s="535" t="str">
        <f t="shared" si="401"/>
        <v/>
      </c>
      <c r="CT195" s="535" t="str">
        <f t="shared" si="402"/>
        <v/>
      </c>
      <c r="CU195" s="536" t="str">
        <f t="shared" si="403"/>
        <v/>
      </c>
      <c r="CV195" s="536" t="str">
        <f t="shared" si="404"/>
        <v/>
      </c>
      <c r="CW195" s="536" t="str">
        <f t="shared" si="405"/>
        <v/>
      </c>
      <c r="CX195" s="535" t="str">
        <f t="shared" si="406"/>
        <v/>
      </c>
      <c r="CY195" s="535" t="str">
        <f t="shared" si="407"/>
        <v/>
      </c>
      <c r="CZ195" s="535" t="str">
        <f t="shared" si="408"/>
        <v/>
      </c>
      <c r="DA195" s="535" t="str">
        <f t="shared" si="409"/>
        <v/>
      </c>
      <c r="DB195" s="535" t="str">
        <f t="shared" si="410"/>
        <v/>
      </c>
      <c r="DC195" s="534" t="str">
        <f t="shared" si="411"/>
        <v/>
      </c>
      <c r="DD195" s="533" t="str">
        <f t="shared" si="412"/>
        <v/>
      </c>
      <c r="DE195" s="635">
        <f t="shared" si="471"/>
        <v>0</v>
      </c>
      <c r="DF195" s="95">
        <f t="shared" si="472"/>
        <v>0</v>
      </c>
      <c r="DG195" s="95">
        <f t="shared" si="473"/>
        <v>0</v>
      </c>
      <c r="DH195" s="95">
        <f t="shared" si="474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25"/>
        <v/>
      </c>
      <c r="CA196" s="582" t="str">
        <f t="shared" si="426"/>
        <v/>
      </c>
      <c r="CB196" s="582" t="str">
        <f t="shared" si="427"/>
        <v/>
      </c>
      <c r="CC196" s="582" t="str">
        <f t="shared" si="428"/>
        <v/>
      </c>
      <c r="CD196" s="988" t="str">
        <f t="shared" si="489"/>
        <v/>
      </c>
      <c r="CE196" s="989" t="str">
        <f t="shared" si="489"/>
        <v/>
      </c>
      <c r="CF196" s="989" t="str">
        <f t="shared" si="489"/>
        <v/>
      </c>
      <c r="CG196" s="989" t="str">
        <f t="shared" si="489"/>
        <v/>
      </c>
      <c r="CH196" s="990" t="str">
        <f t="shared" si="489"/>
        <v/>
      </c>
      <c r="CI196" s="990" t="str">
        <f t="shared" si="489"/>
        <v/>
      </c>
      <c r="CJ196" s="989" t="str">
        <f t="shared" si="489"/>
        <v/>
      </c>
      <c r="CK196" s="989" t="str">
        <f t="shared" si="489"/>
        <v/>
      </c>
      <c r="CL196" s="989" t="str">
        <f t="shared" si="489"/>
        <v/>
      </c>
      <c r="CM196" s="988" t="str">
        <f t="shared" si="489"/>
        <v/>
      </c>
      <c r="CN196" s="533" t="str">
        <f t="shared" si="396"/>
        <v/>
      </c>
      <c r="CO196" s="534" t="str">
        <f t="shared" si="397"/>
        <v/>
      </c>
      <c r="CP196" s="535" t="str">
        <f t="shared" si="398"/>
        <v/>
      </c>
      <c r="CQ196" s="535" t="str">
        <f t="shared" si="399"/>
        <v/>
      </c>
      <c r="CR196" s="535" t="str">
        <f t="shared" si="400"/>
        <v/>
      </c>
      <c r="CS196" s="535" t="str">
        <f t="shared" si="401"/>
        <v/>
      </c>
      <c r="CT196" s="535" t="str">
        <f t="shared" si="402"/>
        <v/>
      </c>
      <c r="CU196" s="536" t="str">
        <f t="shared" si="403"/>
        <v/>
      </c>
      <c r="CV196" s="536" t="str">
        <f t="shared" si="404"/>
        <v/>
      </c>
      <c r="CW196" s="536" t="str">
        <f t="shared" si="405"/>
        <v/>
      </c>
      <c r="CX196" s="535" t="str">
        <f t="shared" si="406"/>
        <v/>
      </c>
      <c r="CY196" s="535" t="str">
        <f t="shared" si="407"/>
        <v/>
      </c>
      <c r="CZ196" s="535" t="str">
        <f t="shared" si="408"/>
        <v/>
      </c>
      <c r="DA196" s="535" t="str">
        <f t="shared" si="409"/>
        <v/>
      </c>
      <c r="DB196" s="535" t="str">
        <f t="shared" si="410"/>
        <v/>
      </c>
      <c r="DC196" s="534" t="str">
        <f t="shared" si="411"/>
        <v/>
      </c>
      <c r="DD196" s="533" t="str">
        <f t="shared" si="412"/>
        <v/>
      </c>
      <c r="DE196" s="635">
        <f t="shared" si="471"/>
        <v>0</v>
      </c>
      <c r="DF196" s="95">
        <f t="shared" si="472"/>
        <v>0</v>
      </c>
      <c r="DG196" s="95">
        <f t="shared" si="473"/>
        <v>0</v>
      </c>
      <c r="DH196" s="95">
        <f t="shared" si="474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494">IF(B195="","",B195*B196)</f>
        <v/>
      </c>
      <c r="C197" s="592" t="str">
        <f t="shared" si="494"/>
        <v/>
      </c>
      <c r="D197" s="592" t="str">
        <f t="shared" si="494"/>
        <v/>
      </c>
      <c r="E197" s="592" t="str">
        <f t="shared" si="494"/>
        <v/>
      </c>
      <c r="F197" s="592" t="str">
        <f t="shared" si="494"/>
        <v/>
      </c>
      <c r="G197" s="592" t="str">
        <f t="shared" si="494"/>
        <v/>
      </c>
      <c r="H197" s="592" t="str">
        <f t="shared" si="494"/>
        <v/>
      </c>
      <c r="I197" s="592" t="str">
        <f t="shared" si="494"/>
        <v/>
      </c>
      <c r="J197" s="592" t="str">
        <f t="shared" si="494"/>
        <v/>
      </c>
      <c r="K197" s="592" t="str">
        <f t="shared" si="49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495">IF(T195="","",T195*T196)</f>
        <v/>
      </c>
      <c r="U197" s="592" t="str">
        <f t="shared" si="495"/>
        <v/>
      </c>
      <c r="V197" s="592" t="str">
        <f t="shared" si="495"/>
        <v/>
      </c>
      <c r="W197" s="592" t="str">
        <f t="shared" si="495"/>
        <v/>
      </c>
      <c r="X197" s="592" t="str">
        <f t="shared" si="495"/>
        <v/>
      </c>
      <c r="Y197" s="592" t="str">
        <f t="shared" si="495"/>
        <v/>
      </c>
      <c r="Z197" s="592" t="str">
        <f t="shared" si="495"/>
        <v/>
      </c>
      <c r="AA197" s="592" t="str">
        <f t="shared" si="495"/>
        <v/>
      </c>
      <c r="AB197" s="592" t="str">
        <f t="shared" si="495"/>
        <v/>
      </c>
      <c r="AC197" s="592" t="str">
        <f t="shared" si="49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496">IF(AL195="","",AL195*AL196)</f>
        <v/>
      </c>
      <c r="AM197" s="592" t="str">
        <f t="shared" si="496"/>
        <v/>
      </c>
      <c r="AN197" s="592" t="str">
        <f t="shared" si="496"/>
        <v/>
      </c>
      <c r="AO197" s="592" t="str">
        <f t="shared" si="496"/>
        <v/>
      </c>
      <c r="AP197" s="592" t="str">
        <f t="shared" si="496"/>
        <v/>
      </c>
      <c r="AQ197" s="592" t="str">
        <f t="shared" si="496"/>
        <v/>
      </c>
      <c r="AR197" s="592" t="str">
        <f t="shared" si="496"/>
        <v/>
      </c>
      <c r="AS197" s="592" t="str">
        <f t="shared" si="496"/>
        <v/>
      </c>
      <c r="AT197" s="592" t="str">
        <f t="shared" si="496"/>
        <v/>
      </c>
      <c r="AU197" s="592" t="str">
        <f t="shared" si="49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497">IF(BD195="","",BD195*BD196)</f>
        <v/>
      </c>
      <c r="BE197" s="1195" t="str">
        <f t="shared" si="497"/>
        <v/>
      </c>
      <c r="BF197" s="1195" t="str">
        <f t="shared" si="497"/>
        <v/>
      </c>
      <c r="BG197" s="1195" t="str">
        <f t="shared" si="497"/>
        <v/>
      </c>
      <c r="BH197" s="1195" t="str">
        <f t="shared" si="497"/>
        <v/>
      </c>
      <c r="BI197" s="1195" t="str">
        <f t="shared" si="497"/>
        <v/>
      </c>
      <c r="BJ197" s="1195" t="str">
        <f t="shared" si="497"/>
        <v/>
      </c>
      <c r="BK197" s="1195" t="str">
        <f t="shared" si="497"/>
        <v/>
      </c>
      <c r="BL197" s="1195" t="str">
        <f t="shared" si="497"/>
        <v/>
      </c>
      <c r="BM197" s="1195" t="str">
        <f t="shared" si="49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25"/>
        <v/>
      </c>
      <c r="CA197" s="582" t="str">
        <f t="shared" si="426"/>
        <v/>
      </c>
      <c r="CB197" s="582" t="str">
        <f t="shared" si="427"/>
        <v/>
      </c>
      <c r="CC197" s="582" t="str">
        <f t="shared" si="428"/>
        <v/>
      </c>
      <c r="CD197" s="988" t="str">
        <f t="shared" si="489"/>
        <v/>
      </c>
      <c r="CE197" s="989" t="str">
        <f t="shared" si="489"/>
        <v/>
      </c>
      <c r="CF197" s="989" t="str">
        <f t="shared" si="489"/>
        <v/>
      </c>
      <c r="CG197" s="989" t="str">
        <f t="shared" si="489"/>
        <v/>
      </c>
      <c r="CH197" s="990" t="str">
        <f t="shared" si="489"/>
        <v/>
      </c>
      <c r="CI197" s="990" t="str">
        <f t="shared" si="489"/>
        <v/>
      </c>
      <c r="CJ197" s="989" t="str">
        <f t="shared" si="489"/>
        <v/>
      </c>
      <c r="CK197" s="989" t="str">
        <f t="shared" si="489"/>
        <v/>
      </c>
      <c r="CL197" s="989" t="str">
        <f t="shared" si="489"/>
        <v/>
      </c>
      <c r="CM197" s="988" t="str">
        <f t="shared" si="489"/>
        <v/>
      </c>
      <c r="CN197" s="533" t="str">
        <f t="shared" si="396"/>
        <v/>
      </c>
      <c r="CO197" s="534" t="str">
        <f t="shared" si="397"/>
        <v/>
      </c>
      <c r="CP197" s="535" t="str">
        <f t="shared" si="398"/>
        <v/>
      </c>
      <c r="CQ197" s="535" t="str">
        <f t="shared" si="399"/>
        <v/>
      </c>
      <c r="CR197" s="535" t="str">
        <f t="shared" si="400"/>
        <v/>
      </c>
      <c r="CS197" s="535" t="str">
        <f t="shared" si="401"/>
        <v/>
      </c>
      <c r="CT197" s="535" t="str">
        <f t="shared" si="402"/>
        <v/>
      </c>
      <c r="CU197" s="536" t="str">
        <f t="shared" si="403"/>
        <v/>
      </c>
      <c r="CV197" s="536" t="str">
        <f t="shared" si="404"/>
        <v/>
      </c>
      <c r="CW197" s="536" t="str">
        <f t="shared" si="405"/>
        <v/>
      </c>
      <c r="CX197" s="535" t="str">
        <f t="shared" si="406"/>
        <v/>
      </c>
      <c r="CY197" s="535" t="str">
        <f t="shared" si="407"/>
        <v/>
      </c>
      <c r="CZ197" s="535" t="str">
        <f t="shared" si="408"/>
        <v/>
      </c>
      <c r="DA197" s="535" t="str">
        <f t="shared" si="409"/>
        <v/>
      </c>
      <c r="DB197" s="535" t="str">
        <f t="shared" si="410"/>
        <v/>
      </c>
      <c r="DC197" s="534" t="str">
        <f t="shared" si="411"/>
        <v/>
      </c>
      <c r="DD197" s="533" t="str">
        <f t="shared" si="412"/>
        <v/>
      </c>
      <c r="DE197" s="635">
        <f t="shared" si="471"/>
        <v>0</v>
      </c>
      <c r="DF197" s="95">
        <f t="shared" si="472"/>
        <v>0</v>
      </c>
      <c r="DG197" s="95">
        <f t="shared" si="473"/>
        <v>0</v>
      </c>
      <c r="DH197" s="95">
        <f t="shared" si="474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25"/>
        <v>0</v>
      </c>
      <c r="CA198" s="582">
        <f t="shared" si="426"/>
        <v>0</v>
      </c>
      <c r="CB198" s="582">
        <f t="shared" si="427"/>
        <v>0</v>
      </c>
      <c r="CC198" s="582">
        <f t="shared" si="428"/>
        <v>0</v>
      </c>
      <c r="CD198" s="988">
        <f t="shared" si="489"/>
        <v>0</v>
      </c>
      <c r="CE198" s="989">
        <f t="shared" si="489"/>
        <v>0</v>
      </c>
      <c r="CF198" s="989">
        <f t="shared" si="489"/>
        <v>0</v>
      </c>
      <c r="CG198" s="989">
        <f t="shared" si="489"/>
        <v>0</v>
      </c>
      <c r="CH198" s="990">
        <f t="shared" si="489"/>
        <v>0</v>
      </c>
      <c r="CI198" s="990">
        <f t="shared" si="489"/>
        <v>0</v>
      </c>
      <c r="CJ198" s="989">
        <f t="shared" si="489"/>
        <v>0</v>
      </c>
      <c r="CK198" s="989">
        <f t="shared" si="489"/>
        <v>0</v>
      </c>
      <c r="CL198" s="989">
        <f t="shared" si="489"/>
        <v>0</v>
      </c>
      <c r="CM198" s="988">
        <f t="shared" si="489"/>
        <v>0</v>
      </c>
      <c r="CN198" s="533" t="str">
        <f t="shared" si="396"/>
        <v/>
      </c>
      <c r="CO198" s="534" t="str">
        <f t="shared" si="397"/>
        <v/>
      </c>
      <c r="CP198" s="535" t="str">
        <f t="shared" si="398"/>
        <v/>
      </c>
      <c r="CQ198" s="535" t="str">
        <f t="shared" si="399"/>
        <v/>
      </c>
      <c r="CR198" s="535">
        <f t="shared" si="400"/>
        <v>0</v>
      </c>
      <c r="CS198" s="535">
        <f t="shared" si="401"/>
        <v>0</v>
      </c>
      <c r="CT198" s="535">
        <f t="shared" si="402"/>
        <v>0</v>
      </c>
      <c r="CU198" s="536">
        <f t="shared" si="403"/>
        <v>0</v>
      </c>
      <c r="CV198" s="536">
        <f t="shared" si="404"/>
        <v>0</v>
      </c>
      <c r="CW198" s="536">
        <f t="shared" si="405"/>
        <v>0</v>
      </c>
      <c r="CX198" s="535">
        <f t="shared" si="406"/>
        <v>0</v>
      </c>
      <c r="CY198" s="535">
        <f t="shared" si="407"/>
        <v>0</v>
      </c>
      <c r="CZ198" s="535">
        <f t="shared" si="408"/>
        <v>0</v>
      </c>
      <c r="DA198" s="535">
        <f t="shared" si="409"/>
        <v>0</v>
      </c>
      <c r="DB198" s="535" t="str">
        <f t="shared" si="410"/>
        <v/>
      </c>
      <c r="DC198" s="534" t="str">
        <f t="shared" si="411"/>
        <v/>
      </c>
      <c r="DD198" s="533" t="str">
        <f t="shared" si="412"/>
        <v/>
      </c>
      <c r="DE198" s="635">
        <f t="shared" si="471"/>
        <v>10</v>
      </c>
      <c r="DF198" s="95">
        <f t="shared" si="472"/>
        <v>10</v>
      </c>
      <c r="DG198" s="95">
        <f t="shared" si="473"/>
        <v>10</v>
      </c>
      <c r="DH198" s="95">
        <f t="shared" si="474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25"/>
        <v/>
      </c>
      <c r="CA199" s="582" t="str">
        <f t="shared" si="426"/>
        <v/>
      </c>
      <c r="CB199" s="582" t="str">
        <f t="shared" si="427"/>
        <v/>
      </c>
      <c r="CC199" s="582" t="str">
        <f t="shared" si="428"/>
        <v/>
      </c>
      <c r="CD199" s="988" t="str">
        <f t="shared" si="489"/>
        <v/>
      </c>
      <c r="CE199" s="989" t="str">
        <f t="shared" si="489"/>
        <v/>
      </c>
      <c r="CF199" s="989" t="str">
        <f t="shared" si="489"/>
        <v/>
      </c>
      <c r="CG199" s="989" t="str">
        <f t="shared" si="489"/>
        <v/>
      </c>
      <c r="CH199" s="990" t="str">
        <f t="shared" si="489"/>
        <v/>
      </c>
      <c r="CI199" s="990" t="str">
        <f t="shared" si="489"/>
        <v/>
      </c>
      <c r="CJ199" s="989" t="str">
        <f t="shared" si="489"/>
        <v/>
      </c>
      <c r="CK199" s="989" t="str">
        <f t="shared" si="489"/>
        <v/>
      </c>
      <c r="CL199" s="989" t="str">
        <f t="shared" si="489"/>
        <v/>
      </c>
      <c r="CM199" s="988" t="str">
        <f t="shared" si="489"/>
        <v/>
      </c>
      <c r="CN199" s="533" t="str">
        <f t="shared" si="396"/>
        <v/>
      </c>
      <c r="CO199" s="534" t="str">
        <f t="shared" si="397"/>
        <v/>
      </c>
      <c r="CP199" s="535" t="str">
        <f t="shared" si="398"/>
        <v/>
      </c>
      <c r="CQ199" s="535" t="str">
        <f t="shared" si="399"/>
        <v/>
      </c>
      <c r="CR199" s="535" t="str">
        <f t="shared" si="400"/>
        <v/>
      </c>
      <c r="CS199" s="535" t="str">
        <f t="shared" si="401"/>
        <v/>
      </c>
      <c r="CT199" s="535" t="str">
        <f t="shared" si="402"/>
        <v/>
      </c>
      <c r="CU199" s="536" t="str">
        <f t="shared" si="403"/>
        <v/>
      </c>
      <c r="CV199" s="536" t="str">
        <f t="shared" si="404"/>
        <v/>
      </c>
      <c r="CW199" s="536" t="str">
        <f t="shared" si="405"/>
        <v/>
      </c>
      <c r="CX199" s="535" t="str">
        <f t="shared" si="406"/>
        <v/>
      </c>
      <c r="CY199" s="535" t="str">
        <f t="shared" si="407"/>
        <v/>
      </c>
      <c r="CZ199" s="535" t="str">
        <f t="shared" si="408"/>
        <v/>
      </c>
      <c r="DA199" s="535" t="str">
        <f t="shared" si="409"/>
        <v/>
      </c>
      <c r="DB199" s="535" t="str">
        <f t="shared" si="410"/>
        <v/>
      </c>
      <c r="DC199" s="534" t="str">
        <f t="shared" si="411"/>
        <v/>
      </c>
      <c r="DD199" s="533" t="str">
        <f t="shared" si="412"/>
        <v/>
      </c>
      <c r="DE199" s="635">
        <f t="shared" si="471"/>
        <v>0</v>
      </c>
      <c r="DF199" s="95">
        <f t="shared" si="472"/>
        <v>0</v>
      </c>
      <c r="DG199" s="95">
        <f t="shared" si="473"/>
        <v>0</v>
      </c>
      <c r="DH199" s="95">
        <f t="shared" si="474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498">IF(B198="","",B198*B199)</f>
        <v>0</v>
      </c>
      <c r="C200" s="592">
        <f t="shared" si="498"/>
        <v>0</v>
      </c>
      <c r="D200" s="592">
        <f t="shared" si="498"/>
        <v>0</v>
      </c>
      <c r="E200" s="592">
        <f t="shared" si="498"/>
        <v>0</v>
      </c>
      <c r="F200" s="592">
        <f t="shared" si="498"/>
        <v>0</v>
      </c>
      <c r="G200" s="592">
        <f t="shared" si="498"/>
        <v>0</v>
      </c>
      <c r="H200" s="592">
        <f t="shared" si="498"/>
        <v>0</v>
      </c>
      <c r="I200" s="592">
        <f t="shared" si="498"/>
        <v>0</v>
      </c>
      <c r="J200" s="592">
        <f t="shared" si="498"/>
        <v>0</v>
      </c>
      <c r="K200" s="592">
        <f t="shared" si="49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499">IF(T198="","",T198*T199)</f>
        <v>0</v>
      </c>
      <c r="U200" s="592">
        <f t="shared" si="499"/>
        <v>0</v>
      </c>
      <c r="V200" s="592">
        <f t="shared" si="499"/>
        <v>0</v>
      </c>
      <c r="W200" s="592">
        <f t="shared" si="499"/>
        <v>0</v>
      </c>
      <c r="X200" s="592">
        <f t="shared" si="499"/>
        <v>0</v>
      </c>
      <c r="Y200" s="592">
        <f t="shared" si="499"/>
        <v>0</v>
      </c>
      <c r="Z200" s="592">
        <f t="shared" si="499"/>
        <v>0</v>
      </c>
      <c r="AA200" s="592">
        <f t="shared" si="499"/>
        <v>0</v>
      </c>
      <c r="AB200" s="592">
        <f t="shared" si="499"/>
        <v>0</v>
      </c>
      <c r="AC200" s="592">
        <f t="shared" si="49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00">IF(AL198="","",AL198*AL199)</f>
        <v>0</v>
      </c>
      <c r="AM200" s="592">
        <f t="shared" si="500"/>
        <v>0</v>
      </c>
      <c r="AN200" s="592">
        <f t="shared" si="500"/>
        <v>0</v>
      </c>
      <c r="AO200" s="592">
        <f t="shared" si="500"/>
        <v>0</v>
      </c>
      <c r="AP200" s="592">
        <f t="shared" si="500"/>
        <v>0</v>
      </c>
      <c r="AQ200" s="592">
        <f t="shared" si="500"/>
        <v>0</v>
      </c>
      <c r="AR200" s="592">
        <f t="shared" si="500"/>
        <v>0</v>
      </c>
      <c r="AS200" s="592">
        <f t="shared" si="500"/>
        <v>0</v>
      </c>
      <c r="AT200" s="592">
        <f t="shared" si="500"/>
        <v>0</v>
      </c>
      <c r="AU200" s="592">
        <f t="shared" si="50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01">IF(BD198="","",BD198*BD199)</f>
        <v>0</v>
      </c>
      <c r="BE200" s="1195">
        <f t="shared" si="501"/>
        <v>0</v>
      </c>
      <c r="BF200" s="1195">
        <f t="shared" si="501"/>
        <v>0</v>
      </c>
      <c r="BG200" s="1195">
        <f t="shared" si="501"/>
        <v>0</v>
      </c>
      <c r="BH200" s="1195">
        <f t="shared" si="501"/>
        <v>0</v>
      </c>
      <c r="BI200" s="1195">
        <f t="shared" si="501"/>
        <v>0</v>
      </c>
      <c r="BJ200" s="1195">
        <f t="shared" si="501"/>
        <v>0</v>
      </c>
      <c r="BK200" s="1195">
        <f t="shared" si="501"/>
        <v>0</v>
      </c>
      <c r="BL200" s="1195">
        <f t="shared" si="501"/>
        <v>0</v>
      </c>
      <c r="BM200" s="1195">
        <f t="shared" si="50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25"/>
        <v>0</v>
      </c>
      <c r="CA200" s="582">
        <f t="shared" si="426"/>
        <v>0</v>
      </c>
      <c r="CB200" s="582">
        <f t="shared" si="427"/>
        <v>0</v>
      </c>
      <c r="CC200" s="582">
        <f t="shared" si="428"/>
        <v>0</v>
      </c>
      <c r="CD200" s="988">
        <f t="shared" si="489"/>
        <v>0</v>
      </c>
      <c r="CE200" s="989">
        <f t="shared" si="489"/>
        <v>0</v>
      </c>
      <c r="CF200" s="989">
        <f t="shared" si="489"/>
        <v>0</v>
      </c>
      <c r="CG200" s="989">
        <f t="shared" si="489"/>
        <v>0</v>
      </c>
      <c r="CH200" s="990">
        <f t="shared" si="489"/>
        <v>0</v>
      </c>
      <c r="CI200" s="990">
        <f t="shared" si="489"/>
        <v>0</v>
      </c>
      <c r="CJ200" s="989">
        <f t="shared" si="489"/>
        <v>0</v>
      </c>
      <c r="CK200" s="989">
        <f t="shared" si="489"/>
        <v>0</v>
      </c>
      <c r="CL200" s="989">
        <f t="shared" si="489"/>
        <v>0</v>
      </c>
      <c r="CM200" s="988">
        <f t="shared" si="489"/>
        <v>0</v>
      </c>
      <c r="CN200" s="533" t="str">
        <f t="shared" si="396"/>
        <v/>
      </c>
      <c r="CO200" s="534" t="str">
        <f t="shared" si="397"/>
        <v/>
      </c>
      <c r="CP200" s="535" t="str">
        <f t="shared" si="398"/>
        <v/>
      </c>
      <c r="CQ200" s="535" t="str">
        <f t="shared" si="399"/>
        <v/>
      </c>
      <c r="CR200" s="535">
        <f t="shared" si="400"/>
        <v>0</v>
      </c>
      <c r="CS200" s="535">
        <f t="shared" si="401"/>
        <v>0</v>
      </c>
      <c r="CT200" s="535">
        <f t="shared" si="402"/>
        <v>0</v>
      </c>
      <c r="CU200" s="536">
        <f t="shared" si="403"/>
        <v>0</v>
      </c>
      <c r="CV200" s="536">
        <f t="shared" si="404"/>
        <v>0</v>
      </c>
      <c r="CW200" s="536">
        <f t="shared" si="405"/>
        <v>0</v>
      </c>
      <c r="CX200" s="535">
        <f t="shared" si="406"/>
        <v>0</v>
      </c>
      <c r="CY200" s="535">
        <f t="shared" si="407"/>
        <v>0</v>
      </c>
      <c r="CZ200" s="535">
        <f t="shared" si="408"/>
        <v>0</v>
      </c>
      <c r="DA200" s="535">
        <f t="shared" si="409"/>
        <v>0</v>
      </c>
      <c r="DB200" s="535" t="str">
        <f t="shared" si="410"/>
        <v/>
      </c>
      <c r="DC200" s="534" t="str">
        <f t="shared" si="411"/>
        <v/>
      </c>
      <c r="DD200" s="533" t="str">
        <f t="shared" si="412"/>
        <v/>
      </c>
      <c r="DE200" s="635">
        <f t="shared" si="471"/>
        <v>10</v>
      </c>
      <c r="DF200" s="95">
        <f t="shared" si="472"/>
        <v>10</v>
      </c>
      <c r="DG200" s="95">
        <f t="shared" si="473"/>
        <v>10</v>
      </c>
      <c r="DH200" s="95">
        <f t="shared" si="474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02">IF(SUM(B52)=0,"",(B178+B191*(B192="")+B195+B198)/B52)</f>
        <v/>
      </c>
      <c r="C201" s="605" t="str">
        <f t="shared" si="502"/>
        <v/>
      </c>
      <c r="D201" s="605" t="str">
        <f t="shared" si="502"/>
        <v/>
      </c>
      <c r="E201" s="605" t="str">
        <f t="shared" si="502"/>
        <v/>
      </c>
      <c r="F201" s="605" t="str">
        <f t="shared" si="502"/>
        <v/>
      </c>
      <c r="G201" s="605" t="str">
        <f t="shared" si="502"/>
        <v/>
      </c>
      <c r="H201" s="605" t="str">
        <f t="shared" si="502"/>
        <v/>
      </c>
      <c r="I201" s="605" t="str">
        <f t="shared" si="502"/>
        <v/>
      </c>
      <c r="J201" s="605" t="str">
        <f t="shared" si="502"/>
        <v/>
      </c>
      <c r="K201" s="605" t="str">
        <f t="shared" si="50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03">IF(SUM(T52)=0,"",(T178+T191*(T192="")+T195+T198)/T52)</f>
        <v/>
      </c>
      <c r="U201" s="605" t="str">
        <f t="shared" si="503"/>
        <v/>
      </c>
      <c r="V201" s="605" t="str">
        <f t="shared" si="503"/>
        <v/>
      </c>
      <c r="W201" s="605" t="str">
        <f t="shared" si="503"/>
        <v/>
      </c>
      <c r="X201" s="605" t="str">
        <f t="shared" si="503"/>
        <v/>
      </c>
      <c r="Y201" s="605" t="str">
        <f t="shared" si="503"/>
        <v/>
      </c>
      <c r="Z201" s="605" t="str">
        <f t="shared" si="503"/>
        <v/>
      </c>
      <c r="AA201" s="605" t="str">
        <f t="shared" si="503"/>
        <v/>
      </c>
      <c r="AB201" s="605" t="str">
        <f t="shared" si="503"/>
        <v/>
      </c>
      <c r="AC201" s="605" t="str">
        <f t="shared" si="50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04">IF(SUM(AL52)=0,"",(AL178+AL191*(AL192="")+AL195+AL198)/AL52)</f>
        <v/>
      </c>
      <c r="AM201" s="605" t="str">
        <f t="shared" si="504"/>
        <v/>
      </c>
      <c r="AN201" s="605" t="str">
        <f t="shared" si="504"/>
        <v/>
      </c>
      <c r="AO201" s="605" t="str">
        <f t="shared" si="504"/>
        <v/>
      </c>
      <c r="AP201" s="605" t="str">
        <f t="shared" si="504"/>
        <v/>
      </c>
      <c r="AQ201" s="605" t="str">
        <f t="shared" si="504"/>
        <v/>
      </c>
      <c r="AR201" s="605" t="str">
        <f t="shared" si="504"/>
        <v/>
      </c>
      <c r="AS201" s="605" t="str">
        <f t="shared" si="504"/>
        <v/>
      </c>
      <c r="AT201" s="605" t="str">
        <f t="shared" si="50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05">IF(SUM(BD52)=0,"",(BD178+BD191*(BD192="")+BD195+BD198)/BD52)</f>
        <v/>
      </c>
      <c r="BE201" s="1197" t="str">
        <f t="shared" si="505"/>
        <v/>
      </c>
      <c r="BF201" s="1197" t="str">
        <f t="shared" si="505"/>
        <v/>
      </c>
      <c r="BG201" s="1197" t="str">
        <f t="shared" si="505"/>
        <v/>
      </c>
      <c r="BH201" s="1197" t="str">
        <f t="shared" si="505"/>
        <v/>
      </c>
      <c r="BI201" s="1197" t="str">
        <f t="shared" si="505"/>
        <v/>
      </c>
      <c r="BJ201" s="1197" t="str">
        <f t="shared" si="505"/>
        <v/>
      </c>
      <c r="BK201" s="1197" t="str">
        <f t="shared" si="505"/>
        <v/>
      </c>
      <c r="BL201" s="1197" t="str">
        <f t="shared" si="505"/>
        <v/>
      </c>
      <c r="BM201" s="1197" t="str">
        <f t="shared" si="50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25"/>
        <v/>
      </c>
      <c r="CA201" s="607" t="str">
        <f t="shared" si="426"/>
        <v/>
      </c>
      <c r="CB201" s="607" t="str">
        <f t="shared" si="427"/>
        <v/>
      </c>
      <c r="CC201" s="607" t="str">
        <f t="shared" si="428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0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06"/>
        <v/>
      </c>
      <c r="CG201" s="992" t="str">
        <f t="shared" si="506"/>
        <v/>
      </c>
      <c r="CH201" s="993" t="str">
        <f t="shared" si="506"/>
        <v/>
      </c>
      <c r="CI201" s="993" t="str">
        <f t="shared" si="506"/>
        <v/>
      </c>
      <c r="CJ201" s="992" t="str">
        <f t="shared" si="506"/>
        <v/>
      </c>
      <c r="CK201" s="992" t="str">
        <f t="shared" si="506"/>
        <v/>
      </c>
      <c r="CL201" s="992" t="str">
        <f t="shared" si="506"/>
        <v/>
      </c>
      <c r="CM201" s="991" t="str">
        <f t="shared" si="506"/>
        <v/>
      </c>
      <c r="CN201" s="521" t="str">
        <f t="shared" si="396"/>
        <v/>
      </c>
      <c r="CO201" s="522" t="str">
        <f t="shared" si="397"/>
        <v/>
      </c>
      <c r="CP201" s="523" t="str">
        <f t="shared" si="398"/>
        <v/>
      </c>
      <c r="CQ201" s="523" t="str">
        <f t="shared" si="399"/>
        <v/>
      </c>
      <c r="CR201" s="523" t="str">
        <f t="shared" si="400"/>
        <v/>
      </c>
      <c r="CS201" s="523" t="str">
        <f t="shared" si="401"/>
        <v/>
      </c>
      <c r="CT201" s="523" t="str">
        <f t="shared" si="402"/>
        <v/>
      </c>
      <c r="CU201" s="524" t="str">
        <f t="shared" si="403"/>
        <v/>
      </c>
      <c r="CV201" s="524" t="str">
        <f t="shared" si="404"/>
        <v/>
      </c>
      <c r="CW201" s="524" t="str">
        <f t="shared" si="405"/>
        <v/>
      </c>
      <c r="CX201" s="523" t="str">
        <f t="shared" si="406"/>
        <v/>
      </c>
      <c r="CY201" s="523" t="str">
        <f t="shared" si="407"/>
        <v/>
      </c>
      <c r="CZ201" s="523" t="str">
        <f t="shared" si="408"/>
        <v/>
      </c>
      <c r="DA201" s="523" t="str">
        <f t="shared" si="409"/>
        <v/>
      </c>
      <c r="DB201" s="523" t="str">
        <f t="shared" si="410"/>
        <v/>
      </c>
      <c r="DC201" s="522" t="str">
        <f t="shared" si="411"/>
        <v/>
      </c>
      <c r="DD201" s="521" t="str">
        <f t="shared" si="412"/>
        <v/>
      </c>
      <c r="DE201" s="635">
        <f t="shared" si="471"/>
        <v>0</v>
      </c>
      <c r="DF201" s="95">
        <f t="shared" si="472"/>
        <v>0</v>
      </c>
      <c r="DG201" s="95">
        <f t="shared" si="473"/>
        <v>0</v>
      </c>
      <c r="DH201" s="95">
        <f t="shared" si="474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25"/>
        <v/>
      </c>
      <c r="CA202" s="582" t="str">
        <f t="shared" si="426"/>
        <v/>
      </c>
      <c r="CB202" s="582" t="str">
        <f t="shared" si="427"/>
        <v/>
      </c>
      <c r="CC202" s="582" t="str">
        <f t="shared" si="428"/>
        <v/>
      </c>
      <c r="CD202" s="988" t="str">
        <f t="shared" si="386"/>
        <v/>
      </c>
      <c r="CE202" s="989" t="str">
        <f t="shared" si="387"/>
        <v/>
      </c>
      <c r="CF202" s="989" t="str">
        <f t="shared" si="388"/>
        <v/>
      </c>
      <c r="CG202" s="989" t="str">
        <f t="shared" si="389"/>
        <v/>
      </c>
      <c r="CH202" s="990" t="str">
        <f t="shared" si="390"/>
        <v/>
      </c>
      <c r="CI202" s="990" t="str">
        <f t="shared" si="391"/>
        <v/>
      </c>
      <c r="CJ202" s="989" t="str">
        <f t="shared" si="392"/>
        <v/>
      </c>
      <c r="CK202" s="989" t="str">
        <f t="shared" si="393"/>
        <v/>
      </c>
      <c r="CL202" s="989" t="str">
        <f t="shared" si="394"/>
        <v/>
      </c>
      <c r="CM202" s="988" t="str">
        <f t="shared" si="395"/>
        <v/>
      </c>
      <c r="CN202" s="533" t="str">
        <f t="shared" si="396"/>
        <v/>
      </c>
      <c r="CO202" s="534" t="str">
        <f t="shared" si="397"/>
        <v/>
      </c>
      <c r="CP202" s="535" t="str">
        <f t="shared" si="398"/>
        <v/>
      </c>
      <c r="CQ202" s="535" t="str">
        <f t="shared" si="399"/>
        <v/>
      </c>
      <c r="CR202" s="535" t="str">
        <f t="shared" si="400"/>
        <v/>
      </c>
      <c r="CS202" s="535" t="str">
        <f t="shared" si="401"/>
        <v/>
      </c>
      <c r="CT202" s="535" t="str">
        <f t="shared" si="402"/>
        <v/>
      </c>
      <c r="CU202" s="536" t="str">
        <f t="shared" si="403"/>
        <v/>
      </c>
      <c r="CV202" s="536" t="str">
        <f t="shared" si="404"/>
        <v/>
      </c>
      <c r="CW202" s="536" t="str">
        <f t="shared" si="405"/>
        <v/>
      </c>
      <c r="CX202" s="535" t="str">
        <f t="shared" si="406"/>
        <v/>
      </c>
      <c r="CY202" s="535" t="str">
        <f t="shared" si="407"/>
        <v/>
      </c>
      <c r="CZ202" s="535" t="str">
        <f t="shared" si="408"/>
        <v/>
      </c>
      <c r="DA202" s="535" t="str">
        <f t="shared" si="409"/>
        <v/>
      </c>
      <c r="DB202" s="535" t="str">
        <f t="shared" si="410"/>
        <v/>
      </c>
      <c r="DC202" s="534" t="str">
        <f t="shared" si="411"/>
        <v/>
      </c>
      <c r="DD202" s="533" t="str">
        <f t="shared" si="412"/>
        <v/>
      </c>
      <c r="DE202" s="635">
        <f t="shared" si="471"/>
        <v>0</v>
      </c>
      <c r="DF202" s="95">
        <f t="shared" si="472"/>
        <v>0</v>
      </c>
      <c r="DG202" s="95">
        <f t="shared" si="473"/>
        <v>0</v>
      </c>
      <c r="DH202" s="95">
        <f t="shared" si="474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25"/>
        <v/>
      </c>
      <c r="CA203" s="582" t="str">
        <f t="shared" si="426"/>
        <v/>
      </c>
      <c r="CB203" s="582" t="str">
        <f t="shared" si="427"/>
        <v/>
      </c>
      <c r="CC203" s="582" t="str">
        <f t="shared" si="428"/>
        <v/>
      </c>
      <c r="CD203" s="988" t="str">
        <f t="shared" si="386"/>
        <v/>
      </c>
      <c r="CE203" s="989" t="str">
        <f t="shared" si="387"/>
        <v/>
      </c>
      <c r="CF203" s="989" t="str">
        <f t="shared" si="388"/>
        <v/>
      </c>
      <c r="CG203" s="989" t="str">
        <f t="shared" si="389"/>
        <v/>
      </c>
      <c r="CH203" s="990" t="str">
        <f t="shared" si="390"/>
        <v/>
      </c>
      <c r="CI203" s="990" t="str">
        <f t="shared" si="391"/>
        <v/>
      </c>
      <c r="CJ203" s="989" t="str">
        <f t="shared" si="392"/>
        <v/>
      </c>
      <c r="CK203" s="989" t="str">
        <f t="shared" si="393"/>
        <v/>
      </c>
      <c r="CL203" s="989" t="str">
        <f t="shared" si="394"/>
        <v/>
      </c>
      <c r="CM203" s="988" t="str">
        <f t="shared" si="395"/>
        <v/>
      </c>
      <c r="CN203" s="533" t="str">
        <f t="shared" si="396"/>
        <v/>
      </c>
      <c r="CO203" s="534" t="str">
        <f t="shared" si="397"/>
        <v/>
      </c>
      <c r="CP203" s="535" t="str">
        <f t="shared" si="398"/>
        <v/>
      </c>
      <c r="CQ203" s="535" t="str">
        <f t="shared" si="399"/>
        <v/>
      </c>
      <c r="CR203" s="535" t="str">
        <f t="shared" si="400"/>
        <v/>
      </c>
      <c r="CS203" s="535" t="str">
        <f t="shared" si="401"/>
        <v/>
      </c>
      <c r="CT203" s="535" t="str">
        <f t="shared" si="402"/>
        <v/>
      </c>
      <c r="CU203" s="536" t="str">
        <f t="shared" si="403"/>
        <v/>
      </c>
      <c r="CV203" s="536" t="str">
        <f t="shared" si="404"/>
        <v/>
      </c>
      <c r="CW203" s="536" t="str">
        <f t="shared" si="405"/>
        <v/>
      </c>
      <c r="CX203" s="535" t="str">
        <f t="shared" si="406"/>
        <v/>
      </c>
      <c r="CY203" s="535" t="str">
        <f t="shared" si="407"/>
        <v/>
      </c>
      <c r="CZ203" s="535" t="str">
        <f t="shared" si="408"/>
        <v/>
      </c>
      <c r="DA203" s="535" t="str">
        <f t="shared" si="409"/>
        <v/>
      </c>
      <c r="DB203" s="535" t="str">
        <f t="shared" si="410"/>
        <v/>
      </c>
      <c r="DC203" s="534" t="str">
        <f t="shared" si="411"/>
        <v/>
      </c>
      <c r="DD203" s="533" t="str">
        <f t="shared" si="412"/>
        <v/>
      </c>
      <c r="DE203" s="635">
        <f t="shared" si="471"/>
        <v>0</v>
      </c>
      <c r="DF203" s="95">
        <f t="shared" si="472"/>
        <v>0</v>
      </c>
      <c r="DG203" s="95">
        <f t="shared" si="473"/>
        <v>0</v>
      </c>
      <c r="DH203" s="95">
        <f t="shared" si="474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07">IF(B202="","",B202*B203)</f>
        <v/>
      </c>
      <c r="C204" s="592" t="str">
        <f t="shared" si="507"/>
        <v/>
      </c>
      <c r="D204" s="592" t="str">
        <f t="shared" si="507"/>
        <v/>
      </c>
      <c r="E204" s="592" t="str">
        <f t="shared" si="507"/>
        <v/>
      </c>
      <c r="F204" s="592" t="str">
        <f t="shared" si="507"/>
        <v/>
      </c>
      <c r="G204" s="592" t="str">
        <f t="shared" si="507"/>
        <v/>
      </c>
      <c r="H204" s="592" t="str">
        <f t="shared" si="507"/>
        <v/>
      </c>
      <c r="I204" s="592" t="str">
        <f t="shared" si="507"/>
        <v/>
      </c>
      <c r="J204" s="592" t="str">
        <f t="shared" si="507"/>
        <v/>
      </c>
      <c r="K204" s="592" t="str">
        <f t="shared" si="50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08">IF(T202="","",T202*T203)</f>
        <v/>
      </c>
      <c r="U204" s="592" t="str">
        <f t="shared" si="508"/>
        <v/>
      </c>
      <c r="V204" s="592" t="str">
        <f t="shared" si="508"/>
        <v/>
      </c>
      <c r="W204" s="592" t="str">
        <f t="shared" si="508"/>
        <v/>
      </c>
      <c r="X204" s="592" t="str">
        <f t="shared" si="508"/>
        <v/>
      </c>
      <c r="Y204" s="592" t="str">
        <f t="shared" si="508"/>
        <v/>
      </c>
      <c r="Z204" s="592" t="str">
        <f t="shared" si="508"/>
        <v/>
      </c>
      <c r="AA204" s="592" t="str">
        <f t="shared" si="508"/>
        <v/>
      </c>
      <c r="AB204" s="592" t="str">
        <f t="shared" si="508"/>
        <v/>
      </c>
      <c r="AC204" s="592" t="str">
        <f t="shared" si="50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09">IF(AL202="","",AL202*AL203)</f>
        <v/>
      </c>
      <c r="AM204" s="592" t="str">
        <f t="shared" si="509"/>
        <v/>
      </c>
      <c r="AN204" s="592" t="str">
        <f t="shared" si="509"/>
        <v/>
      </c>
      <c r="AO204" s="592" t="str">
        <f t="shared" si="509"/>
        <v/>
      </c>
      <c r="AP204" s="592" t="str">
        <f t="shared" si="509"/>
        <v/>
      </c>
      <c r="AQ204" s="592" t="str">
        <f t="shared" si="509"/>
        <v/>
      </c>
      <c r="AR204" s="592" t="str">
        <f t="shared" si="509"/>
        <v/>
      </c>
      <c r="AS204" s="592" t="str">
        <f t="shared" si="509"/>
        <v/>
      </c>
      <c r="AT204" s="592" t="str">
        <f t="shared" si="50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10">IF(BD202="","",BD202*BD203)</f>
        <v/>
      </c>
      <c r="BE204" s="1195" t="str">
        <f t="shared" si="510"/>
        <v/>
      </c>
      <c r="BF204" s="1195" t="str">
        <f t="shared" si="510"/>
        <v/>
      </c>
      <c r="BG204" s="1195" t="str">
        <f t="shared" si="510"/>
        <v/>
      </c>
      <c r="BH204" s="1195" t="str">
        <f t="shared" si="510"/>
        <v/>
      </c>
      <c r="BI204" s="1195" t="str">
        <f t="shared" si="510"/>
        <v/>
      </c>
      <c r="BJ204" s="1195" t="str">
        <f t="shared" si="510"/>
        <v/>
      </c>
      <c r="BK204" s="1195" t="str">
        <f t="shared" si="510"/>
        <v/>
      </c>
      <c r="BL204" s="1195" t="str">
        <f t="shared" si="510"/>
        <v/>
      </c>
      <c r="BM204" s="1195" t="str">
        <f t="shared" si="51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25"/>
        <v/>
      </c>
      <c r="CA204" s="582" t="str">
        <f t="shared" si="426"/>
        <v/>
      </c>
      <c r="CB204" s="582" t="str">
        <f t="shared" si="427"/>
        <v/>
      </c>
      <c r="CC204" s="582" t="str">
        <f t="shared" si="428"/>
        <v/>
      </c>
      <c r="CD204" s="988" t="str">
        <f t="shared" si="386"/>
        <v/>
      </c>
      <c r="CE204" s="989" t="str">
        <f t="shared" si="387"/>
        <v/>
      </c>
      <c r="CF204" s="989" t="str">
        <f t="shared" si="388"/>
        <v/>
      </c>
      <c r="CG204" s="989" t="str">
        <f t="shared" si="389"/>
        <v/>
      </c>
      <c r="CH204" s="990" t="str">
        <f t="shared" si="390"/>
        <v/>
      </c>
      <c r="CI204" s="990" t="str">
        <f t="shared" si="391"/>
        <v/>
      </c>
      <c r="CJ204" s="989" t="str">
        <f t="shared" si="392"/>
        <v/>
      </c>
      <c r="CK204" s="989" t="str">
        <f t="shared" si="393"/>
        <v/>
      </c>
      <c r="CL204" s="989" t="str">
        <f t="shared" si="394"/>
        <v/>
      </c>
      <c r="CM204" s="988" t="str">
        <f t="shared" si="395"/>
        <v/>
      </c>
      <c r="CN204" s="533" t="str">
        <f t="shared" si="396"/>
        <v/>
      </c>
      <c r="CO204" s="534" t="str">
        <f t="shared" si="397"/>
        <v/>
      </c>
      <c r="CP204" s="535" t="str">
        <f t="shared" si="398"/>
        <v/>
      </c>
      <c r="CQ204" s="535" t="str">
        <f t="shared" si="399"/>
        <v/>
      </c>
      <c r="CR204" s="535" t="str">
        <f t="shared" si="400"/>
        <v/>
      </c>
      <c r="CS204" s="535" t="str">
        <f t="shared" si="401"/>
        <v/>
      </c>
      <c r="CT204" s="535" t="str">
        <f t="shared" si="402"/>
        <v/>
      </c>
      <c r="CU204" s="536" t="str">
        <f t="shared" si="403"/>
        <v/>
      </c>
      <c r="CV204" s="536" t="str">
        <f t="shared" si="404"/>
        <v/>
      </c>
      <c r="CW204" s="536" t="str">
        <f t="shared" si="405"/>
        <v/>
      </c>
      <c r="CX204" s="535" t="str">
        <f t="shared" si="406"/>
        <v/>
      </c>
      <c r="CY204" s="535" t="str">
        <f t="shared" si="407"/>
        <v/>
      </c>
      <c r="CZ204" s="535" t="str">
        <f t="shared" si="408"/>
        <v/>
      </c>
      <c r="DA204" s="535" t="str">
        <f t="shared" si="409"/>
        <v/>
      </c>
      <c r="DB204" s="535" t="str">
        <f t="shared" si="410"/>
        <v/>
      </c>
      <c r="DC204" s="534" t="str">
        <f t="shared" si="411"/>
        <v/>
      </c>
      <c r="DD204" s="533" t="str">
        <f t="shared" si="412"/>
        <v/>
      </c>
      <c r="DE204" s="635">
        <f t="shared" si="471"/>
        <v>0</v>
      </c>
      <c r="DF204" s="95">
        <f t="shared" si="472"/>
        <v>0</v>
      </c>
      <c r="DG204" s="95">
        <f t="shared" si="473"/>
        <v>0</v>
      </c>
      <c r="DH204" s="95">
        <f t="shared" si="474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25"/>
        <v>0</v>
      </c>
      <c r="CA205" s="582">
        <f t="shared" si="426"/>
        <v>0</v>
      </c>
      <c r="CB205" s="582">
        <f t="shared" si="427"/>
        <v>0</v>
      </c>
      <c r="CC205" s="582">
        <f t="shared" si="428"/>
        <v>0</v>
      </c>
      <c r="CD205" s="988">
        <f t="shared" ref="CD205:CM213" si="51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11"/>
        <v>0</v>
      </c>
      <c r="CF205" s="989">
        <f t="shared" si="511"/>
        <v>0</v>
      </c>
      <c r="CG205" s="989">
        <f t="shared" si="511"/>
        <v>0</v>
      </c>
      <c r="CH205" s="990">
        <f t="shared" si="511"/>
        <v>0</v>
      </c>
      <c r="CI205" s="990">
        <f t="shared" si="511"/>
        <v>0</v>
      </c>
      <c r="CJ205" s="989">
        <f t="shared" si="511"/>
        <v>0</v>
      </c>
      <c r="CK205" s="989">
        <f t="shared" si="511"/>
        <v>0</v>
      </c>
      <c r="CL205" s="989">
        <f t="shared" si="511"/>
        <v>0</v>
      </c>
      <c r="CM205" s="988">
        <f t="shared" si="511"/>
        <v>0</v>
      </c>
      <c r="CN205" s="533" t="str">
        <f t="shared" si="396"/>
        <v/>
      </c>
      <c r="CO205" s="534" t="str">
        <f t="shared" si="397"/>
        <v/>
      </c>
      <c r="CP205" s="535" t="str">
        <f t="shared" si="398"/>
        <v/>
      </c>
      <c r="CQ205" s="535" t="str">
        <f t="shared" si="399"/>
        <v/>
      </c>
      <c r="CR205" s="535">
        <f t="shared" si="400"/>
        <v>0</v>
      </c>
      <c r="CS205" s="535">
        <f t="shared" si="401"/>
        <v>0</v>
      </c>
      <c r="CT205" s="535">
        <f t="shared" si="402"/>
        <v>0</v>
      </c>
      <c r="CU205" s="536">
        <f t="shared" si="403"/>
        <v>0</v>
      </c>
      <c r="CV205" s="536">
        <f t="shared" si="404"/>
        <v>0</v>
      </c>
      <c r="CW205" s="536">
        <f t="shared" si="405"/>
        <v>0</v>
      </c>
      <c r="CX205" s="535">
        <f t="shared" si="406"/>
        <v>0</v>
      </c>
      <c r="CY205" s="535">
        <f t="shared" si="407"/>
        <v>0</v>
      </c>
      <c r="CZ205" s="535">
        <f t="shared" si="408"/>
        <v>0</v>
      </c>
      <c r="DA205" s="535">
        <f t="shared" si="409"/>
        <v>0</v>
      </c>
      <c r="DB205" s="535" t="str">
        <f t="shared" si="410"/>
        <v/>
      </c>
      <c r="DC205" s="534" t="str">
        <f t="shared" si="411"/>
        <v/>
      </c>
      <c r="DD205" s="533" t="str">
        <f t="shared" si="412"/>
        <v/>
      </c>
      <c r="DE205" s="635">
        <f t="shared" si="471"/>
        <v>10</v>
      </c>
      <c r="DF205" s="95">
        <f t="shared" si="472"/>
        <v>10</v>
      </c>
      <c r="DG205" s="95">
        <f t="shared" si="473"/>
        <v>10</v>
      </c>
      <c r="DH205" s="95">
        <f t="shared" si="474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25"/>
        <v/>
      </c>
      <c r="CA206" s="582" t="str">
        <f t="shared" si="426"/>
        <v/>
      </c>
      <c r="CB206" s="582" t="str">
        <f t="shared" si="427"/>
        <v/>
      </c>
      <c r="CC206" s="582" t="str">
        <f t="shared" si="428"/>
        <v/>
      </c>
      <c r="CD206" s="988" t="str">
        <f t="shared" si="511"/>
        <v/>
      </c>
      <c r="CE206" s="989" t="str">
        <f t="shared" si="511"/>
        <v/>
      </c>
      <c r="CF206" s="989" t="str">
        <f t="shared" si="511"/>
        <v/>
      </c>
      <c r="CG206" s="989" t="str">
        <f t="shared" si="511"/>
        <v/>
      </c>
      <c r="CH206" s="990" t="str">
        <f t="shared" si="511"/>
        <v/>
      </c>
      <c r="CI206" s="990" t="str">
        <f t="shared" si="511"/>
        <v/>
      </c>
      <c r="CJ206" s="989" t="str">
        <f t="shared" si="511"/>
        <v/>
      </c>
      <c r="CK206" s="989" t="str">
        <f t="shared" si="511"/>
        <v/>
      </c>
      <c r="CL206" s="989" t="str">
        <f t="shared" si="511"/>
        <v/>
      </c>
      <c r="CM206" s="988" t="str">
        <f t="shared" si="511"/>
        <v/>
      </c>
      <c r="CN206" s="533" t="str">
        <f t="shared" si="396"/>
        <v/>
      </c>
      <c r="CO206" s="534" t="str">
        <f t="shared" si="397"/>
        <v/>
      </c>
      <c r="CP206" s="535" t="str">
        <f t="shared" si="398"/>
        <v/>
      </c>
      <c r="CQ206" s="535" t="str">
        <f t="shared" si="399"/>
        <v/>
      </c>
      <c r="CR206" s="535" t="str">
        <f t="shared" si="400"/>
        <v/>
      </c>
      <c r="CS206" s="535" t="str">
        <f t="shared" si="401"/>
        <v/>
      </c>
      <c r="CT206" s="535" t="str">
        <f t="shared" si="402"/>
        <v/>
      </c>
      <c r="CU206" s="536" t="str">
        <f t="shared" si="403"/>
        <v/>
      </c>
      <c r="CV206" s="536" t="str">
        <f t="shared" si="404"/>
        <v/>
      </c>
      <c r="CW206" s="536" t="str">
        <f t="shared" si="405"/>
        <v/>
      </c>
      <c r="CX206" s="535" t="str">
        <f t="shared" si="406"/>
        <v/>
      </c>
      <c r="CY206" s="535" t="str">
        <f t="shared" si="407"/>
        <v/>
      </c>
      <c r="CZ206" s="535" t="str">
        <f t="shared" si="408"/>
        <v/>
      </c>
      <c r="DA206" s="535" t="str">
        <f t="shared" si="409"/>
        <v/>
      </c>
      <c r="DB206" s="535" t="str">
        <f t="shared" si="410"/>
        <v/>
      </c>
      <c r="DC206" s="534" t="str">
        <f t="shared" si="411"/>
        <v/>
      </c>
      <c r="DD206" s="533" t="str">
        <f t="shared" si="412"/>
        <v/>
      </c>
      <c r="DE206" s="635">
        <f t="shared" si="471"/>
        <v>0</v>
      </c>
      <c r="DF206" s="95">
        <f t="shared" si="472"/>
        <v>0</v>
      </c>
      <c r="DG206" s="95">
        <f t="shared" si="473"/>
        <v>0</v>
      </c>
      <c r="DH206" s="95">
        <f t="shared" si="474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12">IF(B205="","",B205*B206)</f>
        <v>0</v>
      </c>
      <c r="C207" s="662">
        <f t="shared" si="512"/>
        <v>0</v>
      </c>
      <c r="D207" s="662">
        <f t="shared" si="512"/>
        <v>0</v>
      </c>
      <c r="E207" s="662">
        <f t="shared" si="512"/>
        <v>0</v>
      </c>
      <c r="F207" s="662">
        <f t="shared" si="512"/>
        <v>0</v>
      </c>
      <c r="G207" s="662">
        <f t="shared" si="512"/>
        <v>0</v>
      </c>
      <c r="H207" s="662">
        <f t="shared" si="512"/>
        <v>0</v>
      </c>
      <c r="I207" s="662">
        <f t="shared" si="512"/>
        <v>0</v>
      </c>
      <c r="J207" s="662">
        <f t="shared" si="512"/>
        <v>0</v>
      </c>
      <c r="K207" s="662">
        <f t="shared" si="51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13">IF(T205="","",T205*T206)</f>
        <v>0</v>
      </c>
      <c r="U207" s="662">
        <f t="shared" si="513"/>
        <v>0</v>
      </c>
      <c r="V207" s="662">
        <f t="shared" si="513"/>
        <v>0</v>
      </c>
      <c r="W207" s="662">
        <f t="shared" si="513"/>
        <v>0</v>
      </c>
      <c r="X207" s="662">
        <f t="shared" si="513"/>
        <v>0</v>
      </c>
      <c r="Y207" s="662">
        <f t="shared" si="513"/>
        <v>0</v>
      </c>
      <c r="Z207" s="662">
        <f t="shared" si="513"/>
        <v>0</v>
      </c>
      <c r="AA207" s="662">
        <f t="shared" si="513"/>
        <v>0</v>
      </c>
      <c r="AB207" s="662">
        <f t="shared" si="513"/>
        <v>0</v>
      </c>
      <c r="AC207" s="662">
        <f t="shared" si="51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14">IF(AL205="","",AL205*AL206)</f>
        <v>0</v>
      </c>
      <c r="AM207" s="662">
        <f t="shared" si="514"/>
        <v>0</v>
      </c>
      <c r="AN207" s="662">
        <f t="shared" si="514"/>
        <v>0</v>
      </c>
      <c r="AO207" s="662">
        <f t="shared" si="514"/>
        <v>0</v>
      </c>
      <c r="AP207" s="662">
        <f t="shared" si="514"/>
        <v>0</v>
      </c>
      <c r="AQ207" s="662">
        <f t="shared" si="514"/>
        <v>0</v>
      </c>
      <c r="AR207" s="662">
        <f t="shared" si="514"/>
        <v>0</v>
      </c>
      <c r="AS207" s="662">
        <f t="shared" si="514"/>
        <v>0</v>
      </c>
      <c r="AT207" s="662">
        <f t="shared" si="514"/>
        <v>0</v>
      </c>
      <c r="AU207" s="662">
        <f t="shared" si="51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15">IF(BD205="","",BD205*BD206)</f>
        <v>0</v>
      </c>
      <c r="BE207" s="1215">
        <f t="shared" si="515"/>
        <v>0</v>
      </c>
      <c r="BF207" s="1215">
        <f t="shared" si="515"/>
        <v>0</v>
      </c>
      <c r="BG207" s="1215">
        <f t="shared" si="515"/>
        <v>0</v>
      </c>
      <c r="BH207" s="1215">
        <f t="shared" si="515"/>
        <v>0</v>
      </c>
      <c r="BI207" s="1215">
        <f t="shared" si="515"/>
        <v>0</v>
      </c>
      <c r="BJ207" s="1215">
        <f t="shared" si="515"/>
        <v>0</v>
      </c>
      <c r="BK207" s="1215">
        <f t="shared" si="515"/>
        <v>0</v>
      </c>
      <c r="BL207" s="1215">
        <f t="shared" si="515"/>
        <v>0</v>
      </c>
      <c r="BM207" s="1215">
        <f t="shared" si="51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25"/>
        <v>0</v>
      </c>
      <c r="CA207" s="582">
        <f t="shared" si="426"/>
        <v>0</v>
      </c>
      <c r="CB207" s="582">
        <f t="shared" si="427"/>
        <v>0</v>
      </c>
      <c r="CC207" s="582">
        <f t="shared" si="428"/>
        <v>0</v>
      </c>
      <c r="CD207" s="988">
        <f t="shared" si="511"/>
        <v>0</v>
      </c>
      <c r="CE207" s="989">
        <f t="shared" si="511"/>
        <v>0</v>
      </c>
      <c r="CF207" s="989">
        <f t="shared" si="511"/>
        <v>0</v>
      </c>
      <c r="CG207" s="989">
        <f t="shared" si="511"/>
        <v>0</v>
      </c>
      <c r="CH207" s="990">
        <f t="shared" si="511"/>
        <v>0</v>
      </c>
      <c r="CI207" s="990">
        <f t="shared" si="511"/>
        <v>0</v>
      </c>
      <c r="CJ207" s="989">
        <f t="shared" si="511"/>
        <v>0</v>
      </c>
      <c r="CK207" s="989">
        <f t="shared" si="511"/>
        <v>0</v>
      </c>
      <c r="CL207" s="989">
        <f t="shared" si="511"/>
        <v>0</v>
      </c>
      <c r="CM207" s="988">
        <f t="shared" si="511"/>
        <v>0</v>
      </c>
      <c r="CN207" s="533" t="str">
        <f t="shared" si="396"/>
        <v/>
      </c>
      <c r="CO207" s="534" t="str">
        <f t="shared" si="397"/>
        <v/>
      </c>
      <c r="CP207" s="535" t="str">
        <f t="shared" si="398"/>
        <v/>
      </c>
      <c r="CQ207" s="535" t="str">
        <f t="shared" si="399"/>
        <v/>
      </c>
      <c r="CR207" s="535">
        <f t="shared" si="400"/>
        <v>0</v>
      </c>
      <c r="CS207" s="535">
        <f t="shared" si="401"/>
        <v>0</v>
      </c>
      <c r="CT207" s="535">
        <f t="shared" si="402"/>
        <v>0</v>
      </c>
      <c r="CU207" s="536">
        <f t="shared" si="403"/>
        <v>0</v>
      </c>
      <c r="CV207" s="536">
        <f t="shared" si="404"/>
        <v>0</v>
      </c>
      <c r="CW207" s="536">
        <f t="shared" si="405"/>
        <v>0</v>
      </c>
      <c r="CX207" s="535">
        <f t="shared" si="406"/>
        <v>0</v>
      </c>
      <c r="CY207" s="535">
        <f t="shared" si="407"/>
        <v>0</v>
      </c>
      <c r="CZ207" s="535">
        <f t="shared" si="408"/>
        <v>0</v>
      </c>
      <c r="DA207" s="535">
        <f t="shared" si="409"/>
        <v>0</v>
      </c>
      <c r="DB207" s="535" t="str">
        <f t="shared" si="410"/>
        <v/>
      </c>
      <c r="DC207" s="534" t="str">
        <f t="shared" si="411"/>
        <v/>
      </c>
      <c r="DD207" s="533" t="str">
        <f t="shared" si="412"/>
        <v/>
      </c>
      <c r="DE207" s="635">
        <f t="shared" si="471"/>
        <v>10</v>
      </c>
      <c r="DF207" s="95">
        <f t="shared" si="472"/>
        <v>10</v>
      </c>
      <c r="DG207" s="95">
        <f t="shared" si="473"/>
        <v>10</v>
      </c>
      <c r="DH207" s="95">
        <f t="shared" si="474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25"/>
        <v/>
      </c>
      <c r="CA208" s="582" t="str">
        <f t="shared" si="426"/>
        <v/>
      </c>
      <c r="CB208" s="582" t="str">
        <f t="shared" si="427"/>
        <v/>
      </c>
      <c r="CC208" s="582" t="str">
        <f t="shared" si="428"/>
        <v/>
      </c>
      <c r="CD208" s="988" t="str">
        <f t="shared" si="511"/>
        <v/>
      </c>
      <c r="CE208" s="989" t="str">
        <f t="shared" si="511"/>
        <v/>
      </c>
      <c r="CF208" s="989" t="str">
        <f t="shared" si="511"/>
        <v/>
      </c>
      <c r="CG208" s="989" t="str">
        <f t="shared" si="511"/>
        <v/>
      </c>
      <c r="CH208" s="990" t="str">
        <f t="shared" si="511"/>
        <v/>
      </c>
      <c r="CI208" s="990" t="str">
        <f t="shared" si="511"/>
        <v/>
      </c>
      <c r="CJ208" s="989" t="str">
        <f t="shared" si="511"/>
        <v/>
      </c>
      <c r="CK208" s="989" t="str">
        <f t="shared" si="511"/>
        <v/>
      </c>
      <c r="CL208" s="989" t="str">
        <f t="shared" si="511"/>
        <v/>
      </c>
      <c r="CM208" s="988" t="str">
        <f t="shared" si="511"/>
        <v/>
      </c>
      <c r="CN208" s="533" t="str">
        <f t="shared" si="396"/>
        <v/>
      </c>
      <c r="CO208" s="534" t="str">
        <f t="shared" si="397"/>
        <v/>
      </c>
      <c r="CP208" s="535" t="str">
        <f t="shared" si="398"/>
        <v/>
      </c>
      <c r="CQ208" s="535" t="str">
        <f t="shared" si="399"/>
        <v/>
      </c>
      <c r="CR208" s="535" t="str">
        <f t="shared" si="400"/>
        <v/>
      </c>
      <c r="CS208" s="535" t="str">
        <f t="shared" si="401"/>
        <v/>
      </c>
      <c r="CT208" s="535" t="str">
        <f t="shared" si="402"/>
        <v/>
      </c>
      <c r="CU208" s="536" t="str">
        <f t="shared" si="403"/>
        <v/>
      </c>
      <c r="CV208" s="536" t="str">
        <f t="shared" si="404"/>
        <v/>
      </c>
      <c r="CW208" s="536" t="str">
        <f t="shared" si="405"/>
        <v/>
      </c>
      <c r="CX208" s="535" t="str">
        <f t="shared" si="406"/>
        <v/>
      </c>
      <c r="CY208" s="535" t="str">
        <f t="shared" si="407"/>
        <v/>
      </c>
      <c r="CZ208" s="535" t="str">
        <f t="shared" si="408"/>
        <v/>
      </c>
      <c r="DA208" s="535" t="str">
        <f t="shared" si="409"/>
        <v/>
      </c>
      <c r="DB208" s="535" t="str">
        <f t="shared" si="410"/>
        <v/>
      </c>
      <c r="DC208" s="534" t="str">
        <f t="shared" si="411"/>
        <v/>
      </c>
      <c r="DD208" s="533" t="str">
        <f t="shared" si="412"/>
        <v/>
      </c>
      <c r="DE208" s="635">
        <f t="shared" si="471"/>
        <v>0</v>
      </c>
      <c r="DF208" s="95">
        <f t="shared" si="472"/>
        <v>0</v>
      </c>
      <c r="DG208" s="95">
        <f t="shared" si="473"/>
        <v>0</v>
      </c>
      <c r="DH208" s="95">
        <f t="shared" si="474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25"/>
        <v/>
      </c>
      <c r="CA209" s="582" t="str">
        <f t="shared" si="426"/>
        <v/>
      </c>
      <c r="CB209" s="582" t="str">
        <f t="shared" si="427"/>
        <v/>
      </c>
      <c r="CC209" s="582" t="str">
        <f t="shared" si="428"/>
        <v/>
      </c>
      <c r="CD209" s="988" t="str">
        <f t="shared" si="511"/>
        <v/>
      </c>
      <c r="CE209" s="989" t="str">
        <f t="shared" si="511"/>
        <v/>
      </c>
      <c r="CF209" s="989" t="str">
        <f t="shared" si="511"/>
        <v/>
      </c>
      <c r="CG209" s="989" t="str">
        <f t="shared" si="511"/>
        <v/>
      </c>
      <c r="CH209" s="990" t="str">
        <f t="shared" si="511"/>
        <v/>
      </c>
      <c r="CI209" s="990" t="str">
        <f t="shared" si="511"/>
        <v/>
      </c>
      <c r="CJ209" s="989" t="str">
        <f t="shared" si="511"/>
        <v/>
      </c>
      <c r="CK209" s="989" t="str">
        <f t="shared" si="511"/>
        <v/>
      </c>
      <c r="CL209" s="989" t="str">
        <f t="shared" si="511"/>
        <v/>
      </c>
      <c r="CM209" s="988" t="str">
        <f t="shared" si="511"/>
        <v/>
      </c>
      <c r="CN209" s="533" t="str">
        <f t="shared" si="396"/>
        <v/>
      </c>
      <c r="CO209" s="534" t="str">
        <f t="shared" si="397"/>
        <v/>
      </c>
      <c r="CP209" s="535" t="str">
        <f t="shared" si="398"/>
        <v/>
      </c>
      <c r="CQ209" s="535" t="str">
        <f t="shared" si="399"/>
        <v/>
      </c>
      <c r="CR209" s="535" t="str">
        <f t="shared" si="400"/>
        <v/>
      </c>
      <c r="CS209" s="535" t="str">
        <f t="shared" si="401"/>
        <v/>
      </c>
      <c r="CT209" s="535" t="str">
        <f t="shared" si="402"/>
        <v/>
      </c>
      <c r="CU209" s="536" t="str">
        <f t="shared" si="403"/>
        <v/>
      </c>
      <c r="CV209" s="536" t="str">
        <f t="shared" si="404"/>
        <v/>
      </c>
      <c r="CW209" s="536" t="str">
        <f t="shared" si="405"/>
        <v/>
      </c>
      <c r="CX209" s="535" t="str">
        <f t="shared" si="406"/>
        <v/>
      </c>
      <c r="CY209" s="535" t="str">
        <f t="shared" si="407"/>
        <v/>
      </c>
      <c r="CZ209" s="535" t="str">
        <f t="shared" si="408"/>
        <v/>
      </c>
      <c r="DA209" s="535" t="str">
        <f t="shared" si="409"/>
        <v/>
      </c>
      <c r="DB209" s="535" t="str">
        <f t="shared" si="410"/>
        <v/>
      </c>
      <c r="DC209" s="534" t="str">
        <f t="shared" si="411"/>
        <v/>
      </c>
      <c r="DD209" s="533" t="str">
        <f t="shared" si="412"/>
        <v/>
      </c>
      <c r="DE209" s="635">
        <f t="shared" si="471"/>
        <v>0</v>
      </c>
      <c r="DF209" s="95">
        <f t="shared" si="472"/>
        <v>0</v>
      </c>
      <c r="DG209" s="95">
        <f t="shared" si="473"/>
        <v>0</v>
      </c>
      <c r="DH209" s="95">
        <f t="shared" si="474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16">IF(B208="","",B208*B209)</f>
        <v/>
      </c>
      <c r="C210" s="592" t="str">
        <f t="shared" si="516"/>
        <v/>
      </c>
      <c r="D210" s="592" t="str">
        <f t="shared" si="516"/>
        <v/>
      </c>
      <c r="E210" s="592" t="str">
        <f t="shared" si="516"/>
        <v/>
      </c>
      <c r="F210" s="592" t="str">
        <f t="shared" si="516"/>
        <v/>
      </c>
      <c r="G210" s="592" t="str">
        <f t="shared" si="516"/>
        <v/>
      </c>
      <c r="H210" s="592" t="str">
        <f t="shared" si="516"/>
        <v/>
      </c>
      <c r="I210" s="592" t="str">
        <f t="shared" si="516"/>
        <v/>
      </c>
      <c r="J210" s="592" t="str">
        <f t="shared" si="516"/>
        <v/>
      </c>
      <c r="K210" s="592" t="str">
        <f t="shared" si="51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17">IF(T208="","",T208*T209)</f>
        <v/>
      </c>
      <c r="U210" s="592" t="str">
        <f t="shared" si="517"/>
        <v/>
      </c>
      <c r="V210" s="592" t="str">
        <f t="shared" si="517"/>
        <v/>
      </c>
      <c r="W210" s="592" t="str">
        <f t="shared" si="517"/>
        <v/>
      </c>
      <c r="X210" s="592" t="str">
        <f t="shared" si="517"/>
        <v/>
      </c>
      <c r="Y210" s="592" t="str">
        <f t="shared" si="517"/>
        <v/>
      </c>
      <c r="Z210" s="592" t="str">
        <f t="shared" si="517"/>
        <v/>
      </c>
      <c r="AA210" s="592" t="str">
        <f t="shared" si="517"/>
        <v/>
      </c>
      <c r="AB210" s="592" t="str">
        <f t="shared" si="517"/>
        <v/>
      </c>
      <c r="AC210" s="592" t="str">
        <f t="shared" si="51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18">IF(AL208="","",AL208*AL209)</f>
        <v/>
      </c>
      <c r="AM210" s="592" t="str">
        <f t="shared" si="518"/>
        <v/>
      </c>
      <c r="AN210" s="592" t="str">
        <f t="shared" si="518"/>
        <v/>
      </c>
      <c r="AO210" s="592" t="str">
        <f t="shared" si="518"/>
        <v/>
      </c>
      <c r="AP210" s="592" t="str">
        <f t="shared" si="518"/>
        <v/>
      </c>
      <c r="AQ210" s="592" t="str">
        <f t="shared" si="518"/>
        <v/>
      </c>
      <c r="AR210" s="592" t="str">
        <f t="shared" si="518"/>
        <v/>
      </c>
      <c r="AS210" s="592" t="str">
        <f t="shared" si="518"/>
        <v/>
      </c>
      <c r="AT210" s="592" t="str">
        <f t="shared" si="518"/>
        <v/>
      </c>
      <c r="AU210" s="592" t="str">
        <f t="shared" si="51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19">IF(BD208="","",BD208*BD209)</f>
        <v/>
      </c>
      <c r="BE210" s="1195" t="str">
        <f t="shared" si="519"/>
        <v/>
      </c>
      <c r="BF210" s="1195" t="str">
        <f t="shared" si="519"/>
        <v/>
      </c>
      <c r="BG210" s="1195" t="str">
        <f t="shared" si="519"/>
        <v/>
      </c>
      <c r="BH210" s="1195" t="str">
        <f t="shared" si="519"/>
        <v/>
      </c>
      <c r="BI210" s="1195" t="str">
        <f t="shared" si="519"/>
        <v/>
      </c>
      <c r="BJ210" s="1195" t="str">
        <f t="shared" si="519"/>
        <v/>
      </c>
      <c r="BK210" s="1195" t="str">
        <f t="shared" si="519"/>
        <v/>
      </c>
      <c r="BL210" s="1195" t="str">
        <f t="shared" si="519"/>
        <v/>
      </c>
      <c r="BM210" s="1195" t="str">
        <f t="shared" si="51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25"/>
        <v/>
      </c>
      <c r="CA210" s="582" t="str">
        <f t="shared" si="426"/>
        <v/>
      </c>
      <c r="CB210" s="582" t="str">
        <f t="shared" si="427"/>
        <v/>
      </c>
      <c r="CC210" s="582" t="str">
        <f t="shared" si="428"/>
        <v/>
      </c>
      <c r="CD210" s="988" t="str">
        <f t="shared" si="511"/>
        <v/>
      </c>
      <c r="CE210" s="989" t="str">
        <f t="shared" si="511"/>
        <v/>
      </c>
      <c r="CF210" s="989" t="str">
        <f t="shared" si="511"/>
        <v/>
      </c>
      <c r="CG210" s="989" t="str">
        <f t="shared" si="511"/>
        <v/>
      </c>
      <c r="CH210" s="990" t="str">
        <f t="shared" si="511"/>
        <v/>
      </c>
      <c r="CI210" s="990" t="str">
        <f t="shared" si="511"/>
        <v/>
      </c>
      <c r="CJ210" s="989" t="str">
        <f t="shared" si="511"/>
        <v/>
      </c>
      <c r="CK210" s="989" t="str">
        <f t="shared" si="511"/>
        <v/>
      </c>
      <c r="CL210" s="989" t="str">
        <f t="shared" si="511"/>
        <v/>
      </c>
      <c r="CM210" s="988" t="str">
        <f t="shared" si="511"/>
        <v/>
      </c>
      <c r="CN210" s="533" t="str">
        <f t="shared" si="396"/>
        <v/>
      </c>
      <c r="CO210" s="534" t="str">
        <f t="shared" si="397"/>
        <v/>
      </c>
      <c r="CP210" s="535" t="str">
        <f t="shared" si="398"/>
        <v/>
      </c>
      <c r="CQ210" s="535" t="str">
        <f t="shared" si="399"/>
        <v/>
      </c>
      <c r="CR210" s="535" t="str">
        <f t="shared" si="400"/>
        <v/>
      </c>
      <c r="CS210" s="535" t="str">
        <f t="shared" si="401"/>
        <v/>
      </c>
      <c r="CT210" s="535" t="str">
        <f t="shared" si="402"/>
        <v/>
      </c>
      <c r="CU210" s="536" t="str">
        <f t="shared" si="403"/>
        <v/>
      </c>
      <c r="CV210" s="536" t="str">
        <f t="shared" si="404"/>
        <v/>
      </c>
      <c r="CW210" s="536" t="str">
        <f t="shared" si="405"/>
        <v/>
      </c>
      <c r="CX210" s="535" t="str">
        <f t="shared" si="406"/>
        <v/>
      </c>
      <c r="CY210" s="535" t="str">
        <f t="shared" si="407"/>
        <v/>
      </c>
      <c r="CZ210" s="535" t="str">
        <f t="shared" si="408"/>
        <v/>
      </c>
      <c r="DA210" s="535" t="str">
        <f t="shared" si="409"/>
        <v/>
      </c>
      <c r="DB210" s="535" t="str">
        <f t="shared" si="410"/>
        <v/>
      </c>
      <c r="DC210" s="534" t="str">
        <f t="shared" si="411"/>
        <v/>
      </c>
      <c r="DD210" s="533" t="str">
        <f t="shared" si="412"/>
        <v/>
      </c>
      <c r="DE210" s="635">
        <f t="shared" si="471"/>
        <v>0</v>
      </c>
      <c r="DF210" s="95">
        <f t="shared" si="472"/>
        <v>0</v>
      </c>
      <c r="DG210" s="95">
        <f t="shared" si="473"/>
        <v>0</v>
      </c>
      <c r="DH210" s="95">
        <f t="shared" si="474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25"/>
        <v>0</v>
      </c>
      <c r="CA211" s="582">
        <f t="shared" si="426"/>
        <v>0</v>
      </c>
      <c r="CB211" s="582">
        <f t="shared" si="427"/>
        <v>0</v>
      </c>
      <c r="CC211" s="582">
        <f t="shared" si="428"/>
        <v>0</v>
      </c>
      <c r="CD211" s="988">
        <f t="shared" si="511"/>
        <v>0</v>
      </c>
      <c r="CE211" s="989">
        <f t="shared" si="511"/>
        <v>0</v>
      </c>
      <c r="CF211" s="989">
        <f t="shared" si="511"/>
        <v>0</v>
      </c>
      <c r="CG211" s="989">
        <f t="shared" si="511"/>
        <v>0</v>
      </c>
      <c r="CH211" s="990">
        <f t="shared" si="511"/>
        <v>0</v>
      </c>
      <c r="CI211" s="990">
        <f t="shared" si="511"/>
        <v>0</v>
      </c>
      <c r="CJ211" s="989">
        <f t="shared" si="511"/>
        <v>0</v>
      </c>
      <c r="CK211" s="989">
        <f t="shared" si="511"/>
        <v>0</v>
      </c>
      <c r="CL211" s="989">
        <f t="shared" si="511"/>
        <v>0</v>
      </c>
      <c r="CM211" s="988">
        <f t="shared" si="511"/>
        <v>0</v>
      </c>
      <c r="CN211" s="533" t="str">
        <f t="shared" si="396"/>
        <v/>
      </c>
      <c r="CO211" s="534" t="str">
        <f t="shared" si="397"/>
        <v/>
      </c>
      <c r="CP211" s="535" t="str">
        <f t="shared" si="398"/>
        <v/>
      </c>
      <c r="CQ211" s="535" t="str">
        <f t="shared" si="399"/>
        <v/>
      </c>
      <c r="CR211" s="535">
        <f t="shared" si="400"/>
        <v>0</v>
      </c>
      <c r="CS211" s="535">
        <f t="shared" si="401"/>
        <v>0</v>
      </c>
      <c r="CT211" s="535">
        <f t="shared" si="402"/>
        <v>0</v>
      </c>
      <c r="CU211" s="536">
        <f t="shared" si="403"/>
        <v>0</v>
      </c>
      <c r="CV211" s="536">
        <f t="shared" si="404"/>
        <v>0</v>
      </c>
      <c r="CW211" s="536">
        <f t="shared" si="405"/>
        <v>0</v>
      </c>
      <c r="CX211" s="535">
        <f t="shared" si="406"/>
        <v>0</v>
      </c>
      <c r="CY211" s="535">
        <f t="shared" si="407"/>
        <v>0</v>
      </c>
      <c r="CZ211" s="535">
        <f t="shared" si="408"/>
        <v>0</v>
      </c>
      <c r="DA211" s="535">
        <f t="shared" si="409"/>
        <v>0</v>
      </c>
      <c r="DB211" s="535" t="str">
        <f t="shared" si="410"/>
        <v/>
      </c>
      <c r="DC211" s="534" t="str">
        <f t="shared" si="411"/>
        <v/>
      </c>
      <c r="DD211" s="533" t="str">
        <f t="shared" si="412"/>
        <v/>
      </c>
      <c r="DE211" s="635">
        <f t="shared" si="471"/>
        <v>10</v>
      </c>
      <c r="DF211" s="95">
        <f t="shared" si="472"/>
        <v>10</v>
      </c>
      <c r="DG211" s="95">
        <f t="shared" si="473"/>
        <v>10</v>
      </c>
      <c r="DH211" s="95">
        <f t="shared" si="474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25"/>
        <v/>
      </c>
      <c r="CA212" s="582" t="str">
        <f t="shared" si="426"/>
        <v/>
      </c>
      <c r="CB212" s="582" t="str">
        <f t="shared" si="427"/>
        <v/>
      </c>
      <c r="CC212" s="582" t="str">
        <f t="shared" si="428"/>
        <v/>
      </c>
      <c r="CD212" s="988" t="str">
        <f t="shared" si="511"/>
        <v/>
      </c>
      <c r="CE212" s="989" t="str">
        <f t="shared" si="511"/>
        <v/>
      </c>
      <c r="CF212" s="989" t="str">
        <f t="shared" si="511"/>
        <v/>
      </c>
      <c r="CG212" s="989" t="str">
        <f t="shared" si="511"/>
        <v/>
      </c>
      <c r="CH212" s="990" t="str">
        <f t="shared" si="511"/>
        <v/>
      </c>
      <c r="CI212" s="990" t="str">
        <f t="shared" si="511"/>
        <v/>
      </c>
      <c r="CJ212" s="989" t="str">
        <f t="shared" si="511"/>
        <v/>
      </c>
      <c r="CK212" s="989" t="str">
        <f t="shared" si="511"/>
        <v/>
      </c>
      <c r="CL212" s="989" t="str">
        <f t="shared" si="511"/>
        <v/>
      </c>
      <c r="CM212" s="988" t="str">
        <f t="shared" si="511"/>
        <v/>
      </c>
      <c r="CN212" s="533" t="str">
        <f t="shared" si="396"/>
        <v/>
      </c>
      <c r="CO212" s="534" t="str">
        <f t="shared" si="397"/>
        <v/>
      </c>
      <c r="CP212" s="535" t="str">
        <f t="shared" si="398"/>
        <v/>
      </c>
      <c r="CQ212" s="535" t="str">
        <f t="shared" si="399"/>
        <v/>
      </c>
      <c r="CR212" s="535" t="str">
        <f t="shared" si="400"/>
        <v/>
      </c>
      <c r="CS212" s="535" t="str">
        <f t="shared" si="401"/>
        <v/>
      </c>
      <c r="CT212" s="535" t="str">
        <f t="shared" si="402"/>
        <v/>
      </c>
      <c r="CU212" s="536" t="str">
        <f t="shared" si="403"/>
        <v/>
      </c>
      <c r="CV212" s="536" t="str">
        <f t="shared" si="404"/>
        <v/>
      </c>
      <c r="CW212" s="536" t="str">
        <f t="shared" si="405"/>
        <v/>
      </c>
      <c r="CX212" s="535" t="str">
        <f t="shared" si="406"/>
        <v/>
      </c>
      <c r="CY212" s="535" t="str">
        <f t="shared" si="407"/>
        <v/>
      </c>
      <c r="CZ212" s="535" t="str">
        <f t="shared" si="408"/>
        <v/>
      </c>
      <c r="DA212" s="535" t="str">
        <f t="shared" si="409"/>
        <v/>
      </c>
      <c r="DB212" s="535" t="str">
        <f t="shared" si="410"/>
        <v/>
      </c>
      <c r="DC212" s="534" t="str">
        <f t="shared" si="411"/>
        <v/>
      </c>
      <c r="DD212" s="533" t="str">
        <f t="shared" si="412"/>
        <v/>
      </c>
      <c r="DE212" s="635">
        <f t="shared" ref="DE212:DE226" si="520">COUNT(B212:R212)</f>
        <v>0</v>
      </c>
      <c r="DF212" s="95">
        <f t="shared" ref="DF212:DF226" si="521">COUNT(T212:AJ212)</f>
        <v>0</v>
      </c>
      <c r="DG212" s="95">
        <f t="shared" ref="DG212:DG226" si="522">COUNT(AL212:BB212)</f>
        <v>0</v>
      </c>
      <c r="DH212" s="95">
        <f t="shared" ref="DH212:DH226" si="52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24">IF(B211="","",B211*B212)</f>
        <v>0</v>
      </c>
      <c r="C213" s="592">
        <f t="shared" si="524"/>
        <v>0</v>
      </c>
      <c r="D213" s="592">
        <f t="shared" si="524"/>
        <v>0</v>
      </c>
      <c r="E213" s="592">
        <f t="shared" si="524"/>
        <v>0</v>
      </c>
      <c r="F213" s="592">
        <f t="shared" si="524"/>
        <v>0</v>
      </c>
      <c r="G213" s="592">
        <f t="shared" si="524"/>
        <v>0</v>
      </c>
      <c r="H213" s="592">
        <f t="shared" si="524"/>
        <v>0</v>
      </c>
      <c r="I213" s="592">
        <f t="shared" si="524"/>
        <v>0</v>
      </c>
      <c r="J213" s="592">
        <f t="shared" si="524"/>
        <v>0</v>
      </c>
      <c r="K213" s="592">
        <f t="shared" si="52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25">IF(T211="","",T211*T212)</f>
        <v>0</v>
      </c>
      <c r="U213" s="592">
        <f t="shared" si="525"/>
        <v>0</v>
      </c>
      <c r="V213" s="592">
        <f t="shared" si="525"/>
        <v>0</v>
      </c>
      <c r="W213" s="592">
        <f t="shared" si="525"/>
        <v>0</v>
      </c>
      <c r="X213" s="592">
        <f t="shared" si="525"/>
        <v>0</v>
      </c>
      <c r="Y213" s="592">
        <f t="shared" si="525"/>
        <v>0</v>
      </c>
      <c r="Z213" s="592">
        <f t="shared" si="525"/>
        <v>0</v>
      </c>
      <c r="AA213" s="592">
        <f t="shared" si="525"/>
        <v>0</v>
      </c>
      <c r="AB213" s="592">
        <f t="shared" si="525"/>
        <v>0</v>
      </c>
      <c r="AC213" s="592">
        <f t="shared" si="52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26">IF(AL211="","",AL211*AL212)</f>
        <v>0</v>
      </c>
      <c r="AM213" s="592">
        <f t="shared" si="526"/>
        <v>0</v>
      </c>
      <c r="AN213" s="592">
        <f t="shared" si="526"/>
        <v>0</v>
      </c>
      <c r="AO213" s="592">
        <f t="shared" si="526"/>
        <v>0</v>
      </c>
      <c r="AP213" s="592">
        <f t="shared" si="526"/>
        <v>0</v>
      </c>
      <c r="AQ213" s="592">
        <f t="shared" si="526"/>
        <v>0</v>
      </c>
      <c r="AR213" s="592">
        <f t="shared" si="526"/>
        <v>0</v>
      </c>
      <c r="AS213" s="592">
        <f t="shared" si="526"/>
        <v>0</v>
      </c>
      <c r="AT213" s="592">
        <f t="shared" si="526"/>
        <v>0</v>
      </c>
      <c r="AU213" s="592">
        <f t="shared" si="52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27">IF(BD211="","",BD211*BD212)</f>
        <v>0</v>
      </c>
      <c r="BE213" s="1195">
        <f t="shared" si="527"/>
        <v>0</v>
      </c>
      <c r="BF213" s="1195">
        <f t="shared" si="527"/>
        <v>0</v>
      </c>
      <c r="BG213" s="1195">
        <f t="shared" si="527"/>
        <v>0</v>
      </c>
      <c r="BH213" s="1195">
        <f t="shared" si="527"/>
        <v>0</v>
      </c>
      <c r="BI213" s="1195">
        <f t="shared" si="527"/>
        <v>0</v>
      </c>
      <c r="BJ213" s="1195">
        <f t="shared" si="527"/>
        <v>0</v>
      </c>
      <c r="BK213" s="1195">
        <f t="shared" si="527"/>
        <v>0</v>
      </c>
      <c r="BL213" s="1195">
        <f t="shared" si="527"/>
        <v>0</v>
      </c>
      <c r="BM213" s="1195">
        <f t="shared" si="52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25"/>
        <v>0</v>
      </c>
      <c r="CA213" s="582">
        <f t="shared" si="426"/>
        <v>0</v>
      </c>
      <c r="CB213" s="582">
        <f t="shared" si="427"/>
        <v>0</v>
      </c>
      <c r="CC213" s="582">
        <f t="shared" si="428"/>
        <v>0</v>
      </c>
      <c r="CD213" s="988">
        <f t="shared" si="511"/>
        <v>0</v>
      </c>
      <c r="CE213" s="989">
        <f t="shared" si="511"/>
        <v>0</v>
      </c>
      <c r="CF213" s="989">
        <f t="shared" si="511"/>
        <v>0</v>
      </c>
      <c r="CG213" s="989">
        <f t="shared" si="511"/>
        <v>0</v>
      </c>
      <c r="CH213" s="990">
        <f t="shared" si="511"/>
        <v>0</v>
      </c>
      <c r="CI213" s="990">
        <f t="shared" si="511"/>
        <v>0</v>
      </c>
      <c r="CJ213" s="989">
        <f t="shared" si="511"/>
        <v>0</v>
      </c>
      <c r="CK213" s="989">
        <f t="shared" si="511"/>
        <v>0</v>
      </c>
      <c r="CL213" s="989">
        <f t="shared" si="511"/>
        <v>0</v>
      </c>
      <c r="CM213" s="988">
        <f t="shared" si="511"/>
        <v>0</v>
      </c>
      <c r="CN213" s="533" t="str">
        <f t="shared" si="396"/>
        <v/>
      </c>
      <c r="CO213" s="534" t="str">
        <f t="shared" si="397"/>
        <v/>
      </c>
      <c r="CP213" s="535" t="str">
        <f t="shared" si="398"/>
        <v/>
      </c>
      <c r="CQ213" s="535" t="str">
        <f t="shared" si="399"/>
        <v/>
      </c>
      <c r="CR213" s="535">
        <f t="shared" si="400"/>
        <v>0</v>
      </c>
      <c r="CS213" s="535">
        <f t="shared" si="401"/>
        <v>0</v>
      </c>
      <c r="CT213" s="535">
        <f t="shared" si="402"/>
        <v>0</v>
      </c>
      <c r="CU213" s="536">
        <f t="shared" si="403"/>
        <v>0</v>
      </c>
      <c r="CV213" s="536">
        <f t="shared" si="404"/>
        <v>0</v>
      </c>
      <c r="CW213" s="536">
        <f t="shared" si="405"/>
        <v>0</v>
      </c>
      <c r="CX213" s="535">
        <f t="shared" si="406"/>
        <v>0</v>
      </c>
      <c r="CY213" s="535">
        <f t="shared" si="407"/>
        <v>0</v>
      </c>
      <c r="CZ213" s="535">
        <f t="shared" si="408"/>
        <v>0</v>
      </c>
      <c r="DA213" s="535">
        <f t="shared" si="409"/>
        <v>0</v>
      </c>
      <c r="DB213" s="535" t="str">
        <f t="shared" si="410"/>
        <v/>
      </c>
      <c r="DC213" s="534" t="str">
        <f t="shared" si="411"/>
        <v/>
      </c>
      <c r="DD213" s="533" t="str">
        <f t="shared" si="412"/>
        <v/>
      </c>
      <c r="DE213" s="635">
        <f t="shared" si="520"/>
        <v>10</v>
      </c>
      <c r="DF213" s="95">
        <f t="shared" si="521"/>
        <v>10</v>
      </c>
      <c r="DG213" s="95">
        <f t="shared" si="522"/>
        <v>10</v>
      </c>
      <c r="DH213" s="95">
        <f t="shared" si="52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28">IF(SUM(B54,B55)=0,"",(B181+B202+B205+B208+B211)/SUM(B54,B55))</f>
        <v/>
      </c>
      <c r="C214" s="605" t="str">
        <f t="shared" si="528"/>
        <v/>
      </c>
      <c r="D214" s="605" t="str">
        <f t="shared" si="528"/>
        <v/>
      </c>
      <c r="E214" s="605" t="str">
        <f t="shared" si="528"/>
        <v/>
      </c>
      <c r="F214" s="605" t="str">
        <f t="shared" si="528"/>
        <v/>
      </c>
      <c r="G214" s="605" t="str">
        <f t="shared" si="528"/>
        <v/>
      </c>
      <c r="H214" s="605" t="str">
        <f t="shared" si="528"/>
        <v/>
      </c>
      <c r="I214" s="605" t="str">
        <f t="shared" si="528"/>
        <v/>
      </c>
      <c r="J214" s="605" t="str">
        <f t="shared" si="528"/>
        <v/>
      </c>
      <c r="K214" s="605" t="str">
        <f t="shared" si="52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29">IF(SUM(T54,T55)=0,"",(T181+T202+T205+T208+T211)/SUM(T54,T55))</f>
        <v/>
      </c>
      <c r="U214" s="605" t="str">
        <f t="shared" si="529"/>
        <v/>
      </c>
      <c r="V214" s="605" t="str">
        <f t="shared" si="529"/>
        <v/>
      </c>
      <c r="W214" s="605" t="str">
        <f t="shared" si="529"/>
        <v/>
      </c>
      <c r="X214" s="605" t="str">
        <f t="shared" si="529"/>
        <v/>
      </c>
      <c r="Y214" s="605" t="str">
        <f t="shared" si="529"/>
        <v/>
      </c>
      <c r="Z214" s="605" t="str">
        <f t="shared" si="529"/>
        <v/>
      </c>
      <c r="AA214" s="605" t="str">
        <f t="shared" si="529"/>
        <v/>
      </c>
      <c r="AB214" s="605" t="str">
        <f t="shared" si="529"/>
        <v/>
      </c>
      <c r="AC214" s="605" t="str">
        <f t="shared" si="52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30">IF(SUM(AL54,AL55)=0,"",(AL181+AL202+AL205+AL208+AL211)/SUM(AL54,AL55))</f>
        <v/>
      </c>
      <c r="AM214" s="605" t="str">
        <f t="shared" si="530"/>
        <v/>
      </c>
      <c r="AN214" s="605" t="str">
        <f t="shared" si="530"/>
        <v/>
      </c>
      <c r="AO214" s="605" t="str">
        <f t="shared" si="530"/>
        <v/>
      </c>
      <c r="AP214" s="605" t="str">
        <f t="shared" si="530"/>
        <v/>
      </c>
      <c r="AQ214" s="605" t="str">
        <f t="shared" si="530"/>
        <v/>
      </c>
      <c r="AR214" s="605" t="str">
        <f t="shared" si="530"/>
        <v/>
      </c>
      <c r="AS214" s="605" t="str">
        <f t="shared" si="530"/>
        <v/>
      </c>
      <c r="AT214" s="605" t="str">
        <f t="shared" si="530"/>
        <v/>
      </c>
      <c r="AU214" s="605" t="str">
        <f t="shared" si="53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31">IF(SUM(BD54,BD55)=0,"",(BD181+BD202+BD205+BD208+BD211)/SUM(BD54,BD55))</f>
        <v/>
      </c>
      <c r="BE214" s="1197" t="str">
        <f t="shared" si="531"/>
        <v/>
      </c>
      <c r="BF214" s="1197" t="str">
        <f t="shared" si="531"/>
        <v/>
      </c>
      <c r="BG214" s="1197" t="str">
        <f t="shared" si="531"/>
        <v/>
      </c>
      <c r="BH214" s="1197" t="str">
        <f t="shared" si="531"/>
        <v/>
      </c>
      <c r="BI214" s="1197" t="str">
        <f t="shared" si="531"/>
        <v/>
      </c>
      <c r="BJ214" s="1197" t="str">
        <f t="shared" si="531"/>
        <v/>
      </c>
      <c r="BK214" s="1197" t="str">
        <f t="shared" si="531"/>
        <v/>
      </c>
      <c r="BL214" s="1197" t="str">
        <f t="shared" si="531"/>
        <v/>
      </c>
      <c r="BM214" s="1197" t="str">
        <f t="shared" si="53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25"/>
        <v/>
      </c>
      <c r="CA214" s="582" t="str">
        <f t="shared" si="426"/>
        <v/>
      </c>
      <c r="CB214" s="582" t="str">
        <f t="shared" si="427"/>
        <v/>
      </c>
      <c r="CC214" s="582" t="str">
        <f t="shared" si="428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53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532"/>
        <v/>
      </c>
      <c r="CG214" s="992" t="str">
        <f t="shared" si="532"/>
        <v/>
      </c>
      <c r="CH214" s="993" t="str">
        <f t="shared" si="532"/>
        <v/>
      </c>
      <c r="CI214" s="993" t="str">
        <f t="shared" si="532"/>
        <v/>
      </c>
      <c r="CJ214" s="992" t="str">
        <f t="shared" si="532"/>
        <v/>
      </c>
      <c r="CK214" s="992" t="str">
        <f t="shared" si="532"/>
        <v/>
      </c>
      <c r="CL214" s="992" t="str">
        <f t="shared" si="532"/>
        <v/>
      </c>
      <c r="CM214" s="991" t="str">
        <f t="shared" si="532"/>
        <v/>
      </c>
      <c r="CN214" s="521" t="str">
        <f t="shared" si="396"/>
        <v/>
      </c>
      <c r="CO214" s="522" t="str">
        <f t="shared" si="397"/>
        <v/>
      </c>
      <c r="CP214" s="523" t="str">
        <f t="shared" si="398"/>
        <v/>
      </c>
      <c r="CQ214" s="523" t="str">
        <f t="shared" si="399"/>
        <v/>
      </c>
      <c r="CR214" s="523" t="str">
        <f t="shared" si="400"/>
        <v/>
      </c>
      <c r="CS214" s="523" t="str">
        <f t="shared" si="401"/>
        <v/>
      </c>
      <c r="CT214" s="523" t="str">
        <f t="shared" si="402"/>
        <v/>
      </c>
      <c r="CU214" s="524" t="str">
        <f t="shared" si="403"/>
        <v/>
      </c>
      <c r="CV214" s="524" t="str">
        <f t="shared" si="404"/>
        <v/>
      </c>
      <c r="CW214" s="524" t="str">
        <f t="shared" si="405"/>
        <v/>
      </c>
      <c r="CX214" s="523" t="str">
        <f t="shared" si="406"/>
        <v/>
      </c>
      <c r="CY214" s="523" t="str">
        <f t="shared" si="407"/>
        <v/>
      </c>
      <c r="CZ214" s="523" t="str">
        <f t="shared" si="408"/>
        <v/>
      </c>
      <c r="DA214" s="523" t="str">
        <f t="shared" si="409"/>
        <v/>
      </c>
      <c r="DB214" s="523" t="str">
        <f t="shared" si="410"/>
        <v/>
      </c>
      <c r="DC214" s="522" t="str">
        <f t="shared" si="411"/>
        <v/>
      </c>
      <c r="DD214" s="521" t="str">
        <f t="shared" si="412"/>
        <v/>
      </c>
      <c r="DE214" s="635">
        <f t="shared" si="520"/>
        <v>0</v>
      </c>
      <c r="DF214" s="95">
        <f t="shared" si="521"/>
        <v>0</v>
      </c>
      <c r="DG214" s="95">
        <f t="shared" si="522"/>
        <v>0</v>
      </c>
      <c r="DH214" s="95">
        <f t="shared" si="52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25"/>
        <v/>
      </c>
      <c r="CA215" s="582" t="str">
        <f t="shared" si="426"/>
        <v/>
      </c>
      <c r="CB215" s="582" t="str">
        <f t="shared" si="427"/>
        <v/>
      </c>
      <c r="CC215" s="582" t="str">
        <f t="shared" si="428"/>
        <v/>
      </c>
      <c r="CD215" s="988" t="str">
        <f t="shared" ref="CD215:CD226" si="53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532"/>
        <v/>
      </c>
      <c r="CF215" s="989" t="str">
        <f t="shared" si="532"/>
        <v/>
      </c>
      <c r="CG215" s="989" t="str">
        <f t="shared" si="532"/>
        <v/>
      </c>
      <c r="CH215" s="990" t="str">
        <f t="shared" si="532"/>
        <v/>
      </c>
      <c r="CI215" s="990" t="str">
        <f t="shared" si="532"/>
        <v/>
      </c>
      <c r="CJ215" s="989" t="str">
        <f t="shared" si="532"/>
        <v/>
      </c>
      <c r="CK215" s="989" t="str">
        <f t="shared" si="532"/>
        <v/>
      </c>
      <c r="CL215" s="989" t="str">
        <f t="shared" si="532"/>
        <v/>
      </c>
      <c r="CM215" s="988" t="str">
        <f t="shared" si="532"/>
        <v/>
      </c>
      <c r="CN215" s="533" t="str">
        <f t="shared" si="396"/>
        <v/>
      </c>
      <c r="CO215" s="534" t="str">
        <f t="shared" si="397"/>
        <v/>
      </c>
      <c r="CP215" s="535" t="str">
        <f t="shared" si="398"/>
        <v/>
      </c>
      <c r="CQ215" s="535" t="str">
        <f t="shared" si="399"/>
        <v/>
      </c>
      <c r="CR215" s="535" t="str">
        <f t="shared" si="400"/>
        <v/>
      </c>
      <c r="CS215" s="535" t="str">
        <f t="shared" si="401"/>
        <v/>
      </c>
      <c r="CT215" s="535" t="str">
        <f t="shared" si="402"/>
        <v/>
      </c>
      <c r="CU215" s="536" t="str">
        <f t="shared" si="403"/>
        <v/>
      </c>
      <c r="CV215" s="536" t="str">
        <f t="shared" si="404"/>
        <v/>
      </c>
      <c r="CW215" s="536" t="str">
        <f t="shared" si="405"/>
        <v/>
      </c>
      <c r="CX215" s="535" t="str">
        <f t="shared" si="406"/>
        <v/>
      </c>
      <c r="CY215" s="535" t="str">
        <f t="shared" si="407"/>
        <v/>
      </c>
      <c r="CZ215" s="535" t="str">
        <f t="shared" si="408"/>
        <v/>
      </c>
      <c r="DA215" s="535" t="str">
        <f t="shared" si="409"/>
        <v/>
      </c>
      <c r="DB215" s="535" t="str">
        <f t="shared" si="410"/>
        <v/>
      </c>
      <c r="DC215" s="534" t="str">
        <f t="shared" si="411"/>
        <v/>
      </c>
      <c r="DD215" s="533" t="str">
        <f t="shared" si="412"/>
        <v/>
      </c>
      <c r="DE215" s="635">
        <f t="shared" si="520"/>
        <v>0</v>
      </c>
      <c r="DF215" s="95">
        <f t="shared" si="521"/>
        <v>0</v>
      </c>
      <c r="DG215" s="95">
        <f t="shared" si="522"/>
        <v>0</v>
      </c>
      <c r="DH215" s="95">
        <f t="shared" si="52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25"/>
        <v/>
      </c>
      <c r="CA216" s="582" t="str">
        <f t="shared" si="426"/>
        <v/>
      </c>
      <c r="CB216" s="582" t="str">
        <f t="shared" si="427"/>
        <v/>
      </c>
      <c r="CC216" s="582" t="str">
        <f t="shared" si="428"/>
        <v/>
      </c>
      <c r="CD216" s="988" t="str">
        <f t="shared" si="533"/>
        <v/>
      </c>
      <c r="CE216" s="989" t="str">
        <f t="shared" si="532"/>
        <v/>
      </c>
      <c r="CF216" s="989" t="str">
        <f t="shared" si="532"/>
        <v/>
      </c>
      <c r="CG216" s="989" t="str">
        <f t="shared" si="532"/>
        <v/>
      </c>
      <c r="CH216" s="990" t="str">
        <f t="shared" si="532"/>
        <v/>
      </c>
      <c r="CI216" s="990" t="str">
        <f t="shared" si="532"/>
        <v/>
      </c>
      <c r="CJ216" s="989" t="str">
        <f t="shared" si="532"/>
        <v/>
      </c>
      <c r="CK216" s="989" t="str">
        <f t="shared" si="532"/>
        <v/>
      </c>
      <c r="CL216" s="989" t="str">
        <f t="shared" si="532"/>
        <v/>
      </c>
      <c r="CM216" s="988" t="str">
        <f t="shared" si="532"/>
        <v/>
      </c>
      <c r="CN216" s="533" t="str">
        <f t="shared" si="396"/>
        <v/>
      </c>
      <c r="CO216" s="534" t="str">
        <f t="shared" si="397"/>
        <v/>
      </c>
      <c r="CP216" s="535" t="str">
        <f t="shared" si="398"/>
        <v/>
      </c>
      <c r="CQ216" s="535" t="str">
        <f t="shared" si="399"/>
        <v/>
      </c>
      <c r="CR216" s="535" t="str">
        <f t="shared" si="400"/>
        <v/>
      </c>
      <c r="CS216" s="535" t="str">
        <f t="shared" si="401"/>
        <v/>
      </c>
      <c r="CT216" s="535" t="str">
        <f t="shared" si="402"/>
        <v/>
      </c>
      <c r="CU216" s="536" t="str">
        <f t="shared" si="403"/>
        <v/>
      </c>
      <c r="CV216" s="536" t="str">
        <f t="shared" si="404"/>
        <v/>
      </c>
      <c r="CW216" s="536" t="str">
        <f t="shared" si="405"/>
        <v/>
      </c>
      <c r="CX216" s="535" t="str">
        <f t="shared" si="406"/>
        <v/>
      </c>
      <c r="CY216" s="535" t="str">
        <f t="shared" si="407"/>
        <v/>
      </c>
      <c r="CZ216" s="535" t="str">
        <f t="shared" si="408"/>
        <v/>
      </c>
      <c r="DA216" s="535" t="str">
        <f t="shared" si="409"/>
        <v/>
      </c>
      <c r="DB216" s="535" t="str">
        <f t="shared" si="410"/>
        <v/>
      </c>
      <c r="DC216" s="534" t="str">
        <f t="shared" si="411"/>
        <v/>
      </c>
      <c r="DD216" s="533" t="str">
        <f t="shared" si="412"/>
        <v/>
      </c>
      <c r="DE216" s="635">
        <f t="shared" si="520"/>
        <v>0</v>
      </c>
      <c r="DF216" s="95">
        <f t="shared" si="521"/>
        <v>0</v>
      </c>
      <c r="DG216" s="95">
        <f t="shared" si="522"/>
        <v>0</v>
      </c>
      <c r="DH216" s="95">
        <f t="shared" si="52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534">IF(B215="","",B215*B216)</f>
        <v/>
      </c>
      <c r="C217" s="591" t="str">
        <f t="shared" si="534"/>
        <v/>
      </c>
      <c r="D217" s="591" t="str">
        <f t="shared" si="534"/>
        <v/>
      </c>
      <c r="E217" s="591" t="str">
        <f t="shared" si="534"/>
        <v/>
      </c>
      <c r="F217" s="591" t="str">
        <f t="shared" si="534"/>
        <v/>
      </c>
      <c r="G217" s="591" t="str">
        <f t="shared" si="534"/>
        <v/>
      </c>
      <c r="H217" s="591" t="str">
        <f t="shared" si="534"/>
        <v/>
      </c>
      <c r="I217" s="591" t="str">
        <f t="shared" si="534"/>
        <v/>
      </c>
      <c r="J217" s="591" t="str">
        <f t="shared" si="534"/>
        <v/>
      </c>
      <c r="K217" s="591" t="str">
        <f t="shared" si="53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535">IF(T215="","",T215*T216)</f>
        <v/>
      </c>
      <c r="U217" s="591" t="str">
        <f t="shared" si="535"/>
        <v/>
      </c>
      <c r="V217" s="591" t="str">
        <f t="shared" si="535"/>
        <v/>
      </c>
      <c r="W217" s="591" t="str">
        <f t="shared" si="535"/>
        <v/>
      </c>
      <c r="X217" s="591" t="str">
        <f t="shared" si="535"/>
        <v/>
      </c>
      <c r="Y217" s="591" t="str">
        <f t="shared" si="535"/>
        <v/>
      </c>
      <c r="Z217" s="591" t="str">
        <f t="shared" si="535"/>
        <v/>
      </c>
      <c r="AA217" s="591" t="str">
        <f t="shared" si="535"/>
        <v/>
      </c>
      <c r="AB217" s="591" t="str">
        <f t="shared" si="535"/>
        <v/>
      </c>
      <c r="AC217" s="591" t="str">
        <f t="shared" si="53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536">IF(AL215="","",AL215*AL216)</f>
        <v/>
      </c>
      <c r="AM217" s="591" t="str">
        <f t="shared" si="536"/>
        <v/>
      </c>
      <c r="AN217" s="591" t="str">
        <f t="shared" si="536"/>
        <v/>
      </c>
      <c r="AO217" s="591" t="str">
        <f t="shared" si="536"/>
        <v/>
      </c>
      <c r="AP217" s="591" t="str">
        <f t="shared" si="536"/>
        <v/>
      </c>
      <c r="AQ217" s="591" t="str">
        <f t="shared" si="536"/>
        <v/>
      </c>
      <c r="AR217" s="591" t="str">
        <f t="shared" si="536"/>
        <v/>
      </c>
      <c r="AS217" s="591" t="str">
        <f t="shared" si="536"/>
        <v/>
      </c>
      <c r="AT217" s="591" t="str">
        <f t="shared" si="536"/>
        <v/>
      </c>
      <c r="AU217" s="591" t="str">
        <f t="shared" si="53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537">IF(BD215="","",BD215*BD216)</f>
        <v/>
      </c>
      <c r="BE217" s="1194" t="str">
        <f t="shared" si="537"/>
        <v/>
      </c>
      <c r="BF217" s="1194" t="str">
        <f t="shared" si="537"/>
        <v/>
      </c>
      <c r="BG217" s="1194" t="str">
        <f t="shared" si="537"/>
        <v/>
      </c>
      <c r="BH217" s="1194" t="str">
        <f t="shared" si="537"/>
        <v/>
      </c>
      <c r="BI217" s="1194" t="str">
        <f t="shared" si="537"/>
        <v/>
      </c>
      <c r="BJ217" s="1194" t="str">
        <f t="shared" si="537"/>
        <v/>
      </c>
      <c r="BK217" s="1194" t="str">
        <f t="shared" si="537"/>
        <v/>
      </c>
      <c r="BL217" s="1194" t="str">
        <f t="shared" si="537"/>
        <v/>
      </c>
      <c r="BM217" s="1194" t="str">
        <f t="shared" si="53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25"/>
        <v/>
      </c>
      <c r="CA217" s="582" t="str">
        <f t="shared" si="426"/>
        <v/>
      </c>
      <c r="CB217" s="582" t="str">
        <f t="shared" si="427"/>
        <v/>
      </c>
      <c r="CC217" s="582" t="str">
        <f t="shared" si="428"/>
        <v/>
      </c>
      <c r="CD217" s="988" t="str">
        <f t="shared" si="533"/>
        <v/>
      </c>
      <c r="CE217" s="989" t="str">
        <f t="shared" si="532"/>
        <v/>
      </c>
      <c r="CF217" s="989" t="str">
        <f t="shared" si="532"/>
        <v/>
      </c>
      <c r="CG217" s="989" t="str">
        <f t="shared" si="532"/>
        <v/>
      </c>
      <c r="CH217" s="990" t="str">
        <f t="shared" si="532"/>
        <v/>
      </c>
      <c r="CI217" s="990" t="str">
        <f t="shared" si="532"/>
        <v/>
      </c>
      <c r="CJ217" s="989" t="str">
        <f t="shared" si="532"/>
        <v/>
      </c>
      <c r="CK217" s="989" t="str">
        <f t="shared" si="532"/>
        <v/>
      </c>
      <c r="CL217" s="989" t="str">
        <f t="shared" si="532"/>
        <v/>
      </c>
      <c r="CM217" s="988" t="str">
        <f t="shared" si="532"/>
        <v/>
      </c>
      <c r="CN217" s="533" t="str">
        <f t="shared" si="396"/>
        <v/>
      </c>
      <c r="CO217" s="534" t="str">
        <f t="shared" si="397"/>
        <v/>
      </c>
      <c r="CP217" s="535" t="str">
        <f t="shared" si="398"/>
        <v/>
      </c>
      <c r="CQ217" s="535" t="str">
        <f t="shared" si="399"/>
        <v/>
      </c>
      <c r="CR217" s="535" t="str">
        <f t="shared" si="400"/>
        <v/>
      </c>
      <c r="CS217" s="535" t="str">
        <f t="shared" si="401"/>
        <v/>
      </c>
      <c r="CT217" s="535" t="str">
        <f t="shared" si="402"/>
        <v/>
      </c>
      <c r="CU217" s="536" t="str">
        <f t="shared" si="403"/>
        <v/>
      </c>
      <c r="CV217" s="536" t="str">
        <f t="shared" si="404"/>
        <v/>
      </c>
      <c r="CW217" s="536" t="str">
        <f t="shared" si="405"/>
        <v/>
      </c>
      <c r="CX217" s="535" t="str">
        <f t="shared" si="406"/>
        <v/>
      </c>
      <c r="CY217" s="535" t="str">
        <f t="shared" si="407"/>
        <v/>
      </c>
      <c r="CZ217" s="535" t="str">
        <f t="shared" si="408"/>
        <v/>
      </c>
      <c r="DA217" s="535" t="str">
        <f t="shared" si="409"/>
        <v/>
      </c>
      <c r="DB217" s="535" t="str">
        <f t="shared" si="410"/>
        <v/>
      </c>
      <c r="DC217" s="534" t="str">
        <f t="shared" si="411"/>
        <v/>
      </c>
      <c r="DD217" s="533" t="str">
        <f t="shared" si="412"/>
        <v/>
      </c>
      <c r="DE217" s="635">
        <f t="shared" si="520"/>
        <v>0</v>
      </c>
      <c r="DF217" s="95">
        <f t="shared" si="521"/>
        <v>0</v>
      </c>
      <c r="DG217" s="95">
        <f t="shared" si="522"/>
        <v>0</v>
      </c>
      <c r="DH217" s="95">
        <f t="shared" si="52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25"/>
        <v/>
      </c>
      <c r="CA218" s="582" t="str">
        <f t="shared" si="426"/>
        <v/>
      </c>
      <c r="CB218" s="582" t="str">
        <f t="shared" si="427"/>
        <v/>
      </c>
      <c r="CC218" s="582" t="str">
        <f t="shared" si="428"/>
        <v/>
      </c>
      <c r="CD218" s="988" t="str">
        <f t="shared" si="533"/>
        <v/>
      </c>
      <c r="CE218" s="989" t="str">
        <f t="shared" si="532"/>
        <v/>
      </c>
      <c r="CF218" s="989" t="str">
        <f t="shared" si="532"/>
        <v/>
      </c>
      <c r="CG218" s="989" t="str">
        <f t="shared" si="532"/>
        <v/>
      </c>
      <c r="CH218" s="990" t="str">
        <f t="shared" si="532"/>
        <v/>
      </c>
      <c r="CI218" s="990" t="str">
        <f t="shared" si="532"/>
        <v/>
      </c>
      <c r="CJ218" s="989" t="str">
        <f t="shared" si="532"/>
        <v/>
      </c>
      <c r="CK218" s="989" t="str">
        <f t="shared" si="532"/>
        <v/>
      </c>
      <c r="CL218" s="989" t="str">
        <f t="shared" si="532"/>
        <v/>
      </c>
      <c r="CM218" s="988" t="str">
        <f t="shared" si="532"/>
        <v/>
      </c>
      <c r="CN218" s="533" t="str">
        <f t="shared" si="396"/>
        <v/>
      </c>
      <c r="CO218" s="534" t="str">
        <f t="shared" si="397"/>
        <v/>
      </c>
      <c r="CP218" s="535" t="str">
        <f t="shared" si="398"/>
        <v/>
      </c>
      <c r="CQ218" s="535" t="str">
        <f t="shared" si="399"/>
        <v/>
      </c>
      <c r="CR218" s="535" t="str">
        <f t="shared" si="400"/>
        <v/>
      </c>
      <c r="CS218" s="535" t="str">
        <f t="shared" si="401"/>
        <v/>
      </c>
      <c r="CT218" s="535" t="str">
        <f t="shared" si="402"/>
        <v/>
      </c>
      <c r="CU218" s="536" t="str">
        <f t="shared" si="403"/>
        <v/>
      </c>
      <c r="CV218" s="536" t="str">
        <f t="shared" si="404"/>
        <v/>
      </c>
      <c r="CW218" s="536" t="str">
        <f t="shared" si="405"/>
        <v/>
      </c>
      <c r="CX218" s="535" t="str">
        <f t="shared" si="406"/>
        <v/>
      </c>
      <c r="CY218" s="535" t="str">
        <f t="shared" si="407"/>
        <v/>
      </c>
      <c r="CZ218" s="535" t="str">
        <f t="shared" si="408"/>
        <v/>
      </c>
      <c r="DA218" s="535" t="str">
        <f t="shared" si="409"/>
        <v/>
      </c>
      <c r="DB218" s="535" t="str">
        <f t="shared" si="410"/>
        <v/>
      </c>
      <c r="DC218" s="534" t="str">
        <f t="shared" si="411"/>
        <v/>
      </c>
      <c r="DD218" s="533" t="str">
        <f t="shared" si="412"/>
        <v/>
      </c>
      <c r="DE218" s="635">
        <f t="shared" si="520"/>
        <v>0</v>
      </c>
      <c r="DF218" s="95">
        <f t="shared" si="521"/>
        <v>0</v>
      </c>
      <c r="DG218" s="95">
        <f t="shared" si="522"/>
        <v>0</v>
      </c>
      <c r="DH218" s="95">
        <f t="shared" si="52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25"/>
        <v/>
      </c>
      <c r="CA219" s="582" t="str">
        <f t="shared" si="426"/>
        <v/>
      </c>
      <c r="CB219" s="582" t="str">
        <f t="shared" si="427"/>
        <v/>
      </c>
      <c r="CC219" s="582" t="str">
        <f t="shared" si="428"/>
        <v/>
      </c>
      <c r="CD219" s="988" t="str">
        <f t="shared" si="533"/>
        <v/>
      </c>
      <c r="CE219" s="989" t="str">
        <f t="shared" si="532"/>
        <v/>
      </c>
      <c r="CF219" s="989" t="str">
        <f t="shared" si="532"/>
        <v/>
      </c>
      <c r="CG219" s="989" t="str">
        <f t="shared" si="532"/>
        <v/>
      </c>
      <c r="CH219" s="990" t="str">
        <f t="shared" si="532"/>
        <v/>
      </c>
      <c r="CI219" s="990" t="str">
        <f t="shared" si="532"/>
        <v/>
      </c>
      <c r="CJ219" s="989" t="str">
        <f t="shared" si="532"/>
        <v/>
      </c>
      <c r="CK219" s="989" t="str">
        <f t="shared" si="532"/>
        <v/>
      </c>
      <c r="CL219" s="989" t="str">
        <f t="shared" si="532"/>
        <v/>
      </c>
      <c r="CM219" s="988" t="str">
        <f t="shared" si="532"/>
        <v/>
      </c>
      <c r="CN219" s="533" t="str">
        <f t="shared" si="396"/>
        <v/>
      </c>
      <c r="CO219" s="534" t="str">
        <f t="shared" si="397"/>
        <v/>
      </c>
      <c r="CP219" s="535" t="str">
        <f t="shared" si="398"/>
        <v/>
      </c>
      <c r="CQ219" s="535" t="str">
        <f t="shared" si="399"/>
        <v/>
      </c>
      <c r="CR219" s="535" t="str">
        <f t="shared" si="400"/>
        <v/>
      </c>
      <c r="CS219" s="535" t="str">
        <f t="shared" si="401"/>
        <v/>
      </c>
      <c r="CT219" s="535" t="str">
        <f t="shared" si="402"/>
        <v/>
      </c>
      <c r="CU219" s="536" t="str">
        <f t="shared" si="403"/>
        <v/>
      </c>
      <c r="CV219" s="536" t="str">
        <f t="shared" si="404"/>
        <v/>
      </c>
      <c r="CW219" s="536" t="str">
        <f t="shared" si="405"/>
        <v/>
      </c>
      <c r="CX219" s="535" t="str">
        <f t="shared" si="406"/>
        <v/>
      </c>
      <c r="CY219" s="535" t="str">
        <f t="shared" si="407"/>
        <v/>
      </c>
      <c r="CZ219" s="535" t="str">
        <f t="shared" si="408"/>
        <v/>
      </c>
      <c r="DA219" s="535" t="str">
        <f t="shared" si="409"/>
        <v/>
      </c>
      <c r="DB219" s="535" t="str">
        <f t="shared" si="410"/>
        <v/>
      </c>
      <c r="DC219" s="534" t="str">
        <f t="shared" si="411"/>
        <v/>
      </c>
      <c r="DD219" s="533" t="str">
        <f t="shared" si="412"/>
        <v/>
      </c>
      <c r="DE219" s="635">
        <f t="shared" si="520"/>
        <v>0</v>
      </c>
      <c r="DF219" s="95">
        <f t="shared" si="521"/>
        <v>0</v>
      </c>
      <c r="DG219" s="95">
        <f t="shared" si="522"/>
        <v>0</v>
      </c>
      <c r="DH219" s="95">
        <f t="shared" si="52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538">IF(B218="","",B218*B219)</f>
        <v/>
      </c>
      <c r="C220" s="591" t="str">
        <f t="shared" si="538"/>
        <v/>
      </c>
      <c r="D220" s="591" t="str">
        <f t="shared" si="538"/>
        <v/>
      </c>
      <c r="E220" s="591" t="str">
        <f t="shared" si="538"/>
        <v/>
      </c>
      <c r="F220" s="591" t="str">
        <f t="shared" si="538"/>
        <v/>
      </c>
      <c r="G220" s="591" t="str">
        <f t="shared" si="538"/>
        <v/>
      </c>
      <c r="H220" s="591" t="str">
        <f t="shared" si="538"/>
        <v/>
      </c>
      <c r="I220" s="591" t="str">
        <f t="shared" si="538"/>
        <v/>
      </c>
      <c r="J220" s="591" t="str">
        <f t="shared" si="538"/>
        <v/>
      </c>
      <c r="K220" s="591" t="str">
        <f t="shared" si="53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539">IF(T218="","",T218*T219)</f>
        <v/>
      </c>
      <c r="U220" s="591" t="str">
        <f t="shared" si="539"/>
        <v/>
      </c>
      <c r="V220" s="591" t="str">
        <f t="shared" si="539"/>
        <v/>
      </c>
      <c r="W220" s="591" t="str">
        <f t="shared" si="539"/>
        <v/>
      </c>
      <c r="X220" s="591" t="str">
        <f t="shared" si="539"/>
        <v/>
      </c>
      <c r="Y220" s="591" t="str">
        <f t="shared" si="539"/>
        <v/>
      </c>
      <c r="Z220" s="591" t="str">
        <f t="shared" si="539"/>
        <v/>
      </c>
      <c r="AA220" s="591" t="str">
        <f t="shared" si="539"/>
        <v/>
      </c>
      <c r="AB220" s="591" t="str">
        <f t="shared" si="539"/>
        <v/>
      </c>
      <c r="AC220" s="591" t="str">
        <f t="shared" si="53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540">IF(AL218="","",AL218*AL219)</f>
        <v/>
      </c>
      <c r="AM220" s="591" t="str">
        <f t="shared" si="540"/>
        <v/>
      </c>
      <c r="AN220" s="591" t="str">
        <f t="shared" si="540"/>
        <v/>
      </c>
      <c r="AO220" s="591" t="str">
        <f t="shared" si="540"/>
        <v/>
      </c>
      <c r="AP220" s="591" t="str">
        <f t="shared" si="540"/>
        <v/>
      </c>
      <c r="AQ220" s="591" t="str">
        <f t="shared" si="540"/>
        <v/>
      </c>
      <c r="AR220" s="591" t="str">
        <f t="shared" si="540"/>
        <v/>
      </c>
      <c r="AS220" s="591" t="str">
        <f t="shared" si="540"/>
        <v/>
      </c>
      <c r="AT220" s="591" t="str">
        <f t="shared" si="540"/>
        <v/>
      </c>
      <c r="AU220" s="591" t="str">
        <f t="shared" si="54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541">IF(BD218="","",BD218*BD219)</f>
        <v/>
      </c>
      <c r="BE220" s="1194" t="str">
        <f t="shared" si="541"/>
        <v/>
      </c>
      <c r="BF220" s="1194" t="str">
        <f t="shared" si="541"/>
        <v/>
      </c>
      <c r="BG220" s="1194" t="str">
        <f t="shared" si="541"/>
        <v/>
      </c>
      <c r="BH220" s="1194" t="str">
        <f t="shared" si="541"/>
        <v/>
      </c>
      <c r="BI220" s="1194" t="str">
        <f t="shared" si="541"/>
        <v/>
      </c>
      <c r="BJ220" s="1194" t="str">
        <f t="shared" si="541"/>
        <v/>
      </c>
      <c r="BK220" s="1194" t="str">
        <f t="shared" si="541"/>
        <v/>
      </c>
      <c r="BL220" s="1194" t="str">
        <f t="shared" si="541"/>
        <v/>
      </c>
      <c r="BM220" s="1194" t="str">
        <f t="shared" si="54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25"/>
        <v/>
      </c>
      <c r="CA220" s="582" t="str">
        <f t="shared" si="426"/>
        <v/>
      </c>
      <c r="CB220" s="582" t="str">
        <f t="shared" si="427"/>
        <v/>
      </c>
      <c r="CC220" s="582" t="str">
        <f t="shared" si="428"/>
        <v/>
      </c>
      <c r="CD220" s="988" t="str">
        <f t="shared" si="533"/>
        <v/>
      </c>
      <c r="CE220" s="989" t="str">
        <f t="shared" si="532"/>
        <v/>
      </c>
      <c r="CF220" s="989" t="str">
        <f t="shared" si="532"/>
        <v/>
      </c>
      <c r="CG220" s="989" t="str">
        <f t="shared" si="532"/>
        <v/>
      </c>
      <c r="CH220" s="990" t="str">
        <f t="shared" si="532"/>
        <v/>
      </c>
      <c r="CI220" s="990" t="str">
        <f t="shared" si="532"/>
        <v/>
      </c>
      <c r="CJ220" s="989" t="str">
        <f t="shared" si="532"/>
        <v/>
      </c>
      <c r="CK220" s="989" t="str">
        <f t="shared" si="532"/>
        <v/>
      </c>
      <c r="CL220" s="989" t="str">
        <f t="shared" si="532"/>
        <v/>
      </c>
      <c r="CM220" s="988" t="str">
        <f t="shared" si="532"/>
        <v/>
      </c>
      <c r="CN220" s="533" t="str">
        <f t="shared" si="396"/>
        <v/>
      </c>
      <c r="CO220" s="534" t="str">
        <f t="shared" si="397"/>
        <v/>
      </c>
      <c r="CP220" s="535" t="str">
        <f t="shared" si="398"/>
        <v/>
      </c>
      <c r="CQ220" s="535" t="str">
        <f t="shared" si="399"/>
        <v/>
      </c>
      <c r="CR220" s="535" t="str">
        <f t="shared" si="400"/>
        <v/>
      </c>
      <c r="CS220" s="535" t="str">
        <f t="shared" si="401"/>
        <v/>
      </c>
      <c r="CT220" s="535" t="str">
        <f t="shared" si="402"/>
        <v/>
      </c>
      <c r="CU220" s="536" t="str">
        <f t="shared" si="403"/>
        <v/>
      </c>
      <c r="CV220" s="536" t="str">
        <f t="shared" si="404"/>
        <v/>
      </c>
      <c r="CW220" s="536" t="str">
        <f t="shared" si="405"/>
        <v/>
      </c>
      <c r="CX220" s="535" t="str">
        <f t="shared" si="406"/>
        <v/>
      </c>
      <c r="CY220" s="535" t="str">
        <f t="shared" si="407"/>
        <v/>
      </c>
      <c r="CZ220" s="535" t="str">
        <f t="shared" si="408"/>
        <v/>
      </c>
      <c r="DA220" s="535" t="str">
        <f t="shared" si="409"/>
        <v/>
      </c>
      <c r="DB220" s="535" t="str">
        <f t="shared" si="410"/>
        <v/>
      </c>
      <c r="DC220" s="534" t="str">
        <f t="shared" si="411"/>
        <v/>
      </c>
      <c r="DD220" s="533" t="str">
        <f t="shared" si="412"/>
        <v/>
      </c>
      <c r="DE220" s="635">
        <f t="shared" si="520"/>
        <v>0</v>
      </c>
      <c r="DF220" s="95">
        <f t="shared" si="521"/>
        <v>0</v>
      </c>
      <c r="DG220" s="95">
        <f t="shared" si="522"/>
        <v>0</v>
      </c>
      <c r="DH220" s="95">
        <f t="shared" si="52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25"/>
        <v/>
      </c>
      <c r="CA221" s="582" t="str">
        <f t="shared" si="426"/>
        <v/>
      </c>
      <c r="CB221" s="582" t="str">
        <f t="shared" si="427"/>
        <v/>
      </c>
      <c r="CC221" s="582" t="str">
        <f t="shared" si="428"/>
        <v/>
      </c>
      <c r="CD221" s="988" t="str">
        <f t="shared" si="533"/>
        <v/>
      </c>
      <c r="CE221" s="989" t="str">
        <f t="shared" si="532"/>
        <v/>
      </c>
      <c r="CF221" s="989" t="str">
        <f t="shared" si="532"/>
        <v/>
      </c>
      <c r="CG221" s="989" t="str">
        <f t="shared" si="532"/>
        <v/>
      </c>
      <c r="CH221" s="990" t="str">
        <f t="shared" si="532"/>
        <v/>
      </c>
      <c r="CI221" s="990" t="str">
        <f t="shared" si="532"/>
        <v/>
      </c>
      <c r="CJ221" s="989" t="str">
        <f t="shared" si="532"/>
        <v/>
      </c>
      <c r="CK221" s="989" t="str">
        <f t="shared" si="532"/>
        <v/>
      </c>
      <c r="CL221" s="989" t="str">
        <f t="shared" si="532"/>
        <v/>
      </c>
      <c r="CM221" s="988" t="str">
        <f t="shared" si="532"/>
        <v/>
      </c>
      <c r="CN221" s="533" t="str">
        <f t="shared" si="396"/>
        <v/>
      </c>
      <c r="CO221" s="534" t="str">
        <f t="shared" si="397"/>
        <v/>
      </c>
      <c r="CP221" s="535" t="str">
        <f t="shared" si="398"/>
        <v/>
      </c>
      <c r="CQ221" s="535" t="str">
        <f t="shared" si="399"/>
        <v/>
      </c>
      <c r="CR221" s="535" t="str">
        <f t="shared" si="400"/>
        <v/>
      </c>
      <c r="CS221" s="535" t="str">
        <f t="shared" si="401"/>
        <v/>
      </c>
      <c r="CT221" s="535" t="str">
        <f t="shared" si="402"/>
        <v/>
      </c>
      <c r="CU221" s="536" t="str">
        <f t="shared" si="403"/>
        <v/>
      </c>
      <c r="CV221" s="536" t="str">
        <f t="shared" si="404"/>
        <v/>
      </c>
      <c r="CW221" s="536" t="str">
        <f t="shared" si="405"/>
        <v/>
      </c>
      <c r="CX221" s="535" t="str">
        <f t="shared" si="406"/>
        <v/>
      </c>
      <c r="CY221" s="535" t="str">
        <f t="shared" si="407"/>
        <v/>
      </c>
      <c r="CZ221" s="535" t="str">
        <f t="shared" si="408"/>
        <v/>
      </c>
      <c r="DA221" s="535" t="str">
        <f t="shared" si="409"/>
        <v/>
      </c>
      <c r="DB221" s="535" t="str">
        <f t="shared" si="410"/>
        <v/>
      </c>
      <c r="DC221" s="534" t="str">
        <f t="shared" si="411"/>
        <v/>
      </c>
      <c r="DD221" s="533" t="str">
        <f t="shared" si="412"/>
        <v/>
      </c>
      <c r="DE221" s="635">
        <f t="shared" si="520"/>
        <v>0</v>
      </c>
      <c r="DF221" s="95">
        <f t="shared" si="521"/>
        <v>0</v>
      </c>
      <c r="DG221" s="95">
        <f t="shared" si="522"/>
        <v>0</v>
      </c>
      <c r="DH221" s="95">
        <f t="shared" si="52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542">IF(DE222&lt;3,"",(SUM(B222:R222)-MIN(B222:R222)-MAX(B222:R222))/(DE222-2))</f>
        <v/>
      </c>
      <c r="CA222" s="582" t="str">
        <f t="shared" ref="CA222:CA285" si="543">IF(DF222&lt;3,"",(SUM(T222:AJ222)-MIN(T222:AJ222)-MAX(T222:AJ222))/(DF222-2))</f>
        <v/>
      </c>
      <c r="CB222" s="582" t="str">
        <f t="shared" ref="CB222:CB285" si="544">IF(DG222&lt;3,"",(SUM(AL222:BB222)-MIN(AL222:BB222)-MAX(AL222:BB222))/(DG222-2))</f>
        <v/>
      </c>
      <c r="CC222" s="582" t="str">
        <f t="shared" ref="CC222:CC285" si="545">IF(DH222&lt;3,"",(SUM(BD222:BT222)-MIN(BD222:BT222)-MAX(BD222:BT222))/(DH222-2))</f>
        <v/>
      </c>
      <c r="CD222" s="988" t="str">
        <f t="shared" si="533"/>
        <v/>
      </c>
      <c r="CE222" s="989" t="str">
        <f t="shared" si="532"/>
        <v/>
      </c>
      <c r="CF222" s="989" t="str">
        <f t="shared" si="532"/>
        <v/>
      </c>
      <c r="CG222" s="989" t="str">
        <f t="shared" si="532"/>
        <v/>
      </c>
      <c r="CH222" s="990" t="str">
        <f t="shared" si="532"/>
        <v/>
      </c>
      <c r="CI222" s="990" t="str">
        <f t="shared" si="532"/>
        <v/>
      </c>
      <c r="CJ222" s="989" t="str">
        <f t="shared" si="532"/>
        <v/>
      </c>
      <c r="CK222" s="989" t="str">
        <f t="shared" si="532"/>
        <v/>
      </c>
      <c r="CL222" s="989" t="str">
        <f t="shared" si="532"/>
        <v/>
      </c>
      <c r="CM222" s="988" t="str">
        <f t="shared" si="532"/>
        <v/>
      </c>
      <c r="CN222" s="533" t="str">
        <f t="shared" si="396"/>
        <v/>
      </c>
      <c r="CO222" s="534" t="str">
        <f t="shared" si="397"/>
        <v/>
      </c>
      <c r="CP222" s="535" t="str">
        <f t="shared" si="398"/>
        <v/>
      </c>
      <c r="CQ222" s="535" t="str">
        <f t="shared" si="399"/>
        <v/>
      </c>
      <c r="CR222" s="535" t="str">
        <f t="shared" si="400"/>
        <v/>
      </c>
      <c r="CS222" s="535" t="str">
        <f t="shared" si="401"/>
        <v/>
      </c>
      <c r="CT222" s="535" t="str">
        <f t="shared" si="402"/>
        <v/>
      </c>
      <c r="CU222" s="536" t="str">
        <f t="shared" si="403"/>
        <v/>
      </c>
      <c r="CV222" s="536" t="str">
        <f t="shared" si="404"/>
        <v/>
      </c>
      <c r="CW222" s="536" t="str">
        <f t="shared" si="405"/>
        <v/>
      </c>
      <c r="CX222" s="535" t="str">
        <f t="shared" si="406"/>
        <v/>
      </c>
      <c r="CY222" s="535" t="str">
        <f t="shared" si="407"/>
        <v/>
      </c>
      <c r="CZ222" s="535" t="str">
        <f t="shared" si="408"/>
        <v/>
      </c>
      <c r="DA222" s="535" t="str">
        <f t="shared" si="409"/>
        <v/>
      </c>
      <c r="DB222" s="535" t="str">
        <f t="shared" si="410"/>
        <v/>
      </c>
      <c r="DC222" s="534" t="str">
        <f t="shared" si="411"/>
        <v/>
      </c>
      <c r="DD222" s="533" t="str">
        <f t="shared" si="412"/>
        <v/>
      </c>
      <c r="DE222" s="635">
        <f t="shared" si="520"/>
        <v>0</v>
      </c>
      <c r="DF222" s="95">
        <f t="shared" si="521"/>
        <v>0</v>
      </c>
      <c r="DG222" s="95">
        <f t="shared" si="522"/>
        <v>0</v>
      </c>
      <c r="DH222" s="95">
        <f t="shared" si="52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546">IF(B221="","",B221*B222)</f>
        <v/>
      </c>
      <c r="C223" s="592" t="str">
        <f t="shared" si="546"/>
        <v/>
      </c>
      <c r="D223" s="592" t="str">
        <f t="shared" si="546"/>
        <v/>
      </c>
      <c r="E223" s="592" t="str">
        <f t="shared" si="546"/>
        <v/>
      </c>
      <c r="F223" s="592" t="str">
        <f t="shared" si="546"/>
        <v/>
      </c>
      <c r="G223" s="592" t="str">
        <f t="shared" si="546"/>
        <v/>
      </c>
      <c r="H223" s="592" t="str">
        <f t="shared" si="546"/>
        <v/>
      </c>
      <c r="I223" s="592" t="str">
        <f t="shared" si="546"/>
        <v/>
      </c>
      <c r="J223" s="592" t="str">
        <f t="shared" si="546"/>
        <v/>
      </c>
      <c r="K223" s="592" t="str">
        <f t="shared" si="54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547">IF(T221="","",T221*T222)</f>
        <v/>
      </c>
      <c r="U223" s="592" t="str">
        <f t="shared" si="547"/>
        <v/>
      </c>
      <c r="V223" s="592" t="str">
        <f t="shared" si="547"/>
        <v/>
      </c>
      <c r="W223" s="592" t="str">
        <f t="shared" si="547"/>
        <v/>
      </c>
      <c r="X223" s="592" t="str">
        <f t="shared" si="547"/>
        <v/>
      </c>
      <c r="Y223" s="592" t="str">
        <f t="shared" si="547"/>
        <v/>
      </c>
      <c r="Z223" s="592" t="str">
        <f t="shared" si="547"/>
        <v/>
      </c>
      <c r="AA223" s="592" t="str">
        <f t="shared" si="547"/>
        <v/>
      </c>
      <c r="AB223" s="592" t="str">
        <f t="shared" si="547"/>
        <v/>
      </c>
      <c r="AC223" s="592" t="str">
        <f t="shared" si="54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548">IF(AL221="","",AL221*AL222)</f>
        <v/>
      </c>
      <c r="AM223" s="592" t="str">
        <f t="shared" si="548"/>
        <v/>
      </c>
      <c r="AN223" s="592" t="str">
        <f t="shared" si="548"/>
        <v/>
      </c>
      <c r="AO223" s="592" t="str">
        <f t="shared" si="548"/>
        <v/>
      </c>
      <c r="AP223" s="592" t="str">
        <f t="shared" si="548"/>
        <v/>
      </c>
      <c r="AQ223" s="592" t="str">
        <f t="shared" si="548"/>
        <v/>
      </c>
      <c r="AR223" s="592" t="str">
        <f t="shared" si="548"/>
        <v/>
      </c>
      <c r="AS223" s="592" t="str">
        <f t="shared" si="548"/>
        <v/>
      </c>
      <c r="AT223" s="592" t="str">
        <f t="shared" si="548"/>
        <v/>
      </c>
      <c r="AU223" s="592" t="str">
        <f t="shared" si="54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549">IF(BD221="","",BD221*BD222)</f>
        <v/>
      </c>
      <c r="BE223" s="1195" t="str">
        <f t="shared" si="549"/>
        <v/>
      </c>
      <c r="BF223" s="1195" t="str">
        <f t="shared" si="549"/>
        <v/>
      </c>
      <c r="BG223" s="1195" t="str">
        <f t="shared" si="549"/>
        <v/>
      </c>
      <c r="BH223" s="1195" t="str">
        <f t="shared" si="549"/>
        <v/>
      </c>
      <c r="BI223" s="1195" t="str">
        <f t="shared" si="549"/>
        <v/>
      </c>
      <c r="BJ223" s="1195" t="str">
        <f t="shared" si="549"/>
        <v/>
      </c>
      <c r="BK223" s="1195" t="str">
        <f t="shared" si="549"/>
        <v/>
      </c>
      <c r="BL223" s="1195" t="str">
        <f t="shared" si="549"/>
        <v/>
      </c>
      <c r="BM223" s="1195" t="str">
        <f t="shared" si="54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542"/>
        <v/>
      </c>
      <c r="CA223" s="582" t="str">
        <f t="shared" si="543"/>
        <v/>
      </c>
      <c r="CB223" s="582" t="str">
        <f t="shared" si="544"/>
        <v/>
      </c>
      <c r="CC223" s="582" t="str">
        <f t="shared" si="545"/>
        <v/>
      </c>
      <c r="CD223" s="988" t="str">
        <f t="shared" si="533"/>
        <v/>
      </c>
      <c r="CE223" s="989" t="str">
        <f t="shared" si="532"/>
        <v/>
      </c>
      <c r="CF223" s="989" t="str">
        <f t="shared" si="532"/>
        <v/>
      </c>
      <c r="CG223" s="989" t="str">
        <f t="shared" si="532"/>
        <v/>
      </c>
      <c r="CH223" s="990" t="str">
        <f t="shared" si="532"/>
        <v/>
      </c>
      <c r="CI223" s="990" t="str">
        <f t="shared" si="532"/>
        <v/>
      </c>
      <c r="CJ223" s="989" t="str">
        <f t="shared" si="532"/>
        <v/>
      </c>
      <c r="CK223" s="989" t="str">
        <f t="shared" si="532"/>
        <v/>
      </c>
      <c r="CL223" s="989" t="str">
        <f t="shared" si="532"/>
        <v/>
      </c>
      <c r="CM223" s="988" t="str">
        <f t="shared" si="532"/>
        <v/>
      </c>
      <c r="CN223" s="533" t="str">
        <f t="shared" si="396"/>
        <v/>
      </c>
      <c r="CO223" s="534" t="str">
        <f t="shared" si="397"/>
        <v/>
      </c>
      <c r="CP223" s="535" t="str">
        <f t="shared" si="398"/>
        <v/>
      </c>
      <c r="CQ223" s="535" t="str">
        <f t="shared" si="399"/>
        <v/>
      </c>
      <c r="CR223" s="535" t="str">
        <f t="shared" si="400"/>
        <v/>
      </c>
      <c r="CS223" s="535" t="str">
        <f t="shared" si="401"/>
        <v/>
      </c>
      <c r="CT223" s="535" t="str">
        <f t="shared" si="402"/>
        <v/>
      </c>
      <c r="CU223" s="536" t="str">
        <f t="shared" si="403"/>
        <v/>
      </c>
      <c r="CV223" s="536" t="str">
        <f t="shared" si="404"/>
        <v/>
      </c>
      <c r="CW223" s="536" t="str">
        <f t="shared" si="405"/>
        <v/>
      </c>
      <c r="CX223" s="535" t="str">
        <f t="shared" si="406"/>
        <v/>
      </c>
      <c r="CY223" s="535" t="str">
        <f t="shared" si="407"/>
        <v/>
      </c>
      <c r="CZ223" s="535" t="str">
        <f t="shared" si="408"/>
        <v/>
      </c>
      <c r="DA223" s="535" t="str">
        <f t="shared" si="409"/>
        <v/>
      </c>
      <c r="DB223" s="535" t="str">
        <f t="shared" si="410"/>
        <v/>
      </c>
      <c r="DC223" s="534" t="str">
        <f t="shared" si="411"/>
        <v/>
      </c>
      <c r="DD223" s="533" t="str">
        <f t="shared" si="412"/>
        <v/>
      </c>
      <c r="DE223" s="635">
        <f t="shared" si="520"/>
        <v>0</v>
      </c>
      <c r="DF223" s="95">
        <f t="shared" si="521"/>
        <v>0</v>
      </c>
      <c r="DG223" s="95">
        <f t="shared" si="522"/>
        <v>0</v>
      </c>
      <c r="DH223" s="95">
        <f t="shared" si="52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542"/>
        <v/>
      </c>
      <c r="CA224" s="582" t="str">
        <f t="shared" si="543"/>
        <v/>
      </c>
      <c r="CB224" s="582" t="str">
        <f t="shared" si="544"/>
        <v/>
      </c>
      <c r="CC224" s="582" t="str">
        <f t="shared" si="545"/>
        <v/>
      </c>
      <c r="CD224" s="988" t="str">
        <f t="shared" si="533"/>
        <v/>
      </c>
      <c r="CE224" s="989" t="str">
        <f t="shared" si="532"/>
        <v/>
      </c>
      <c r="CF224" s="989" t="str">
        <f t="shared" si="532"/>
        <v/>
      </c>
      <c r="CG224" s="989" t="str">
        <f t="shared" si="532"/>
        <v/>
      </c>
      <c r="CH224" s="990" t="str">
        <f t="shared" si="532"/>
        <v/>
      </c>
      <c r="CI224" s="990" t="str">
        <f t="shared" si="532"/>
        <v/>
      </c>
      <c r="CJ224" s="989" t="str">
        <f t="shared" si="532"/>
        <v/>
      </c>
      <c r="CK224" s="989" t="str">
        <f t="shared" si="532"/>
        <v/>
      </c>
      <c r="CL224" s="989" t="str">
        <f t="shared" si="532"/>
        <v/>
      </c>
      <c r="CM224" s="988" t="str">
        <f t="shared" si="532"/>
        <v/>
      </c>
      <c r="CN224" s="533" t="str">
        <f t="shared" si="396"/>
        <v/>
      </c>
      <c r="CO224" s="534" t="str">
        <f t="shared" si="397"/>
        <v/>
      </c>
      <c r="CP224" s="535" t="str">
        <f t="shared" si="398"/>
        <v/>
      </c>
      <c r="CQ224" s="535" t="str">
        <f t="shared" si="399"/>
        <v/>
      </c>
      <c r="CR224" s="535" t="str">
        <f t="shared" si="400"/>
        <v/>
      </c>
      <c r="CS224" s="535" t="str">
        <f t="shared" si="401"/>
        <v/>
      </c>
      <c r="CT224" s="535" t="str">
        <f t="shared" si="402"/>
        <v/>
      </c>
      <c r="CU224" s="536" t="str">
        <f t="shared" si="403"/>
        <v/>
      </c>
      <c r="CV224" s="536" t="str">
        <f t="shared" si="404"/>
        <v/>
      </c>
      <c r="CW224" s="536" t="str">
        <f t="shared" si="405"/>
        <v/>
      </c>
      <c r="CX224" s="535" t="str">
        <f t="shared" si="406"/>
        <v/>
      </c>
      <c r="CY224" s="535" t="str">
        <f t="shared" si="407"/>
        <v/>
      </c>
      <c r="CZ224" s="535" t="str">
        <f t="shared" si="408"/>
        <v/>
      </c>
      <c r="DA224" s="535" t="str">
        <f t="shared" si="409"/>
        <v/>
      </c>
      <c r="DB224" s="535" t="str">
        <f t="shared" si="410"/>
        <v/>
      </c>
      <c r="DC224" s="534" t="str">
        <f t="shared" si="411"/>
        <v/>
      </c>
      <c r="DD224" s="533" t="str">
        <f t="shared" si="412"/>
        <v/>
      </c>
      <c r="DE224" s="635">
        <f t="shared" si="520"/>
        <v>0</v>
      </c>
      <c r="DF224" s="95">
        <f t="shared" si="521"/>
        <v>0</v>
      </c>
      <c r="DG224" s="95">
        <f t="shared" si="522"/>
        <v>0</v>
      </c>
      <c r="DH224" s="95">
        <f t="shared" si="52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542"/>
        <v/>
      </c>
      <c r="CA225" s="582" t="str">
        <f t="shared" si="543"/>
        <v/>
      </c>
      <c r="CB225" s="582" t="str">
        <f t="shared" si="544"/>
        <v/>
      </c>
      <c r="CC225" s="582" t="str">
        <f t="shared" si="545"/>
        <v/>
      </c>
      <c r="CD225" s="988" t="str">
        <f t="shared" si="533"/>
        <v/>
      </c>
      <c r="CE225" s="989" t="str">
        <f t="shared" si="532"/>
        <v/>
      </c>
      <c r="CF225" s="989" t="str">
        <f t="shared" si="532"/>
        <v/>
      </c>
      <c r="CG225" s="989" t="str">
        <f t="shared" si="532"/>
        <v/>
      </c>
      <c r="CH225" s="990" t="str">
        <f t="shared" si="532"/>
        <v/>
      </c>
      <c r="CI225" s="990" t="str">
        <f t="shared" si="532"/>
        <v/>
      </c>
      <c r="CJ225" s="989" t="str">
        <f t="shared" si="532"/>
        <v/>
      </c>
      <c r="CK225" s="989" t="str">
        <f t="shared" si="532"/>
        <v/>
      </c>
      <c r="CL225" s="989" t="str">
        <f t="shared" si="532"/>
        <v/>
      </c>
      <c r="CM225" s="988" t="str">
        <f t="shared" si="532"/>
        <v/>
      </c>
      <c r="CN225" s="533" t="str">
        <f t="shared" si="396"/>
        <v/>
      </c>
      <c r="CO225" s="534" t="str">
        <f t="shared" si="397"/>
        <v/>
      </c>
      <c r="CP225" s="535" t="str">
        <f t="shared" si="398"/>
        <v/>
      </c>
      <c r="CQ225" s="535" t="str">
        <f t="shared" si="399"/>
        <v/>
      </c>
      <c r="CR225" s="535" t="str">
        <f t="shared" si="400"/>
        <v/>
      </c>
      <c r="CS225" s="535" t="str">
        <f t="shared" si="401"/>
        <v/>
      </c>
      <c r="CT225" s="535" t="str">
        <f t="shared" si="402"/>
        <v/>
      </c>
      <c r="CU225" s="536" t="str">
        <f t="shared" si="403"/>
        <v/>
      </c>
      <c r="CV225" s="536" t="str">
        <f t="shared" si="404"/>
        <v/>
      </c>
      <c r="CW225" s="536" t="str">
        <f t="shared" si="405"/>
        <v/>
      </c>
      <c r="CX225" s="535" t="str">
        <f t="shared" si="406"/>
        <v/>
      </c>
      <c r="CY225" s="535" t="str">
        <f t="shared" si="407"/>
        <v/>
      </c>
      <c r="CZ225" s="535" t="str">
        <f t="shared" si="408"/>
        <v/>
      </c>
      <c r="DA225" s="535" t="str">
        <f t="shared" si="409"/>
        <v/>
      </c>
      <c r="DB225" s="535" t="str">
        <f t="shared" si="410"/>
        <v/>
      </c>
      <c r="DC225" s="534" t="str">
        <f t="shared" si="411"/>
        <v/>
      </c>
      <c r="DD225" s="533" t="str">
        <f t="shared" si="412"/>
        <v/>
      </c>
      <c r="DE225" s="635">
        <f t="shared" si="520"/>
        <v>0</v>
      </c>
      <c r="DF225" s="95">
        <f t="shared" si="521"/>
        <v>0</v>
      </c>
      <c r="DG225" s="95">
        <f t="shared" si="522"/>
        <v>0</v>
      </c>
      <c r="DH225" s="95">
        <f t="shared" si="52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550">IF(B224="","",B224*B225)</f>
        <v/>
      </c>
      <c r="C226" s="592" t="str">
        <f t="shared" si="550"/>
        <v/>
      </c>
      <c r="D226" s="592" t="str">
        <f t="shared" si="550"/>
        <v/>
      </c>
      <c r="E226" s="592" t="str">
        <f t="shared" si="550"/>
        <v/>
      </c>
      <c r="F226" s="592" t="str">
        <f t="shared" si="550"/>
        <v/>
      </c>
      <c r="G226" s="592" t="str">
        <f t="shared" si="550"/>
        <v/>
      </c>
      <c r="H226" s="592" t="str">
        <f t="shared" si="550"/>
        <v/>
      </c>
      <c r="I226" s="592" t="str">
        <f t="shared" si="550"/>
        <v/>
      </c>
      <c r="J226" s="592" t="str">
        <f t="shared" si="550"/>
        <v/>
      </c>
      <c r="K226" s="592" t="str">
        <f t="shared" si="55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551">IF(T224="","",T224*T225)</f>
        <v/>
      </c>
      <c r="U226" s="592" t="str">
        <f t="shared" si="551"/>
        <v/>
      </c>
      <c r="V226" s="592" t="str">
        <f t="shared" si="551"/>
        <v/>
      </c>
      <c r="W226" s="592" t="str">
        <f t="shared" si="551"/>
        <v/>
      </c>
      <c r="X226" s="592" t="str">
        <f t="shared" si="551"/>
        <v/>
      </c>
      <c r="Y226" s="592" t="str">
        <f t="shared" si="551"/>
        <v/>
      </c>
      <c r="Z226" s="592" t="str">
        <f t="shared" si="551"/>
        <v/>
      </c>
      <c r="AA226" s="592" t="str">
        <f t="shared" si="551"/>
        <v/>
      </c>
      <c r="AB226" s="592" t="str">
        <f t="shared" si="551"/>
        <v/>
      </c>
      <c r="AC226" s="592" t="str">
        <f t="shared" si="55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552">IF(AL224="","",AL224*AL225)</f>
        <v/>
      </c>
      <c r="AM226" s="592" t="str">
        <f t="shared" si="552"/>
        <v/>
      </c>
      <c r="AN226" s="592" t="str">
        <f t="shared" si="552"/>
        <v/>
      </c>
      <c r="AO226" s="592" t="str">
        <f t="shared" si="552"/>
        <v/>
      </c>
      <c r="AP226" s="592" t="str">
        <f t="shared" si="552"/>
        <v/>
      </c>
      <c r="AQ226" s="592" t="str">
        <f t="shared" si="552"/>
        <v/>
      </c>
      <c r="AR226" s="592" t="str">
        <f t="shared" si="552"/>
        <v/>
      </c>
      <c r="AS226" s="592" t="str">
        <f t="shared" si="552"/>
        <v/>
      </c>
      <c r="AT226" s="592" t="str">
        <f t="shared" si="552"/>
        <v/>
      </c>
      <c r="AU226" s="592" t="str">
        <f t="shared" si="55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553">IF(BD224="","",BD224*BD225)</f>
        <v/>
      </c>
      <c r="BE226" s="1195" t="str">
        <f t="shared" si="553"/>
        <v/>
      </c>
      <c r="BF226" s="1195" t="str">
        <f t="shared" si="553"/>
        <v/>
      </c>
      <c r="BG226" s="1195" t="str">
        <f t="shared" si="553"/>
        <v/>
      </c>
      <c r="BH226" s="1195" t="str">
        <f t="shared" si="553"/>
        <v/>
      </c>
      <c r="BI226" s="1195" t="str">
        <f t="shared" si="553"/>
        <v/>
      </c>
      <c r="BJ226" s="1195" t="str">
        <f t="shared" si="553"/>
        <v/>
      </c>
      <c r="BK226" s="1195" t="str">
        <f t="shared" si="553"/>
        <v/>
      </c>
      <c r="BL226" s="1195" t="str">
        <f t="shared" si="553"/>
        <v/>
      </c>
      <c r="BM226" s="1195" t="str">
        <f t="shared" si="55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542"/>
        <v/>
      </c>
      <c r="CA226" s="582" t="str">
        <f t="shared" si="543"/>
        <v/>
      </c>
      <c r="CB226" s="582" t="str">
        <f t="shared" si="544"/>
        <v/>
      </c>
      <c r="CC226" s="582" t="str">
        <f t="shared" si="545"/>
        <v/>
      </c>
      <c r="CD226" s="988" t="str">
        <f t="shared" si="533"/>
        <v/>
      </c>
      <c r="CE226" s="989" t="str">
        <f t="shared" si="532"/>
        <v/>
      </c>
      <c r="CF226" s="989" t="str">
        <f t="shared" si="532"/>
        <v/>
      </c>
      <c r="CG226" s="989" t="str">
        <f t="shared" si="532"/>
        <v/>
      </c>
      <c r="CH226" s="990" t="str">
        <f t="shared" si="532"/>
        <v/>
      </c>
      <c r="CI226" s="990" t="str">
        <f t="shared" si="532"/>
        <v/>
      </c>
      <c r="CJ226" s="989" t="str">
        <f t="shared" si="532"/>
        <v/>
      </c>
      <c r="CK226" s="989" t="str">
        <f t="shared" si="532"/>
        <v/>
      </c>
      <c r="CL226" s="989" t="str">
        <f t="shared" si="532"/>
        <v/>
      </c>
      <c r="CM226" s="988" t="str">
        <f t="shared" si="532"/>
        <v/>
      </c>
      <c r="CN226" s="533" t="str">
        <f t="shared" si="396"/>
        <v/>
      </c>
      <c r="CO226" s="534" t="str">
        <f t="shared" si="397"/>
        <v/>
      </c>
      <c r="CP226" s="535" t="str">
        <f t="shared" si="398"/>
        <v/>
      </c>
      <c r="CQ226" s="535" t="str">
        <f t="shared" si="399"/>
        <v/>
      </c>
      <c r="CR226" s="535" t="str">
        <f t="shared" si="400"/>
        <v/>
      </c>
      <c r="CS226" s="535" t="str">
        <f t="shared" si="401"/>
        <v/>
      </c>
      <c r="CT226" s="535" t="str">
        <f t="shared" si="402"/>
        <v/>
      </c>
      <c r="CU226" s="536" t="str">
        <f t="shared" si="403"/>
        <v/>
      </c>
      <c r="CV226" s="536" t="str">
        <f t="shared" si="404"/>
        <v/>
      </c>
      <c r="CW226" s="536" t="str">
        <f t="shared" si="405"/>
        <v/>
      </c>
      <c r="CX226" s="535" t="str">
        <f t="shared" si="406"/>
        <v/>
      </c>
      <c r="CY226" s="535" t="str">
        <f t="shared" si="407"/>
        <v/>
      </c>
      <c r="CZ226" s="535" t="str">
        <f t="shared" si="408"/>
        <v/>
      </c>
      <c r="DA226" s="535" t="str">
        <f t="shared" si="409"/>
        <v/>
      </c>
      <c r="DB226" s="535" t="str">
        <f t="shared" si="410"/>
        <v/>
      </c>
      <c r="DC226" s="534" t="str">
        <f t="shared" si="411"/>
        <v/>
      </c>
      <c r="DD226" s="533" t="str">
        <f t="shared" si="412"/>
        <v/>
      </c>
      <c r="DE226" s="635">
        <f t="shared" si="520"/>
        <v>0</v>
      </c>
      <c r="DF226" s="95">
        <f t="shared" si="521"/>
        <v>0</v>
      </c>
      <c r="DG226" s="95">
        <f t="shared" si="522"/>
        <v>0</v>
      </c>
      <c r="DH226" s="95">
        <f t="shared" si="52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542"/>
        <v/>
      </c>
      <c r="CA227" s="574" t="str">
        <f t="shared" si="543"/>
        <v/>
      </c>
      <c r="CB227" s="574" t="str">
        <f t="shared" si="544"/>
        <v/>
      </c>
      <c r="CC227" s="669" t="str">
        <f t="shared" si="54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542"/>
        <v/>
      </c>
      <c r="CA228" s="582" t="str">
        <f t="shared" si="543"/>
        <v/>
      </c>
      <c r="CB228" s="582" t="str">
        <f t="shared" si="544"/>
        <v/>
      </c>
      <c r="CC228" s="670" t="str">
        <f t="shared" si="545"/>
        <v/>
      </c>
      <c r="CD228" s="988" t="str">
        <f t="shared" ref="CD228:CD233" si="55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55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555"/>
        <v/>
      </c>
      <c r="CG228" s="989" t="str">
        <f t="shared" si="555"/>
        <v/>
      </c>
      <c r="CH228" s="990" t="str">
        <f t="shared" si="555"/>
        <v/>
      </c>
      <c r="CI228" s="990" t="str">
        <f t="shared" si="555"/>
        <v/>
      </c>
      <c r="CJ228" s="989" t="str">
        <f t="shared" si="555"/>
        <v/>
      </c>
      <c r="CK228" s="989" t="str">
        <f t="shared" si="555"/>
        <v/>
      </c>
      <c r="CL228" s="989" t="str">
        <f t="shared" si="555"/>
        <v/>
      </c>
      <c r="CM228" s="988" t="str">
        <f t="shared" si="555"/>
        <v/>
      </c>
      <c r="CN228" s="533" t="str">
        <f t="shared" ref="CN228:CN300" si="55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55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5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55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56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56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56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56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56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56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56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56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56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56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57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57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57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573">COUNT(B228:R228)</f>
        <v>0</v>
      </c>
      <c r="DF228" s="95">
        <f t="shared" ref="DF228:DF259" si="574">COUNT(T228:AJ228)</f>
        <v>0</v>
      </c>
      <c r="DG228" s="95">
        <f t="shared" ref="DG228:DG259" si="575">COUNT(AL228:BB228)</f>
        <v>0</v>
      </c>
      <c r="DH228" s="95">
        <f t="shared" ref="DH228:DH259" si="57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542"/>
        <v/>
      </c>
      <c r="CA229" s="582" t="str">
        <f t="shared" si="543"/>
        <v/>
      </c>
      <c r="CB229" s="582" t="str">
        <f t="shared" si="544"/>
        <v/>
      </c>
      <c r="CC229" s="670" t="str">
        <f t="shared" si="545"/>
        <v/>
      </c>
      <c r="CD229" s="991" t="str">
        <f t="shared" si="554"/>
        <v/>
      </c>
      <c r="CE229" s="992" t="str">
        <f t="shared" si="555"/>
        <v/>
      </c>
      <c r="CF229" s="992" t="str">
        <f t="shared" si="555"/>
        <v/>
      </c>
      <c r="CG229" s="992" t="str">
        <f t="shared" si="555"/>
        <v/>
      </c>
      <c r="CH229" s="993" t="str">
        <f t="shared" si="555"/>
        <v/>
      </c>
      <c r="CI229" s="993" t="str">
        <f t="shared" si="555"/>
        <v/>
      </c>
      <c r="CJ229" s="992" t="str">
        <f t="shared" si="555"/>
        <v/>
      </c>
      <c r="CK229" s="992" t="str">
        <f t="shared" si="555"/>
        <v/>
      </c>
      <c r="CL229" s="992" t="str">
        <f t="shared" si="555"/>
        <v/>
      </c>
      <c r="CM229" s="991" t="str">
        <f t="shared" si="555"/>
        <v/>
      </c>
      <c r="CN229" s="533" t="str">
        <f t="shared" si="556"/>
        <v/>
      </c>
      <c r="CO229" s="534" t="str">
        <f t="shared" si="557"/>
        <v/>
      </c>
      <c r="CP229" s="535" t="str">
        <f t="shared" si="558"/>
        <v/>
      </c>
      <c r="CQ229" s="535" t="str">
        <f t="shared" si="559"/>
        <v/>
      </c>
      <c r="CR229" s="535" t="str">
        <f t="shared" si="560"/>
        <v/>
      </c>
      <c r="CS229" s="535" t="str">
        <f t="shared" si="561"/>
        <v/>
      </c>
      <c r="CT229" s="535" t="str">
        <f t="shared" si="562"/>
        <v/>
      </c>
      <c r="CU229" s="536" t="str">
        <f t="shared" si="563"/>
        <v/>
      </c>
      <c r="CV229" s="536" t="str">
        <f t="shared" si="564"/>
        <v/>
      </c>
      <c r="CW229" s="536" t="str">
        <f t="shared" si="565"/>
        <v/>
      </c>
      <c r="CX229" s="535" t="str">
        <f t="shared" si="566"/>
        <v/>
      </c>
      <c r="CY229" s="535" t="str">
        <f t="shared" si="567"/>
        <v/>
      </c>
      <c r="CZ229" s="535" t="str">
        <f t="shared" si="568"/>
        <v/>
      </c>
      <c r="DA229" s="535" t="str">
        <f t="shared" si="569"/>
        <v/>
      </c>
      <c r="DB229" s="535" t="str">
        <f t="shared" si="570"/>
        <v/>
      </c>
      <c r="DC229" s="534" t="str">
        <f t="shared" si="571"/>
        <v/>
      </c>
      <c r="DD229" s="533" t="str">
        <f t="shared" si="572"/>
        <v/>
      </c>
      <c r="DE229" s="635">
        <f t="shared" si="573"/>
        <v>0</v>
      </c>
      <c r="DF229" s="95">
        <f t="shared" si="574"/>
        <v>0</v>
      </c>
      <c r="DG229" s="95">
        <f t="shared" si="575"/>
        <v>0</v>
      </c>
      <c r="DH229" s="95">
        <f t="shared" si="57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577">IF(B228="","",(B228/12)*B229)</f>
        <v/>
      </c>
      <c r="C230" s="615" t="str">
        <f t="shared" si="577"/>
        <v/>
      </c>
      <c r="D230" s="615" t="str">
        <f t="shared" si="577"/>
        <v/>
      </c>
      <c r="E230" s="615" t="str">
        <f t="shared" si="577"/>
        <v/>
      </c>
      <c r="F230" s="615" t="str">
        <f t="shared" si="577"/>
        <v/>
      </c>
      <c r="G230" s="615" t="str">
        <f t="shared" si="577"/>
        <v/>
      </c>
      <c r="H230" s="615" t="str">
        <f t="shared" si="577"/>
        <v/>
      </c>
      <c r="I230" s="615" t="str">
        <f t="shared" si="577"/>
        <v/>
      </c>
      <c r="J230" s="615" t="str">
        <f t="shared" si="577"/>
        <v/>
      </c>
      <c r="K230" s="615" t="str">
        <f t="shared" si="57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578">IF(T228="","",(T228/12)*T229)</f>
        <v/>
      </c>
      <c r="U230" s="615" t="str">
        <f t="shared" si="578"/>
        <v/>
      </c>
      <c r="V230" s="615" t="str">
        <f t="shared" si="578"/>
        <v/>
      </c>
      <c r="W230" s="615" t="str">
        <f t="shared" si="578"/>
        <v/>
      </c>
      <c r="X230" s="615" t="str">
        <f t="shared" si="578"/>
        <v/>
      </c>
      <c r="Y230" s="615" t="str">
        <f t="shared" si="578"/>
        <v/>
      </c>
      <c r="Z230" s="615" t="str">
        <f t="shared" si="578"/>
        <v/>
      </c>
      <c r="AA230" s="615" t="str">
        <f t="shared" si="578"/>
        <v/>
      </c>
      <c r="AB230" s="615" t="str">
        <f t="shared" si="578"/>
        <v/>
      </c>
      <c r="AC230" s="615" t="str">
        <f t="shared" si="57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579">IF(AL228="","",(AL228/12)*AL229)</f>
        <v/>
      </c>
      <c r="AM230" s="615" t="str">
        <f t="shared" si="579"/>
        <v/>
      </c>
      <c r="AN230" s="615" t="str">
        <f t="shared" si="579"/>
        <v/>
      </c>
      <c r="AO230" s="615" t="str">
        <f t="shared" si="579"/>
        <v/>
      </c>
      <c r="AP230" s="615" t="str">
        <f t="shared" si="579"/>
        <v/>
      </c>
      <c r="AQ230" s="615" t="str">
        <f t="shared" si="579"/>
        <v/>
      </c>
      <c r="AR230" s="615" t="str">
        <f t="shared" si="579"/>
        <v/>
      </c>
      <c r="AS230" s="615" t="str">
        <f t="shared" si="579"/>
        <v/>
      </c>
      <c r="AT230" s="615" t="str">
        <f t="shared" si="579"/>
        <v/>
      </c>
      <c r="AU230" s="615" t="str">
        <f t="shared" si="57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580">IF(BD228="","",(BD228/12)*BD229)</f>
        <v/>
      </c>
      <c r="BE230" s="1202" t="str">
        <f t="shared" si="580"/>
        <v/>
      </c>
      <c r="BF230" s="1202"/>
      <c r="BG230" s="1202"/>
      <c r="BH230" s="1202"/>
      <c r="BI230" s="1202" t="str">
        <f t="shared" si="580"/>
        <v/>
      </c>
      <c r="BJ230" s="1202" t="str">
        <f t="shared" si="580"/>
        <v/>
      </c>
      <c r="BK230" s="1202" t="str">
        <f t="shared" si="580"/>
        <v/>
      </c>
      <c r="BL230" s="1202" t="str">
        <f t="shared" si="580"/>
        <v/>
      </c>
      <c r="BM230" s="1202" t="str">
        <f t="shared" si="58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542"/>
        <v/>
      </c>
      <c r="CA230" s="607" t="str">
        <f t="shared" si="543"/>
        <v/>
      </c>
      <c r="CB230" s="607" t="str">
        <f t="shared" si="544"/>
        <v/>
      </c>
      <c r="CC230" s="673" t="str">
        <f t="shared" si="545"/>
        <v/>
      </c>
      <c r="CD230" s="991" t="str">
        <f t="shared" si="554"/>
        <v/>
      </c>
      <c r="CE230" s="992" t="str">
        <f t="shared" ref="CE230:CM231" si="58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581"/>
        <v/>
      </c>
      <c r="CG230" s="992" t="str">
        <f t="shared" si="581"/>
        <v/>
      </c>
      <c r="CH230" s="993" t="str">
        <f t="shared" si="581"/>
        <v/>
      </c>
      <c r="CI230" s="993" t="str">
        <f t="shared" si="581"/>
        <v/>
      </c>
      <c r="CJ230" s="992" t="str">
        <f t="shared" si="581"/>
        <v/>
      </c>
      <c r="CK230" s="992" t="str">
        <f t="shared" si="581"/>
        <v/>
      </c>
      <c r="CL230" s="992" t="str">
        <f t="shared" si="581"/>
        <v/>
      </c>
      <c r="CM230" s="991" t="str">
        <f t="shared" si="581"/>
        <v/>
      </c>
      <c r="CN230" s="521" t="str">
        <f t="shared" si="556"/>
        <v/>
      </c>
      <c r="CO230" s="522" t="str">
        <f t="shared" si="557"/>
        <v/>
      </c>
      <c r="CP230" s="523" t="str">
        <f t="shared" si="558"/>
        <v/>
      </c>
      <c r="CQ230" s="523" t="str">
        <f t="shared" si="559"/>
        <v/>
      </c>
      <c r="CR230" s="523" t="str">
        <f t="shared" si="560"/>
        <v/>
      </c>
      <c r="CS230" s="523" t="str">
        <f t="shared" si="561"/>
        <v/>
      </c>
      <c r="CT230" s="523" t="str">
        <f t="shared" si="562"/>
        <v/>
      </c>
      <c r="CU230" s="524" t="str">
        <f t="shared" si="563"/>
        <v/>
      </c>
      <c r="CV230" s="524" t="str">
        <f t="shared" si="564"/>
        <v/>
      </c>
      <c r="CW230" s="524" t="str">
        <f t="shared" si="565"/>
        <v/>
      </c>
      <c r="CX230" s="523" t="str">
        <f t="shared" si="566"/>
        <v/>
      </c>
      <c r="CY230" s="523" t="str">
        <f t="shared" si="567"/>
        <v/>
      </c>
      <c r="CZ230" s="523" t="str">
        <f t="shared" si="568"/>
        <v/>
      </c>
      <c r="DA230" s="523" t="str">
        <f t="shared" si="569"/>
        <v/>
      </c>
      <c r="DB230" s="523" t="str">
        <f t="shared" si="570"/>
        <v/>
      </c>
      <c r="DC230" s="522" t="str">
        <f t="shared" si="571"/>
        <v/>
      </c>
      <c r="DD230" s="521" t="str">
        <f t="shared" si="572"/>
        <v/>
      </c>
      <c r="DE230" s="635">
        <f t="shared" si="573"/>
        <v>0</v>
      </c>
      <c r="DF230" s="95">
        <f t="shared" si="574"/>
        <v>0</v>
      </c>
      <c r="DG230" s="95">
        <f t="shared" si="575"/>
        <v>0</v>
      </c>
      <c r="DH230" s="95">
        <f t="shared" si="57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542"/>
        <v/>
      </c>
      <c r="CA231" s="582" t="str">
        <f t="shared" si="543"/>
        <v/>
      </c>
      <c r="CB231" s="582" t="str">
        <f t="shared" si="544"/>
        <v/>
      </c>
      <c r="CC231" s="670" t="str">
        <f t="shared" si="545"/>
        <v/>
      </c>
      <c r="CD231" s="988" t="str">
        <f t="shared" si="554"/>
        <v/>
      </c>
      <c r="CE231" s="989" t="str">
        <f t="shared" si="581"/>
        <v/>
      </c>
      <c r="CF231" s="989" t="str">
        <f t="shared" si="581"/>
        <v/>
      </c>
      <c r="CG231" s="989" t="str">
        <f t="shared" si="581"/>
        <v/>
      </c>
      <c r="CH231" s="990" t="str">
        <f t="shared" si="581"/>
        <v/>
      </c>
      <c r="CI231" s="990" t="str">
        <f t="shared" si="581"/>
        <v/>
      </c>
      <c r="CJ231" s="989" t="str">
        <f t="shared" si="581"/>
        <v/>
      </c>
      <c r="CK231" s="989" t="str">
        <f t="shared" si="581"/>
        <v/>
      </c>
      <c r="CL231" s="989" t="str">
        <f t="shared" si="581"/>
        <v/>
      </c>
      <c r="CM231" s="988" t="str">
        <f t="shared" si="581"/>
        <v/>
      </c>
      <c r="CN231" s="533" t="str">
        <f t="shared" si="556"/>
        <v/>
      </c>
      <c r="CO231" s="534" t="str">
        <f t="shared" si="557"/>
        <v/>
      </c>
      <c r="CP231" s="535" t="str">
        <f t="shared" si="558"/>
        <v/>
      </c>
      <c r="CQ231" s="535" t="str">
        <f t="shared" si="559"/>
        <v/>
      </c>
      <c r="CR231" s="535" t="str">
        <f t="shared" si="560"/>
        <v/>
      </c>
      <c r="CS231" s="535" t="str">
        <f t="shared" si="561"/>
        <v/>
      </c>
      <c r="CT231" s="535" t="str">
        <f t="shared" si="562"/>
        <v/>
      </c>
      <c r="CU231" s="536" t="str">
        <f t="shared" si="563"/>
        <v/>
      </c>
      <c r="CV231" s="536" t="str">
        <f t="shared" si="564"/>
        <v/>
      </c>
      <c r="CW231" s="536" t="str">
        <f t="shared" si="565"/>
        <v/>
      </c>
      <c r="CX231" s="535" t="str">
        <f t="shared" si="566"/>
        <v/>
      </c>
      <c r="CY231" s="535" t="str">
        <f t="shared" si="567"/>
        <v/>
      </c>
      <c r="CZ231" s="535" t="str">
        <f t="shared" si="568"/>
        <v/>
      </c>
      <c r="DA231" s="535" t="str">
        <f t="shared" si="569"/>
        <v/>
      </c>
      <c r="DB231" s="535" t="str">
        <f t="shared" si="570"/>
        <v/>
      </c>
      <c r="DC231" s="534" t="str">
        <f t="shared" si="571"/>
        <v/>
      </c>
      <c r="DD231" s="533" t="str">
        <f t="shared" si="572"/>
        <v/>
      </c>
      <c r="DE231" s="635">
        <f t="shared" si="573"/>
        <v>0</v>
      </c>
      <c r="DF231" s="95">
        <f t="shared" si="574"/>
        <v>0</v>
      </c>
      <c r="DG231" s="95">
        <f t="shared" si="575"/>
        <v>0</v>
      </c>
      <c r="DH231" s="95">
        <f t="shared" si="57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542"/>
        <v/>
      </c>
      <c r="CA232" s="582" t="str">
        <f t="shared" si="543"/>
        <v/>
      </c>
      <c r="CB232" s="582" t="str">
        <f t="shared" si="544"/>
        <v/>
      </c>
      <c r="CC232" s="670" t="str">
        <f t="shared" si="545"/>
        <v/>
      </c>
      <c r="CD232" s="991" t="str">
        <f t="shared" si="554"/>
        <v/>
      </c>
      <c r="CE232" s="992" t="str">
        <f t="shared" ref="CE232:CM242" si="58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582"/>
        <v/>
      </c>
      <c r="CG232" s="992" t="str">
        <f t="shared" si="582"/>
        <v/>
      </c>
      <c r="CH232" s="993" t="str">
        <f t="shared" si="582"/>
        <v/>
      </c>
      <c r="CI232" s="993" t="str">
        <f t="shared" si="582"/>
        <v/>
      </c>
      <c r="CJ232" s="992" t="str">
        <f t="shared" si="582"/>
        <v/>
      </c>
      <c r="CK232" s="992" t="str">
        <f t="shared" si="582"/>
        <v/>
      </c>
      <c r="CL232" s="992" t="str">
        <f t="shared" si="582"/>
        <v/>
      </c>
      <c r="CM232" s="991" t="str">
        <f t="shared" si="582"/>
        <v/>
      </c>
      <c r="CN232" s="533" t="str">
        <f t="shared" si="556"/>
        <v/>
      </c>
      <c r="CO232" s="534" t="str">
        <f t="shared" si="557"/>
        <v/>
      </c>
      <c r="CP232" s="535" t="str">
        <f t="shared" si="558"/>
        <v/>
      </c>
      <c r="CQ232" s="535" t="str">
        <f t="shared" si="559"/>
        <v/>
      </c>
      <c r="CR232" s="535" t="str">
        <f t="shared" si="560"/>
        <v/>
      </c>
      <c r="CS232" s="535" t="str">
        <f t="shared" si="561"/>
        <v/>
      </c>
      <c r="CT232" s="535" t="str">
        <f t="shared" si="562"/>
        <v/>
      </c>
      <c r="CU232" s="536" t="str">
        <f t="shared" si="563"/>
        <v/>
      </c>
      <c r="CV232" s="536" t="str">
        <f t="shared" si="564"/>
        <v/>
      </c>
      <c r="CW232" s="536" t="str">
        <f t="shared" si="565"/>
        <v/>
      </c>
      <c r="CX232" s="535" t="str">
        <f t="shared" si="566"/>
        <v/>
      </c>
      <c r="CY232" s="535" t="str">
        <f t="shared" si="567"/>
        <v/>
      </c>
      <c r="CZ232" s="535" t="str">
        <f t="shared" si="568"/>
        <v/>
      </c>
      <c r="DA232" s="535" t="str">
        <f t="shared" si="569"/>
        <v/>
      </c>
      <c r="DB232" s="535" t="str">
        <f t="shared" si="570"/>
        <v/>
      </c>
      <c r="DC232" s="534" t="str">
        <f t="shared" si="571"/>
        <v/>
      </c>
      <c r="DD232" s="533" t="str">
        <f t="shared" si="572"/>
        <v/>
      </c>
      <c r="DE232" s="635">
        <f t="shared" si="573"/>
        <v>0</v>
      </c>
      <c r="DF232" s="95">
        <f t="shared" si="574"/>
        <v>0</v>
      </c>
      <c r="DG232" s="95">
        <f t="shared" si="575"/>
        <v>0</v>
      </c>
      <c r="DH232" s="95">
        <f t="shared" si="57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583">IF(B231="","",(B231/12)*B232)</f>
        <v/>
      </c>
      <c r="C233" s="615" t="str">
        <f t="shared" si="583"/>
        <v/>
      </c>
      <c r="D233" s="615" t="str">
        <f t="shared" si="583"/>
        <v/>
      </c>
      <c r="E233" s="615" t="str">
        <f t="shared" si="583"/>
        <v/>
      </c>
      <c r="F233" s="615" t="str">
        <f t="shared" si="583"/>
        <v/>
      </c>
      <c r="G233" s="615" t="str">
        <f t="shared" si="583"/>
        <v/>
      </c>
      <c r="H233" s="615" t="str">
        <f t="shared" si="583"/>
        <v/>
      </c>
      <c r="I233" s="615" t="str">
        <f t="shared" si="583"/>
        <v/>
      </c>
      <c r="J233" s="615" t="str">
        <f t="shared" si="583"/>
        <v/>
      </c>
      <c r="K233" s="615" t="str">
        <f t="shared" si="58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584">IF(T231="","",(T231/12)*T232)</f>
        <v/>
      </c>
      <c r="U233" s="615" t="str">
        <f t="shared" si="584"/>
        <v/>
      </c>
      <c r="V233" s="615" t="str">
        <f t="shared" si="584"/>
        <v/>
      </c>
      <c r="W233" s="615" t="str">
        <f t="shared" si="584"/>
        <v/>
      </c>
      <c r="X233" s="615" t="str">
        <f t="shared" si="584"/>
        <v/>
      </c>
      <c r="Y233" s="615" t="str">
        <f t="shared" si="584"/>
        <v/>
      </c>
      <c r="Z233" s="615" t="str">
        <f t="shared" si="584"/>
        <v/>
      </c>
      <c r="AA233" s="615" t="str">
        <f t="shared" si="584"/>
        <v/>
      </c>
      <c r="AB233" s="615" t="str">
        <f t="shared" si="584"/>
        <v/>
      </c>
      <c r="AC233" s="615" t="str">
        <f t="shared" si="58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585">IF(AL231="","",(AL231/12)*AL232)</f>
        <v/>
      </c>
      <c r="AM233" s="615" t="str">
        <f t="shared" si="585"/>
        <v/>
      </c>
      <c r="AN233" s="615" t="str">
        <f t="shared" si="585"/>
        <v/>
      </c>
      <c r="AO233" s="615" t="str">
        <f t="shared" si="585"/>
        <v/>
      </c>
      <c r="AP233" s="615" t="str">
        <f t="shared" si="585"/>
        <v/>
      </c>
      <c r="AQ233" s="615" t="str">
        <f t="shared" si="585"/>
        <v/>
      </c>
      <c r="AR233" s="615" t="str">
        <f t="shared" si="585"/>
        <v/>
      </c>
      <c r="AS233" s="615" t="str">
        <f t="shared" si="585"/>
        <v/>
      </c>
      <c r="AT233" s="615" t="str">
        <f t="shared" si="585"/>
        <v/>
      </c>
      <c r="AU233" s="615" t="str">
        <f t="shared" si="58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586">IF(BD231="","",(BD231/12)*BD232)</f>
        <v/>
      </c>
      <c r="BE233" s="1202" t="str">
        <f t="shared" si="586"/>
        <v/>
      </c>
      <c r="BF233" s="1202" t="str">
        <f t="shared" si="586"/>
        <v/>
      </c>
      <c r="BG233" s="1202" t="str">
        <f t="shared" si="586"/>
        <v/>
      </c>
      <c r="BH233" s="1202" t="str">
        <f t="shared" si="586"/>
        <v/>
      </c>
      <c r="BI233" s="1202" t="str">
        <f t="shared" si="586"/>
        <v/>
      </c>
      <c r="BJ233" s="1202" t="str">
        <f t="shared" si="586"/>
        <v/>
      </c>
      <c r="BK233" s="1202" t="str">
        <f t="shared" si="586"/>
        <v/>
      </c>
      <c r="BL233" s="1202" t="str">
        <f t="shared" si="586"/>
        <v/>
      </c>
      <c r="BM233" s="1202" t="str">
        <f t="shared" si="58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542"/>
        <v/>
      </c>
      <c r="CA233" s="607" t="str">
        <f t="shared" si="543"/>
        <v/>
      </c>
      <c r="CB233" s="607" t="str">
        <f t="shared" si="544"/>
        <v/>
      </c>
      <c r="CC233" s="673" t="str">
        <f t="shared" si="545"/>
        <v/>
      </c>
      <c r="CD233" s="991" t="str">
        <f t="shared" si="554"/>
        <v/>
      </c>
      <c r="CE233" s="992" t="str">
        <f t="shared" si="582"/>
        <v/>
      </c>
      <c r="CF233" s="992" t="str">
        <f t="shared" si="582"/>
        <v/>
      </c>
      <c r="CG233" s="992" t="str">
        <f t="shared" si="582"/>
        <v/>
      </c>
      <c r="CH233" s="993" t="str">
        <f t="shared" si="582"/>
        <v/>
      </c>
      <c r="CI233" s="993" t="str">
        <f t="shared" si="582"/>
        <v/>
      </c>
      <c r="CJ233" s="992" t="str">
        <f t="shared" si="582"/>
        <v/>
      </c>
      <c r="CK233" s="992" t="str">
        <f t="shared" si="582"/>
        <v/>
      </c>
      <c r="CL233" s="992" t="str">
        <f t="shared" si="582"/>
        <v/>
      </c>
      <c r="CM233" s="991" t="str">
        <f t="shared" si="582"/>
        <v/>
      </c>
      <c r="CN233" s="521" t="str">
        <f t="shared" si="556"/>
        <v/>
      </c>
      <c r="CO233" s="522" t="str">
        <f t="shared" si="557"/>
        <v/>
      </c>
      <c r="CP233" s="523" t="str">
        <f t="shared" si="558"/>
        <v/>
      </c>
      <c r="CQ233" s="523" t="str">
        <f t="shared" si="559"/>
        <v/>
      </c>
      <c r="CR233" s="523" t="str">
        <f t="shared" si="560"/>
        <v/>
      </c>
      <c r="CS233" s="523" t="str">
        <f t="shared" si="561"/>
        <v/>
      </c>
      <c r="CT233" s="523" t="str">
        <f t="shared" si="562"/>
        <v/>
      </c>
      <c r="CU233" s="524" t="str">
        <f t="shared" si="563"/>
        <v/>
      </c>
      <c r="CV233" s="524" t="str">
        <f t="shared" si="564"/>
        <v/>
      </c>
      <c r="CW233" s="524" t="str">
        <f t="shared" si="565"/>
        <v/>
      </c>
      <c r="CX233" s="523" t="str">
        <f t="shared" si="566"/>
        <v/>
      </c>
      <c r="CY233" s="523" t="str">
        <f t="shared" si="567"/>
        <v/>
      </c>
      <c r="CZ233" s="523" t="str">
        <f t="shared" si="568"/>
        <v/>
      </c>
      <c r="DA233" s="523" t="str">
        <f t="shared" si="569"/>
        <v/>
      </c>
      <c r="DB233" s="523" t="str">
        <f t="shared" si="570"/>
        <v/>
      </c>
      <c r="DC233" s="522" t="str">
        <f t="shared" si="571"/>
        <v/>
      </c>
      <c r="DD233" s="521" t="str">
        <f t="shared" si="572"/>
        <v/>
      </c>
      <c r="DE233" s="635">
        <f t="shared" si="573"/>
        <v>0</v>
      </c>
      <c r="DF233" s="95">
        <f t="shared" si="574"/>
        <v>0</v>
      </c>
      <c r="DG233" s="95">
        <f t="shared" si="575"/>
        <v>0</v>
      </c>
      <c r="DH233" s="95">
        <f t="shared" si="57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542"/>
        <v/>
      </c>
      <c r="CA234" s="582" t="str">
        <f t="shared" si="543"/>
        <v/>
      </c>
      <c r="CB234" s="582" t="str">
        <f t="shared" si="544"/>
        <v/>
      </c>
      <c r="CC234" s="670" t="str">
        <f t="shared" si="545"/>
        <v/>
      </c>
      <c r="CD234" s="988" t="str">
        <f t="shared" ref="CD234:CD242" si="58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582"/>
        <v/>
      </c>
      <c r="CF234" s="989" t="str">
        <f t="shared" si="582"/>
        <v/>
      </c>
      <c r="CG234" s="989" t="str">
        <f t="shared" si="582"/>
        <v/>
      </c>
      <c r="CH234" s="990" t="str">
        <f t="shared" si="582"/>
        <v/>
      </c>
      <c r="CI234" s="990" t="str">
        <f t="shared" si="582"/>
        <v/>
      </c>
      <c r="CJ234" s="989" t="str">
        <f t="shared" si="582"/>
        <v/>
      </c>
      <c r="CK234" s="989" t="str">
        <f t="shared" si="582"/>
        <v/>
      </c>
      <c r="CL234" s="989" t="str">
        <f t="shared" si="582"/>
        <v/>
      </c>
      <c r="CM234" s="988" t="str">
        <f t="shared" si="582"/>
        <v/>
      </c>
      <c r="CN234" s="533" t="str">
        <f t="shared" si="556"/>
        <v/>
      </c>
      <c r="CO234" s="534" t="str">
        <f t="shared" si="557"/>
        <v/>
      </c>
      <c r="CP234" s="535" t="str">
        <f t="shared" si="558"/>
        <v/>
      </c>
      <c r="CQ234" s="535" t="str">
        <f t="shared" si="559"/>
        <v/>
      </c>
      <c r="CR234" s="535" t="str">
        <f t="shared" si="560"/>
        <v/>
      </c>
      <c r="CS234" s="535" t="str">
        <f t="shared" si="561"/>
        <v/>
      </c>
      <c r="CT234" s="535" t="str">
        <f t="shared" si="562"/>
        <v/>
      </c>
      <c r="CU234" s="536" t="str">
        <f t="shared" si="563"/>
        <v/>
      </c>
      <c r="CV234" s="536" t="str">
        <f t="shared" si="564"/>
        <v/>
      </c>
      <c r="CW234" s="536" t="str">
        <f t="shared" si="565"/>
        <v/>
      </c>
      <c r="CX234" s="535" t="str">
        <f t="shared" si="566"/>
        <v/>
      </c>
      <c r="CY234" s="535" t="str">
        <f t="shared" si="567"/>
        <v/>
      </c>
      <c r="CZ234" s="535" t="str">
        <f t="shared" si="568"/>
        <v/>
      </c>
      <c r="DA234" s="535" t="str">
        <f t="shared" si="569"/>
        <v/>
      </c>
      <c r="DB234" s="535" t="str">
        <f t="shared" si="570"/>
        <v/>
      </c>
      <c r="DC234" s="534" t="str">
        <f t="shared" si="571"/>
        <v/>
      </c>
      <c r="DD234" s="533" t="str">
        <f t="shared" si="572"/>
        <v/>
      </c>
      <c r="DE234" s="635">
        <f t="shared" si="573"/>
        <v>0</v>
      </c>
      <c r="DF234" s="95">
        <f t="shared" si="574"/>
        <v>0</v>
      </c>
      <c r="DG234" s="95">
        <f t="shared" si="575"/>
        <v>0</v>
      </c>
      <c r="DH234" s="95">
        <f t="shared" si="57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542"/>
        <v/>
      </c>
      <c r="CA235" s="582" t="str">
        <f t="shared" si="543"/>
        <v/>
      </c>
      <c r="CB235" s="582" t="str">
        <f t="shared" si="544"/>
        <v/>
      </c>
      <c r="CC235" s="670" t="str">
        <f t="shared" si="545"/>
        <v/>
      </c>
      <c r="CD235" s="988" t="str">
        <f t="shared" si="587"/>
        <v/>
      </c>
      <c r="CE235" s="989" t="str">
        <f t="shared" si="582"/>
        <v/>
      </c>
      <c r="CF235" s="989" t="str">
        <f t="shared" si="582"/>
        <v/>
      </c>
      <c r="CG235" s="989" t="str">
        <f t="shared" si="582"/>
        <v/>
      </c>
      <c r="CH235" s="990" t="str">
        <f t="shared" si="582"/>
        <v/>
      </c>
      <c r="CI235" s="990" t="str">
        <f t="shared" si="582"/>
        <v/>
      </c>
      <c r="CJ235" s="989" t="str">
        <f t="shared" si="582"/>
        <v/>
      </c>
      <c r="CK235" s="989" t="str">
        <f t="shared" si="582"/>
        <v/>
      </c>
      <c r="CL235" s="989" t="str">
        <f t="shared" si="582"/>
        <v/>
      </c>
      <c r="CM235" s="988" t="str">
        <f t="shared" si="582"/>
        <v/>
      </c>
      <c r="CN235" s="533" t="str">
        <f t="shared" si="556"/>
        <v/>
      </c>
      <c r="CO235" s="534" t="str">
        <f t="shared" si="557"/>
        <v/>
      </c>
      <c r="CP235" s="535" t="str">
        <f t="shared" si="558"/>
        <v/>
      </c>
      <c r="CQ235" s="535" t="str">
        <f t="shared" si="559"/>
        <v/>
      </c>
      <c r="CR235" s="535" t="str">
        <f t="shared" si="560"/>
        <v/>
      </c>
      <c r="CS235" s="535" t="str">
        <f t="shared" si="561"/>
        <v/>
      </c>
      <c r="CT235" s="535" t="str">
        <f t="shared" si="562"/>
        <v/>
      </c>
      <c r="CU235" s="536" t="str">
        <f t="shared" si="563"/>
        <v/>
      </c>
      <c r="CV235" s="536" t="str">
        <f t="shared" si="564"/>
        <v/>
      </c>
      <c r="CW235" s="536" t="str">
        <f t="shared" si="565"/>
        <v/>
      </c>
      <c r="CX235" s="535" t="str">
        <f t="shared" si="566"/>
        <v/>
      </c>
      <c r="CY235" s="535" t="str">
        <f t="shared" si="567"/>
        <v/>
      </c>
      <c r="CZ235" s="535" t="str">
        <f t="shared" si="568"/>
        <v/>
      </c>
      <c r="DA235" s="535" t="str">
        <f t="shared" si="569"/>
        <v/>
      </c>
      <c r="DB235" s="535" t="str">
        <f t="shared" si="570"/>
        <v/>
      </c>
      <c r="DC235" s="534" t="str">
        <f t="shared" si="571"/>
        <v/>
      </c>
      <c r="DD235" s="533" t="str">
        <f t="shared" si="572"/>
        <v/>
      </c>
      <c r="DE235" s="635">
        <f t="shared" si="573"/>
        <v>0</v>
      </c>
      <c r="DF235" s="95">
        <f t="shared" si="574"/>
        <v>0</v>
      </c>
      <c r="DG235" s="95">
        <f t="shared" si="575"/>
        <v>0</v>
      </c>
      <c r="DH235" s="95">
        <f t="shared" si="57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588">IF(B234="","",B234*B235)</f>
        <v/>
      </c>
      <c r="C236" s="612" t="str">
        <f t="shared" si="588"/>
        <v/>
      </c>
      <c r="D236" s="612" t="str">
        <f t="shared" si="588"/>
        <v/>
      </c>
      <c r="E236" s="612" t="str">
        <f t="shared" si="588"/>
        <v/>
      </c>
      <c r="F236" s="612" t="str">
        <f t="shared" si="588"/>
        <v/>
      </c>
      <c r="G236" s="612" t="str">
        <f t="shared" si="588"/>
        <v/>
      </c>
      <c r="H236" s="612" t="str">
        <f t="shared" si="588"/>
        <v/>
      </c>
      <c r="I236" s="612" t="str">
        <f t="shared" si="588"/>
        <v/>
      </c>
      <c r="J236" s="612" t="str">
        <f t="shared" si="588"/>
        <v/>
      </c>
      <c r="K236" s="612" t="str">
        <f t="shared" si="58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589">IF(T234="","",T234*T235)</f>
        <v/>
      </c>
      <c r="U236" s="612" t="str">
        <f t="shared" si="589"/>
        <v/>
      </c>
      <c r="V236" s="612" t="str">
        <f t="shared" si="589"/>
        <v/>
      </c>
      <c r="W236" s="612" t="str">
        <f t="shared" si="589"/>
        <v/>
      </c>
      <c r="X236" s="612" t="str">
        <f t="shared" si="589"/>
        <v/>
      </c>
      <c r="Y236" s="612" t="str">
        <f t="shared" si="589"/>
        <v/>
      </c>
      <c r="Z236" s="612" t="str">
        <f t="shared" si="589"/>
        <v/>
      </c>
      <c r="AA236" s="612" t="str">
        <f t="shared" si="589"/>
        <v/>
      </c>
      <c r="AB236" s="612" t="str">
        <f t="shared" si="589"/>
        <v/>
      </c>
      <c r="AC236" s="612" t="str">
        <f t="shared" si="58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590">IF(AL234="","",AL234*AL235)</f>
        <v/>
      </c>
      <c r="AM236" s="612" t="str">
        <f t="shared" si="590"/>
        <v/>
      </c>
      <c r="AN236" s="612" t="str">
        <f t="shared" si="590"/>
        <v/>
      </c>
      <c r="AO236" s="612" t="str">
        <f t="shared" si="590"/>
        <v/>
      </c>
      <c r="AP236" s="612" t="str">
        <f t="shared" si="590"/>
        <v/>
      </c>
      <c r="AQ236" s="612" t="str">
        <f t="shared" si="590"/>
        <v/>
      </c>
      <c r="AR236" s="612" t="str">
        <f t="shared" si="590"/>
        <v/>
      </c>
      <c r="AS236" s="612" t="str">
        <f t="shared" si="590"/>
        <v/>
      </c>
      <c r="AT236" s="612" t="str">
        <f t="shared" si="590"/>
        <v/>
      </c>
      <c r="AU236" s="612" t="str">
        <f t="shared" si="59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591">IF(BD234="","",BD234*BD235)</f>
        <v/>
      </c>
      <c r="BE236" s="1201" t="str">
        <f t="shared" si="591"/>
        <v/>
      </c>
      <c r="BF236" s="1201" t="str">
        <f t="shared" si="591"/>
        <v/>
      </c>
      <c r="BG236" s="1201" t="str">
        <f t="shared" si="591"/>
        <v/>
      </c>
      <c r="BH236" s="1201" t="str">
        <f t="shared" si="591"/>
        <v/>
      </c>
      <c r="BI236" s="1201" t="str">
        <f t="shared" si="591"/>
        <v/>
      </c>
      <c r="BJ236" s="1201" t="str">
        <f t="shared" si="591"/>
        <v/>
      </c>
      <c r="BK236" s="1201" t="str">
        <f t="shared" si="591"/>
        <v/>
      </c>
      <c r="BL236" s="1201" t="str">
        <f t="shared" si="591"/>
        <v/>
      </c>
      <c r="BM236" s="1201" t="str">
        <f t="shared" si="59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542"/>
        <v/>
      </c>
      <c r="CA236" s="582" t="str">
        <f t="shared" si="543"/>
        <v/>
      </c>
      <c r="CB236" s="582" t="str">
        <f t="shared" si="544"/>
        <v/>
      </c>
      <c r="CC236" s="670" t="str">
        <f t="shared" si="545"/>
        <v/>
      </c>
      <c r="CD236" s="988" t="str">
        <f t="shared" si="587"/>
        <v/>
      </c>
      <c r="CE236" s="989" t="str">
        <f t="shared" si="582"/>
        <v/>
      </c>
      <c r="CF236" s="989" t="str">
        <f t="shared" si="582"/>
        <v/>
      </c>
      <c r="CG236" s="989" t="str">
        <f t="shared" si="582"/>
        <v/>
      </c>
      <c r="CH236" s="990" t="str">
        <f t="shared" si="582"/>
        <v/>
      </c>
      <c r="CI236" s="990" t="str">
        <f t="shared" si="582"/>
        <v/>
      </c>
      <c r="CJ236" s="989" t="str">
        <f t="shared" si="582"/>
        <v/>
      </c>
      <c r="CK236" s="989" t="str">
        <f t="shared" si="582"/>
        <v/>
      </c>
      <c r="CL236" s="989" t="str">
        <f t="shared" si="582"/>
        <v/>
      </c>
      <c r="CM236" s="988" t="str">
        <f t="shared" si="582"/>
        <v/>
      </c>
      <c r="CN236" s="533" t="str">
        <f t="shared" si="556"/>
        <v/>
      </c>
      <c r="CO236" s="534" t="str">
        <f t="shared" si="557"/>
        <v/>
      </c>
      <c r="CP236" s="535" t="str">
        <f t="shared" si="558"/>
        <v/>
      </c>
      <c r="CQ236" s="535" t="str">
        <f t="shared" si="559"/>
        <v/>
      </c>
      <c r="CR236" s="535" t="str">
        <f t="shared" si="560"/>
        <v/>
      </c>
      <c r="CS236" s="535" t="str">
        <f t="shared" si="561"/>
        <v/>
      </c>
      <c r="CT236" s="535" t="str">
        <f t="shared" si="562"/>
        <v/>
      </c>
      <c r="CU236" s="536" t="str">
        <f t="shared" si="563"/>
        <v/>
      </c>
      <c r="CV236" s="536" t="str">
        <f t="shared" si="564"/>
        <v/>
      </c>
      <c r="CW236" s="536" t="str">
        <f t="shared" si="565"/>
        <v/>
      </c>
      <c r="CX236" s="535" t="str">
        <f t="shared" si="566"/>
        <v/>
      </c>
      <c r="CY236" s="535" t="str">
        <f t="shared" si="567"/>
        <v/>
      </c>
      <c r="CZ236" s="535" t="str">
        <f t="shared" si="568"/>
        <v/>
      </c>
      <c r="DA236" s="535" t="str">
        <f t="shared" si="569"/>
        <v/>
      </c>
      <c r="DB236" s="535" t="str">
        <f t="shared" si="570"/>
        <v/>
      </c>
      <c r="DC236" s="534" t="str">
        <f t="shared" si="571"/>
        <v/>
      </c>
      <c r="DD236" s="533" t="str">
        <f t="shared" si="572"/>
        <v/>
      </c>
      <c r="DE236" s="635">
        <f t="shared" si="573"/>
        <v>0</v>
      </c>
      <c r="DF236" s="95">
        <f t="shared" si="574"/>
        <v>0</v>
      </c>
      <c r="DG236" s="95">
        <f t="shared" si="575"/>
        <v>0</v>
      </c>
      <c r="DH236" s="95">
        <f t="shared" si="57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542"/>
        <v/>
      </c>
      <c r="CA237" s="582" t="str">
        <f t="shared" si="543"/>
        <v/>
      </c>
      <c r="CB237" s="582" t="str">
        <f t="shared" si="544"/>
        <v/>
      </c>
      <c r="CC237" s="670" t="str">
        <f t="shared" si="545"/>
        <v/>
      </c>
      <c r="CD237" s="988" t="str">
        <f t="shared" si="587"/>
        <v/>
      </c>
      <c r="CE237" s="989" t="str">
        <f t="shared" si="582"/>
        <v/>
      </c>
      <c r="CF237" s="989" t="str">
        <f t="shared" si="582"/>
        <v/>
      </c>
      <c r="CG237" s="989" t="str">
        <f t="shared" si="582"/>
        <v/>
      </c>
      <c r="CH237" s="990" t="str">
        <f t="shared" si="582"/>
        <v/>
      </c>
      <c r="CI237" s="990" t="str">
        <f t="shared" si="582"/>
        <v/>
      </c>
      <c r="CJ237" s="989" t="str">
        <f t="shared" si="582"/>
        <v/>
      </c>
      <c r="CK237" s="989" t="str">
        <f t="shared" si="582"/>
        <v/>
      </c>
      <c r="CL237" s="989" t="str">
        <f t="shared" si="582"/>
        <v/>
      </c>
      <c r="CM237" s="988" t="str">
        <f t="shared" si="582"/>
        <v/>
      </c>
      <c r="CN237" s="533" t="str">
        <f t="shared" si="556"/>
        <v/>
      </c>
      <c r="CO237" s="534" t="str">
        <f t="shared" si="557"/>
        <v/>
      </c>
      <c r="CP237" s="535" t="str">
        <f t="shared" si="558"/>
        <v/>
      </c>
      <c r="CQ237" s="535" t="str">
        <f t="shared" si="559"/>
        <v/>
      </c>
      <c r="CR237" s="535" t="str">
        <f t="shared" si="560"/>
        <v/>
      </c>
      <c r="CS237" s="535" t="str">
        <f t="shared" si="561"/>
        <v/>
      </c>
      <c r="CT237" s="535" t="str">
        <f t="shared" si="562"/>
        <v/>
      </c>
      <c r="CU237" s="536" t="str">
        <f t="shared" si="563"/>
        <v/>
      </c>
      <c r="CV237" s="536" t="str">
        <f t="shared" si="564"/>
        <v/>
      </c>
      <c r="CW237" s="536" t="str">
        <f t="shared" si="565"/>
        <v/>
      </c>
      <c r="CX237" s="535" t="str">
        <f t="shared" si="566"/>
        <v/>
      </c>
      <c r="CY237" s="535" t="str">
        <f t="shared" si="567"/>
        <v/>
      </c>
      <c r="CZ237" s="535" t="str">
        <f t="shared" si="568"/>
        <v/>
      </c>
      <c r="DA237" s="535" t="str">
        <f t="shared" si="569"/>
        <v/>
      </c>
      <c r="DB237" s="535" t="str">
        <f t="shared" si="570"/>
        <v/>
      </c>
      <c r="DC237" s="534" t="str">
        <f t="shared" si="571"/>
        <v/>
      </c>
      <c r="DD237" s="533" t="str">
        <f t="shared" si="572"/>
        <v/>
      </c>
      <c r="DE237" s="635">
        <f t="shared" si="573"/>
        <v>0</v>
      </c>
      <c r="DF237" s="95">
        <f t="shared" si="574"/>
        <v>0</v>
      </c>
      <c r="DG237" s="95">
        <f t="shared" si="575"/>
        <v>0</v>
      </c>
      <c r="DH237" s="95">
        <f t="shared" si="57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592">3630*$K$1</f>
        <v>15198.083999999999</v>
      </c>
      <c r="D238" s="683">
        <f t="shared" si="592"/>
        <v>15198.083999999999</v>
      </c>
      <c r="E238" s="683">
        <f t="shared" si="592"/>
        <v>15198.083999999999</v>
      </c>
      <c r="F238" s="683">
        <f t="shared" si="592"/>
        <v>15198.083999999999</v>
      </c>
      <c r="G238" s="683">
        <f t="shared" si="592"/>
        <v>15198.083999999999</v>
      </c>
      <c r="H238" s="683">
        <f t="shared" si="592"/>
        <v>15198.083999999999</v>
      </c>
      <c r="I238" s="683">
        <f t="shared" si="592"/>
        <v>15198.083999999999</v>
      </c>
      <c r="J238" s="683">
        <f t="shared" si="592"/>
        <v>15198.083999999999</v>
      </c>
      <c r="K238" s="683">
        <f t="shared" si="59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593">3630*$K$1</f>
        <v>15198.083999999999</v>
      </c>
      <c r="V238" s="683">
        <f t="shared" si="593"/>
        <v>15198.083999999999</v>
      </c>
      <c r="W238" s="683">
        <f t="shared" si="593"/>
        <v>15198.083999999999</v>
      </c>
      <c r="X238" s="683">
        <f t="shared" si="593"/>
        <v>15198.083999999999</v>
      </c>
      <c r="Y238" s="683">
        <f t="shared" si="593"/>
        <v>15198.083999999999</v>
      </c>
      <c r="Z238" s="683">
        <f t="shared" si="593"/>
        <v>15198.083999999999</v>
      </c>
      <c r="AA238" s="683">
        <f t="shared" si="593"/>
        <v>15198.083999999999</v>
      </c>
      <c r="AB238" s="683">
        <f t="shared" si="593"/>
        <v>15198.083999999999</v>
      </c>
      <c r="AC238" s="683">
        <f t="shared" si="59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594">3630*$K$1</f>
        <v>15198.083999999999</v>
      </c>
      <c r="AN238" s="683">
        <f t="shared" si="594"/>
        <v>15198.083999999999</v>
      </c>
      <c r="AO238" s="683">
        <f t="shared" si="594"/>
        <v>15198.083999999999</v>
      </c>
      <c r="AP238" s="683">
        <f t="shared" si="594"/>
        <v>15198.083999999999</v>
      </c>
      <c r="AQ238" s="683">
        <f t="shared" si="594"/>
        <v>15198.083999999999</v>
      </c>
      <c r="AR238" s="683">
        <f t="shared" si="594"/>
        <v>15198.083999999999</v>
      </c>
      <c r="AS238" s="683">
        <f t="shared" si="594"/>
        <v>15198.083999999999</v>
      </c>
      <c r="AT238" s="683">
        <f t="shared" si="594"/>
        <v>15198.083999999999</v>
      </c>
      <c r="AU238" s="683">
        <f t="shared" si="59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595">3630*$K$1</f>
        <v>15198.083999999999</v>
      </c>
      <c r="BF238" s="1225">
        <f t="shared" si="595"/>
        <v>15198.083999999999</v>
      </c>
      <c r="BG238" s="1225">
        <f t="shared" si="595"/>
        <v>15198.083999999999</v>
      </c>
      <c r="BH238" s="1225">
        <f t="shared" si="595"/>
        <v>15198.083999999999</v>
      </c>
      <c r="BI238" s="1225">
        <f t="shared" si="595"/>
        <v>15198.083999999999</v>
      </c>
      <c r="BJ238" s="1225">
        <f t="shared" si="595"/>
        <v>15198.083999999999</v>
      </c>
      <c r="BK238" s="1225">
        <f t="shared" si="595"/>
        <v>15198.083999999999</v>
      </c>
      <c r="BL238" s="1225">
        <f t="shared" si="595"/>
        <v>15198.083999999999</v>
      </c>
      <c r="BM238" s="1225">
        <f t="shared" si="59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>3630*$K$1</f>
        <v>15198.083999999999</v>
      </c>
      <c r="BW238" s="683">
        <f>3630*$K$1</f>
        <v>15198.083999999999</v>
      </c>
      <c r="BX238" s="683">
        <f>3630*$K$1</f>
        <v>15198.083999999999</v>
      </c>
      <c r="BY238" s="683">
        <f>3630*$K$1</f>
        <v>15198.083999999999</v>
      </c>
      <c r="BZ238" s="582">
        <f t="shared" si="542"/>
        <v>15198.083999999999</v>
      </c>
      <c r="CA238" s="582">
        <f t="shared" si="543"/>
        <v>15198.083999999999</v>
      </c>
      <c r="CB238" s="582">
        <f t="shared" si="544"/>
        <v>15198.083999999999</v>
      </c>
      <c r="CC238" s="670">
        <f t="shared" si="545"/>
        <v>15198.083999999999</v>
      </c>
      <c r="CD238" s="988">
        <f t="shared" si="587"/>
        <v>15198.083999999999</v>
      </c>
      <c r="CE238" s="989">
        <f t="shared" si="582"/>
        <v>15198.083999999999</v>
      </c>
      <c r="CF238" s="989">
        <f t="shared" si="582"/>
        <v>15198.083999999999</v>
      </c>
      <c r="CG238" s="989">
        <f t="shared" si="582"/>
        <v>15198.083999999999</v>
      </c>
      <c r="CH238" s="990">
        <f t="shared" si="582"/>
        <v>15198.083999999999</v>
      </c>
      <c r="CI238" s="990">
        <f t="shared" si="582"/>
        <v>15198.083999999999</v>
      </c>
      <c r="CJ238" s="989">
        <f t="shared" si="582"/>
        <v>15198.083999999999</v>
      </c>
      <c r="CK238" s="989">
        <f t="shared" si="582"/>
        <v>15198.083999999999</v>
      </c>
      <c r="CL238" s="989">
        <f t="shared" si="582"/>
        <v>15198.083999999999</v>
      </c>
      <c r="CM238" s="988">
        <f t="shared" si="582"/>
        <v>15198.083999999999</v>
      </c>
      <c r="CN238" s="533" t="str">
        <f t="shared" si="556"/>
        <v/>
      </c>
      <c r="CO238" s="534" t="str">
        <f t="shared" si="557"/>
        <v/>
      </c>
      <c r="CP238" s="535" t="str">
        <f t="shared" si="558"/>
        <v/>
      </c>
      <c r="CQ238" s="535" t="str">
        <f t="shared" si="559"/>
        <v/>
      </c>
      <c r="CR238" s="535">
        <f t="shared" si="560"/>
        <v>15198.083999999999</v>
      </c>
      <c r="CS238" s="535">
        <f t="shared" si="561"/>
        <v>15198.083999999999</v>
      </c>
      <c r="CT238" s="535">
        <f t="shared" si="562"/>
        <v>15198.083999999999</v>
      </c>
      <c r="CU238" s="536">
        <f t="shared" si="563"/>
        <v>15198.083999999999</v>
      </c>
      <c r="CV238" s="536">
        <f t="shared" si="564"/>
        <v>15198.083999999999</v>
      </c>
      <c r="CW238" s="536">
        <f t="shared" si="565"/>
        <v>15198.083999999999</v>
      </c>
      <c r="CX238" s="535">
        <f t="shared" si="566"/>
        <v>15198.083999999999</v>
      </c>
      <c r="CY238" s="535">
        <f t="shared" si="567"/>
        <v>15198.083999999999</v>
      </c>
      <c r="CZ238" s="535">
        <f t="shared" si="568"/>
        <v>15198.083999999999</v>
      </c>
      <c r="DA238" s="535">
        <f t="shared" si="569"/>
        <v>15198.083999999999</v>
      </c>
      <c r="DB238" s="535" t="str">
        <f t="shared" si="570"/>
        <v/>
      </c>
      <c r="DC238" s="534" t="str">
        <f t="shared" si="571"/>
        <v/>
      </c>
      <c r="DD238" s="533" t="str">
        <f t="shared" si="572"/>
        <v/>
      </c>
      <c r="DE238" s="635">
        <f t="shared" si="573"/>
        <v>10</v>
      </c>
      <c r="DF238" s="686">
        <f t="shared" si="574"/>
        <v>10</v>
      </c>
      <c r="DG238" s="686">
        <f t="shared" si="575"/>
        <v>10</v>
      </c>
      <c r="DH238" s="686">
        <f t="shared" si="57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542"/>
        <v/>
      </c>
      <c r="CA239" s="582" t="str">
        <f t="shared" si="543"/>
        <v/>
      </c>
      <c r="CB239" s="582" t="str">
        <f t="shared" si="544"/>
        <v/>
      </c>
      <c r="CC239" s="670" t="str">
        <f t="shared" si="545"/>
        <v/>
      </c>
      <c r="CD239" s="988" t="str">
        <f t="shared" si="587"/>
        <v/>
      </c>
      <c r="CE239" s="989" t="str">
        <f t="shared" si="582"/>
        <v/>
      </c>
      <c r="CF239" s="989" t="str">
        <f t="shared" si="582"/>
        <v/>
      </c>
      <c r="CG239" s="989" t="str">
        <f t="shared" si="582"/>
        <v/>
      </c>
      <c r="CH239" s="990" t="str">
        <f t="shared" si="582"/>
        <v/>
      </c>
      <c r="CI239" s="990" t="str">
        <f t="shared" si="582"/>
        <v/>
      </c>
      <c r="CJ239" s="989" t="str">
        <f t="shared" si="582"/>
        <v/>
      </c>
      <c r="CK239" s="989" t="str">
        <f t="shared" si="582"/>
        <v/>
      </c>
      <c r="CL239" s="989" t="str">
        <f t="shared" si="582"/>
        <v/>
      </c>
      <c r="CM239" s="988" t="str">
        <f t="shared" si="582"/>
        <v/>
      </c>
      <c r="CN239" s="533" t="str">
        <f t="shared" si="556"/>
        <v/>
      </c>
      <c r="CO239" s="534" t="str">
        <f t="shared" si="557"/>
        <v/>
      </c>
      <c r="CP239" s="535" t="str">
        <f t="shared" si="558"/>
        <v/>
      </c>
      <c r="CQ239" s="535" t="str">
        <f t="shared" si="559"/>
        <v/>
      </c>
      <c r="CR239" s="535" t="str">
        <f t="shared" si="560"/>
        <v/>
      </c>
      <c r="CS239" s="535" t="str">
        <f t="shared" si="561"/>
        <v/>
      </c>
      <c r="CT239" s="535" t="str">
        <f t="shared" si="562"/>
        <v/>
      </c>
      <c r="CU239" s="536" t="str">
        <f t="shared" si="563"/>
        <v/>
      </c>
      <c r="CV239" s="536" t="str">
        <f t="shared" si="564"/>
        <v/>
      </c>
      <c r="CW239" s="536" t="str">
        <f t="shared" si="565"/>
        <v/>
      </c>
      <c r="CX239" s="535" t="str">
        <f t="shared" si="566"/>
        <v/>
      </c>
      <c r="CY239" s="535" t="str">
        <f t="shared" si="567"/>
        <v/>
      </c>
      <c r="CZ239" s="535" t="str">
        <f t="shared" si="568"/>
        <v/>
      </c>
      <c r="DA239" s="535" t="str">
        <f t="shared" si="569"/>
        <v/>
      </c>
      <c r="DB239" s="535" t="str">
        <f t="shared" si="570"/>
        <v/>
      </c>
      <c r="DC239" s="534" t="str">
        <f t="shared" si="571"/>
        <v/>
      </c>
      <c r="DD239" s="533" t="str">
        <f t="shared" si="572"/>
        <v/>
      </c>
      <c r="DE239" s="635">
        <f t="shared" si="573"/>
        <v>0</v>
      </c>
      <c r="DF239" s="95">
        <f t="shared" si="574"/>
        <v>0</v>
      </c>
      <c r="DG239" s="95">
        <f t="shared" si="575"/>
        <v>0</v>
      </c>
      <c r="DH239" s="95">
        <f t="shared" si="57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542"/>
        <v/>
      </c>
      <c r="CA240" s="970" t="str">
        <f t="shared" si="543"/>
        <v/>
      </c>
      <c r="CB240" s="970" t="str">
        <f t="shared" si="544"/>
        <v/>
      </c>
      <c r="CC240" s="971" t="str">
        <f t="shared" si="545"/>
        <v/>
      </c>
      <c r="CD240" s="1012" t="str">
        <f t="shared" si="587"/>
        <v/>
      </c>
      <c r="CE240" s="1013" t="str">
        <f t="shared" si="582"/>
        <v/>
      </c>
      <c r="CF240" s="1013" t="str">
        <f t="shared" si="582"/>
        <v/>
      </c>
      <c r="CG240" s="1013" t="str">
        <f t="shared" si="582"/>
        <v/>
      </c>
      <c r="CH240" s="1014" t="str">
        <f t="shared" si="582"/>
        <v/>
      </c>
      <c r="CI240" s="1014" t="str">
        <f t="shared" si="582"/>
        <v/>
      </c>
      <c r="CJ240" s="1013" t="str">
        <f t="shared" si="582"/>
        <v/>
      </c>
      <c r="CK240" s="1013" t="str">
        <f t="shared" si="582"/>
        <v/>
      </c>
      <c r="CL240" s="1013" t="str">
        <f t="shared" si="582"/>
        <v/>
      </c>
      <c r="CM240" s="1012" t="str">
        <f t="shared" si="582"/>
        <v/>
      </c>
      <c r="CN240" s="533" t="str">
        <f t="shared" si="556"/>
        <v/>
      </c>
      <c r="CO240" s="534" t="str">
        <f t="shared" si="557"/>
        <v/>
      </c>
      <c r="CP240" s="535" t="str">
        <f t="shared" si="558"/>
        <v/>
      </c>
      <c r="CQ240" s="535" t="str">
        <f t="shared" si="559"/>
        <v/>
      </c>
      <c r="CR240" s="535" t="str">
        <f t="shared" si="560"/>
        <v/>
      </c>
      <c r="CS240" s="535" t="str">
        <f t="shared" si="561"/>
        <v/>
      </c>
      <c r="CT240" s="535" t="str">
        <f t="shared" si="562"/>
        <v/>
      </c>
      <c r="CU240" s="536" t="str">
        <f t="shared" si="563"/>
        <v/>
      </c>
      <c r="CV240" s="536" t="str">
        <f t="shared" si="564"/>
        <v/>
      </c>
      <c r="CW240" s="536" t="str">
        <f t="shared" si="565"/>
        <v/>
      </c>
      <c r="CX240" s="535" t="str">
        <f t="shared" si="566"/>
        <v/>
      </c>
      <c r="CY240" s="535" t="str">
        <f t="shared" si="567"/>
        <v/>
      </c>
      <c r="CZ240" s="535" t="str">
        <f t="shared" si="568"/>
        <v/>
      </c>
      <c r="DA240" s="535" t="str">
        <f t="shared" si="569"/>
        <v/>
      </c>
      <c r="DB240" s="535" t="str">
        <f t="shared" si="570"/>
        <v/>
      </c>
      <c r="DC240" s="534" t="str">
        <f t="shared" si="571"/>
        <v/>
      </c>
      <c r="DD240" s="533" t="str">
        <f t="shared" si="572"/>
        <v/>
      </c>
      <c r="DE240" s="635">
        <f t="shared" si="573"/>
        <v>0</v>
      </c>
      <c r="DF240" s="95">
        <f t="shared" si="574"/>
        <v>0</v>
      </c>
      <c r="DG240" s="95">
        <f t="shared" si="575"/>
        <v>0</v>
      </c>
      <c r="DH240" s="95">
        <f t="shared" si="57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596">IF(B239="","",B239*B240)</f>
        <v/>
      </c>
      <c r="C241" s="612" t="str">
        <f t="shared" si="596"/>
        <v/>
      </c>
      <c r="D241" s="612" t="str">
        <f t="shared" si="596"/>
        <v/>
      </c>
      <c r="E241" s="612" t="str">
        <f t="shared" si="596"/>
        <v/>
      </c>
      <c r="F241" s="612" t="str">
        <f t="shared" si="596"/>
        <v/>
      </c>
      <c r="G241" s="612" t="str">
        <f t="shared" si="596"/>
        <v/>
      </c>
      <c r="H241" s="612" t="str">
        <f t="shared" si="596"/>
        <v/>
      </c>
      <c r="I241" s="612" t="str">
        <f t="shared" si="596"/>
        <v/>
      </c>
      <c r="J241" s="612" t="str">
        <f t="shared" si="596"/>
        <v/>
      </c>
      <c r="K241" s="612" t="str">
        <f t="shared" si="596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597">IF(T239="","",T239*T240)</f>
        <v/>
      </c>
      <c r="U241" s="612" t="str">
        <f t="shared" si="597"/>
        <v/>
      </c>
      <c r="V241" s="612" t="str">
        <f t="shared" si="597"/>
        <v/>
      </c>
      <c r="W241" s="612" t="str">
        <f t="shared" si="597"/>
        <v/>
      </c>
      <c r="X241" s="612" t="str">
        <f t="shared" si="597"/>
        <v/>
      </c>
      <c r="Y241" s="612" t="str">
        <f t="shared" si="597"/>
        <v/>
      </c>
      <c r="Z241" s="612" t="str">
        <f t="shared" si="597"/>
        <v/>
      </c>
      <c r="AA241" s="612" t="str">
        <f t="shared" si="597"/>
        <v/>
      </c>
      <c r="AB241" s="612" t="str">
        <f t="shared" si="597"/>
        <v/>
      </c>
      <c r="AC241" s="612" t="str">
        <f t="shared" si="597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598">IF(AL239="","",AL239*AL240)</f>
        <v/>
      </c>
      <c r="AM241" s="612" t="str">
        <f t="shared" si="598"/>
        <v/>
      </c>
      <c r="AN241" s="612" t="str">
        <f t="shared" si="598"/>
        <v/>
      </c>
      <c r="AO241" s="612" t="str">
        <f t="shared" si="598"/>
        <v/>
      </c>
      <c r="AP241" s="612" t="str">
        <f t="shared" si="598"/>
        <v/>
      </c>
      <c r="AQ241" s="612" t="str">
        <f t="shared" si="598"/>
        <v/>
      </c>
      <c r="AR241" s="612" t="str">
        <f t="shared" si="598"/>
        <v/>
      </c>
      <c r="AS241" s="612" t="str">
        <f t="shared" si="598"/>
        <v/>
      </c>
      <c r="AT241" s="612" t="str">
        <f t="shared" si="598"/>
        <v/>
      </c>
      <c r="AU241" s="612" t="str">
        <f t="shared" si="598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599">IF(BD239="","",BD239*BD240)</f>
        <v/>
      </c>
      <c r="BE241" s="1201" t="str">
        <f t="shared" si="599"/>
        <v/>
      </c>
      <c r="BF241" s="1201" t="str">
        <f t="shared" si="599"/>
        <v/>
      </c>
      <c r="BG241" s="1201" t="str">
        <f t="shared" si="599"/>
        <v/>
      </c>
      <c r="BH241" s="1201" t="str">
        <f t="shared" si="599"/>
        <v/>
      </c>
      <c r="BI241" s="1201" t="str">
        <f t="shared" si="599"/>
        <v/>
      </c>
      <c r="BJ241" s="1201" t="str">
        <f t="shared" si="599"/>
        <v/>
      </c>
      <c r="BK241" s="1201" t="str">
        <f t="shared" si="599"/>
        <v/>
      </c>
      <c r="BL241" s="1201" t="str">
        <f t="shared" si="599"/>
        <v/>
      </c>
      <c r="BM241" s="1201" t="str">
        <f t="shared" si="599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542"/>
        <v/>
      </c>
      <c r="CA241" s="582" t="str">
        <f t="shared" si="543"/>
        <v/>
      </c>
      <c r="CB241" s="582" t="str">
        <f t="shared" si="544"/>
        <v/>
      </c>
      <c r="CC241" s="670" t="str">
        <f t="shared" si="545"/>
        <v/>
      </c>
      <c r="CD241" s="988" t="str">
        <f t="shared" si="587"/>
        <v/>
      </c>
      <c r="CE241" s="989" t="str">
        <f t="shared" si="582"/>
        <v/>
      </c>
      <c r="CF241" s="989" t="str">
        <f t="shared" si="582"/>
        <v/>
      </c>
      <c r="CG241" s="989" t="str">
        <f t="shared" si="582"/>
        <v/>
      </c>
      <c r="CH241" s="990" t="str">
        <f t="shared" si="582"/>
        <v/>
      </c>
      <c r="CI241" s="990" t="str">
        <f t="shared" si="582"/>
        <v/>
      </c>
      <c r="CJ241" s="989" t="str">
        <f t="shared" si="582"/>
        <v/>
      </c>
      <c r="CK241" s="989" t="str">
        <f t="shared" si="582"/>
        <v/>
      </c>
      <c r="CL241" s="989" t="str">
        <f t="shared" si="582"/>
        <v/>
      </c>
      <c r="CM241" s="988" t="str">
        <f t="shared" si="582"/>
        <v/>
      </c>
      <c r="CN241" s="533" t="str">
        <f t="shared" si="556"/>
        <v/>
      </c>
      <c r="CO241" s="534" t="str">
        <f t="shared" si="557"/>
        <v/>
      </c>
      <c r="CP241" s="535" t="str">
        <f t="shared" si="558"/>
        <v/>
      </c>
      <c r="CQ241" s="535" t="str">
        <f t="shared" si="559"/>
        <v/>
      </c>
      <c r="CR241" s="535" t="str">
        <f t="shared" si="560"/>
        <v/>
      </c>
      <c r="CS241" s="535" t="str">
        <f t="shared" si="561"/>
        <v/>
      </c>
      <c r="CT241" s="535" t="str">
        <f t="shared" si="562"/>
        <v/>
      </c>
      <c r="CU241" s="536" t="str">
        <f t="shared" si="563"/>
        <v/>
      </c>
      <c r="CV241" s="536" t="str">
        <f t="shared" si="564"/>
        <v/>
      </c>
      <c r="CW241" s="536" t="str">
        <f t="shared" si="565"/>
        <v/>
      </c>
      <c r="CX241" s="535" t="str">
        <f t="shared" si="566"/>
        <v/>
      </c>
      <c r="CY241" s="535" t="str">
        <f t="shared" si="567"/>
        <v/>
      </c>
      <c r="CZ241" s="535" t="str">
        <f t="shared" si="568"/>
        <v/>
      </c>
      <c r="DA241" s="535" t="str">
        <f t="shared" si="569"/>
        <v/>
      </c>
      <c r="DB241" s="535" t="str">
        <f t="shared" si="570"/>
        <v/>
      </c>
      <c r="DC241" s="534" t="str">
        <f t="shared" si="571"/>
        <v/>
      </c>
      <c r="DD241" s="533" t="str">
        <f t="shared" si="572"/>
        <v/>
      </c>
      <c r="DE241" s="635">
        <f t="shared" si="573"/>
        <v>0</v>
      </c>
      <c r="DF241" s="95">
        <f t="shared" si="574"/>
        <v>0</v>
      </c>
      <c r="DG241" s="95">
        <f t="shared" si="575"/>
        <v>0</v>
      </c>
      <c r="DH241" s="95">
        <f t="shared" si="57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542"/>
        <v/>
      </c>
      <c r="CA242" s="582" t="str">
        <f t="shared" si="543"/>
        <v/>
      </c>
      <c r="CB242" s="582" t="str">
        <f t="shared" si="544"/>
        <v/>
      </c>
      <c r="CC242" s="670" t="str">
        <f t="shared" si="545"/>
        <v/>
      </c>
      <c r="CD242" s="988" t="str">
        <f t="shared" si="587"/>
        <v/>
      </c>
      <c r="CE242" s="989" t="str">
        <f t="shared" si="582"/>
        <v/>
      </c>
      <c r="CF242" s="989" t="str">
        <f t="shared" si="582"/>
        <v/>
      </c>
      <c r="CG242" s="989" t="str">
        <f t="shared" si="582"/>
        <v/>
      </c>
      <c r="CH242" s="990" t="str">
        <f t="shared" si="582"/>
        <v/>
      </c>
      <c r="CI242" s="990" t="str">
        <f t="shared" si="582"/>
        <v/>
      </c>
      <c r="CJ242" s="989" t="str">
        <f t="shared" si="582"/>
        <v/>
      </c>
      <c r="CK242" s="989" t="str">
        <f t="shared" si="582"/>
        <v/>
      </c>
      <c r="CL242" s="989" t="str">
        <f t="shared" si="582"/>
        <v/>
      </c>
      <c r="CM242" s="988" t="str">
        <f t="shared" si="582"/>
        <v/>
      </c>
      <c r="CN242" s="533" t="str">
        <f t="shared" si="556"/>
        <v/>
      </c>
      <c r="CO242" s="534" t="str">
        <f t="shared" si="557"/>
        <v/>
      </c>
      <c r="CP242" s="535" t="str">
        <f t="shared" si="558"/>
        <v/>
      </c>
      <c r="CQ242" s="535" t="str">
        <f t="shared" si="559"/>
        <v/>
      </c>
      <c r="CR242" s="535" t="str">
        <f t="shared" si="560"/>
        <v/>
      </c>
      <c r="CS242" s="535" t="str">
        <f t="shared" si="561"/>
        <v/>
      </c>
      <c r="CT242" s="535" t="str">
        <f t="shared" si="562"/>
        <v/>
      </c>
      <c r="CU242" s="536" t="str">
        <f t="shared" si="563"/>
        <v/>
      </c>
      <c r="CV242" s="536" t="str">
        <f t="shared" si="564"/>
        <v/>
      </c>
      <c r="CW242" s="536" t="str">
        <f t="shared" si="565"/>
        <v/>
      </c>
      <c r="CX242" s="535" t="str">
        <f t="shared" si="566"/>
        <v/>
      </c>
      <c r="CY242" s="535" t="str">
        <f t="shared" si="567"/>
        <v/>
      </c>
      <c r="CZ242" s="535" t="str">
        <f t="shared" si="568"/>
        <v/>
      </c>
      <c r="DA242" s="535" t="str">
        <f t="shared" si="569"/>
        <v/>
      </c>
      <c r="DB242" s="535" t="str">
        <f t="shared" si="570"/>
        <v/>
      </c>
      <c r="DC242" s="534" t="str">
        <f t="shared" si="571"/>
        <v/>
      </c>
      <c r="DD242" s="533" t="str">
        <f t="shared" si="572"/>
        <v/>
      </c>
      <c r="DE242" s="635">
        <f t="shared" si="573"/>
        <v>0</v>
      </c>
      <c r="DF242" s="95">
        <f t="shared" si="574"/>
        <v>0</v>
      </c>
      <c r="DG242" s="95">
        <f t="shared" si="575"/>
        <v>0</v>
      </c>
      <c r="DH242" s="95">
        <f t="shared" si="57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00">IF(B237="","",(B237-B239-B242)*B238/B$46/365/$G$1)</f>
        <v/>
      </c>
      <c r="C243" s="615" t="str">
        <f t="shared" si="600"/>
        <v/>
      </c>
      <c r="D243" s="615" t="str">
        <f t="shared" si="600"/>
        <v/>
      </c>
      <c r="E243" s="615" t="str">
        <f t="shared" si="600"/>
        <v/>
      </c>
      <c r="F243" s="615" t="str">
        <f t="shared" si="600"/>
        <v/>
      </c>
      <c r="G243" s="615" t="str">
        <f t="shared" si="600"/>
        <v/>
      </c>
      <c r="H243" s="615" t="str">
        <f t="shared" si="600"/>
        <v/>
      </c>
      <c r="I243" s="615" t="str">
        <f t="shared" si="600"/>
        <v/>
      </c>
      <c r="J243" s="615" t="str">
        <f t="shared" si="600"/>
        <v/>
      </c>
      <c r="K243" s="615" t="str">
        <f t="shared" si="600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01">IF(T237="","",(T237-T239-T242)*T238/T$46/365/$G$1)</f>
        <v/>
      </c>
      <c r="U243" s="615" t="str">
        <f t="shared" si="601"/>
        <v/>
      </c>
      <c r="V243" s="615" t="str">
        <f t="shared" si="601"/>
        <v/>
      </c>
      <c r="W243" s="615" t="str">
        <f t="shared" si="601"/>
        <v/>
      </c>
      <c r="X243" s="615" t="str">
        <f t="shared" si="601"/>
        <v/>
      </c>
      <c r="Y243" s="615" t="str">
        <f t="shared" si="601"/>
        <v/>
      </c>
      <c r="Z243" s="615" t="str">
        <f t="shared" si="601"/>
        <v/>
      </c>
      <c r="AA243" s="615" t="str">
        <f t="shared" si="601"/>
        <v/>
      </c>
      <c r="AB243" s="615" t="str">
        <f t="shared" si="601"/>
        <v/>
      </c>
      <c r="AC243" s="615" t="str">
        <f t="shared" si="601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02">IF(AL237="","",(AL237-AL239-AL242)*AL238/AL$46/365/$G$1)</f>
        <v/>
      </c>
      <c r="AM243" s="615" t="str">
        <f t="shared" si="602"/>
        <v/>
      </c>
      <c r="AN243" s="615" t="str">
        <f t="shared" si="602"/>
        <v/>
      </c>
      <c r="AO243" s="615" t="str">
        <f t="shared" si="602"/>
        <v/>
      </c>
      <c r="AP243" s="615" t="str">
        <f t="shared" si="602"/>
        <v/>
      </c>
      <c r="AQ243" s="615" t="str">
        <f t="shared" si="602"/>
        <v/>
      </c>
      <c r="AR243" s="615" t="str">
        <f t="shared" si="602"/>
        <v/>
      </c>
      <c r="AS243" s="615" t="str">
        <f t="shared" si="602"/>
        <v/>
      </c>
      <c r="AT243" s="615" t="str">
        <f t="shared" si="602"/>
        <v/>
      </c>
      <c r="AU243" s="615" t="str">
        <f t="shared" si="602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03">IF(BD237="","",(BD237-BD239-BD242)*BD238/BD$46/365/$G$1)</f>
        <v/>
      </c>
      <c r="BE243" s="1202" t="str">
        <f t="shared" si="603"/>
        <v/>
      </c>
      <c r="BF243" s="1202" t="str">
        <f t="shared" si="603"/>
        <v/>
      </c>
      <c r="BG243" s="1202" t="str">
        <f t="shared" si="603"/>
        <v/>
      </c>
      <c r="BH243" s="1202" t="str">
        <f t="shared" si="603"/>
        <v/>
      </c>
      <c r="BI243" s="1202" t="str">
        <f t="shared" si="603"/>
        <v/>
      </c>
      <c r="BJ243" s="1202" t="str">
        <f t="shared" si="603"/>
        <v/>
      </c>
      <c r="BK243" s="1202" t="str">
        <f t="shared" si="603"/>
        <v/>
      </c>
      <c r="BL243" s="1202" t="str">
        <f t="shared" si="603"/>
        <v/>
      </c>
      <c r="BM243" s="1202" t="str">
        <f t="shared" si="603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542"/>
        <v/>
      </c>
      <c r="CA243" s="607" t="str">
        <f t="shared" si="543"/>
        <v/>
      </c>
      <c r="CB243" s="607" t="str">
        <f t="shared" si="544"/>
        <v/>
      </c>
      <c r="CC243" s="673" t="str">
        <f t="shared" si="54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0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04"/>
        <v/>
      </c>
      <c r="CG243" s="992" t="str">
        <f t="shared" si="604"/>
        <v/>
      </c>
      <c r="CH243" s="993" t="str">
        <f t="shared" si="604"/>
        <v/>
      </c>
      <c r="CI243" s="993" t="str">
        <f t="shared" si="604"/>
        <v/>
      </c>
      <c r="CJ243" s="992" t="str">
        <f t="shared" si="604"/>
        <v/>
      </c>
      <c r="CK243" s="992" t="str">
        <f t="shared" si="604"/>
        <v/>
      </c>
      <c r="CL243" s="992" t="str">
        <f t="shared" si="604"/>
        <v/>
      </c>
      <c r="CM243" s="991" t="str">
        <f t="shared" si="604"/>
        <v/>
      </c>
      <c r="CN243" s="521" t="str">
        <f t="shared" si="556"/>
        <v/>
      </c>
      <c r="CO243" s="522" t="str">
        <f t="shared" si="557"/>
        <v/>
      </c>
      <c r="CP243" s="523" t="str">
        <f t="shared" si="558"/>
        <v/>
      </c>
      <c r="CQ243" s="523" t="str">
        <f t="shared" si="559"/>
        <v/>
      </c>
      <c r="CR243" s="523" t="str">
        <f t="shared" si="560"/>
        <v/>
      </c>
      <c r="CS243" s="523" t="str">
        <f t="shared" si="561"/>
        <v/>
      </c>
      <c r="CT243" s="523" t="str">
        <f t="shared" si="562"/>
        <v/>
      </c>
      <c r="CU243" s="524" t="str">
        <f t="shared" si="563"/>
        <v/>
      </c>
      <c r="CV243" s="524" t="str">
        <f t="shared" si="564"/>
        <v/>
      </c>
      <c r="CW243" s="524" t="str">
        <f t="shared" si="565"/>
        <v/>
      </c>
      <c r="CX243" s="523" t="str">
        <f t="shared" si="566"/>
        <v/>
      </c>
      <c r="CY243" s="523" t="str">
        <f t="shared" si="567"/>
        <v/>
      </c>
      <c r="CZ243" s="523" t="str">
        <f t="shared" si="568"/>
        <v/>
      </c>
      <c r="DA243" s="523" t="str">
        <f t="shared" si="569"/>
        <v/>
      </c>
      <c r="DB243" s="523" t="str">
        <f t="shared" si="570"/>
        <v/>
      </c>
      <c r="DC243" s="522" t="str">
        <f t="shared" si="571"/>
        <v/>
      </c>
      <c r="DD243" s="521" t="str">
        <f t="shared" si="572"/>
        <v/>
      </c>
      <c r="DE243" s="635">
        <f t="shared" si="573"/>
        <v>0</v>
      </c>
      <c r="DF243" s="95">
        <f t="shared" si="574"/>
        <v>0</v>
      </c>
      <c r="DG243" s="95">
        <f t="shared" si="575"/>
        <v>0</v>
      </c>
      <c r="DH243" s="95">
        <f t="shared" si="57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542"/>
        <v/>
      </c>
      <c r="CA244" s="582" t="str">
        <f t="shared" si="543"/>
        <v/>
      </c>
      <c r="CB244" s="582" t="str">
        <f t="shared" si="544"/>
        <v/>
      </c>
      <c r="CC244" s="670" t="str">
        <f t="shared" si="545"/>
        <v/>
      </c>
      <c r="CD244" s="988" t="str">
        <f t="shared" ref="CD244:CD249" si="60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04"/>
        <v/>
      </c>
      <c r="CF244" s="989" t="str">
        <f t="shared" si="604"/>
        <v/>
      </c>
      <c r="CG244" s="989" t="str">
        <f t="shared" si="604"/>
        <v/>
      </c>
      <c r="CH244" s="990" t="str">
        <f t="shared" si="604"/>
        <v/>
      </c>
      <c r="CI244" s="990" t="str">
        <f t="shared" si="604"/>
        <v/>
      </c>
      <c r="CJ244" s="989" t="str">
        <f t="shared" si="604"/>
        <v/>
      </c>
      <c r="CK244" s="989" t="str">
        <f t="shared" si="604"/>
        <v/>
      </c>
      <c r="CL244" s="989" t="str">
        <f t="shared" si="604"/>
        <v/>
      </c>
      <c r="CM244" s="988" t="str">
        <f t="shared" si="604"/>
        <v/>
      </c>
      <c r="CN244" s="533" t="str">
        <f t="shared" si="556"/>
        <v/>
      </c>
      <c r="CO244" s="534" t="str">
        <f t="shared" si="557"/>
        <v/>
      </c>
      <c r="CP244" s="535" t="str">
        <f t="shared" si="558"/>
        <v/>
      </c>
      <c r="CQ244" s="535" t="str">
        <f t="shared" si="559"/>
        <v/>
      </c>
      <c r="CR244" s="535" t="str">
        <f t="shared" si="560"/>
        <v/>
      </c>
      <c r="CS244" s="535" t="str">
        <f t="shared" si="561"/>
        <v/>
      </c>
      <c r="CT244" s="535" t="str">
        <f t="shared" si="562"/>
        <v/>
      </c>
      <c r="CU244" s="536" t="str">
        <f t="shared" si="563"/>
        <v/>
      </c>
      <c r="CV244" s="536" t="str">
        <f t="shared" si="564"/>
        <v/>
      </c>
      <c r="CW244" s="536" t="str">
        <f t="shared" si="565"/>
        <v/>
      </c>
      <c r="CX244" s="535" t="str">
        <f t="shared" si="566"/>
        <v/>
      </c>
      <c r="CY244" s="535" t="str">
        <f t="shared" si="567"/>
        <v/>
      </c>
      <c r="CZ244" s="535" t="str">
        <f t="shared" si="568"/>
        <v/>
      </c>
      <c r="DA244" s="535" t="str">
        <f t="shared" si="569"/>
        <v/>
      </c>
      <c r="DB244" s="535" t="str">
        <f t="shared" si="570"/>
        <v/>
      </c>
      <c r="DC244" s="534" t="str">
        <f t="shared" si="571"/>
        <v/>
      </c>
      <c r="DD244" s="533" t="str">
        <f t="shared" si="572"/>
        <v/>
      </c>
      <c r="DE244" s="635">
        <f t="shared" si="573"/>
        <v>0</v>
      </c>
      <c r="DF244" s="95">
        <f t="shared" si="574"/>
        <v>0</v>
      </c>
      <c r="DG244" s="95">
        <f t="shared" si="575"/>
        <v>0</v>
      </c>
      <c r="DH244" s="95">
        <f t="shared" si="57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06">3550*$K$1</f>
        <v>14863.14</v>
      </c>
      <c r="D245" s="683">
        <f t="shared" si="606"/>
        <v>14863.14</v>
      </c>
      <c r="E245" s="683">
        <f t="shared" si="606"/>
        <v>14863.14</v>
      </c>
      <c r="F245" s="683">
        <f t="shared" si="606"/>
        <v>14863.14</v>
      </c>
      <c r="G245" s="683">
        <f t="shared" si="606"/>
        <v>14863.14</v>
      </c>
      <c r="H245" s="683">
        <f t="shared" si="606"/>
        <v>14863.14</v>
      </c>
      <c r="I245" s="683">
        <f t="shared" si="606"/>
        <v>14863.14</v>
      </c>
      <c r="J245" s="683">
        <f t="shared" si="606"/>
        <v>14863.14</v>
      </c>
      <c r="K245" s="683">
        <f t="shared" si="606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07">3550*$K$1</f>
        <v>14863.14</v>
      </c>
      <c r="V245" s="683">
        <f t="shared" si="607"/>
        <v>14863.14</v>
      </c>
      <c r="W245" s="683">
        <f t="shared" si="607"/>
        <v>14863.14</v>
      </c>
      <c r="X245" s="683">
        <f t="shared" si="607"/>
        <v>14863.14</v>
      </c>
      <c r="Y245" s="683">
        <f t="shared" si="607"/>
        <v>14863.14</v>
      </c>
      <c r="Z245" s="683">
        <f t="shared" si="607"/>
        <v>14863.14</v>
      </c>
      <c r="AA245" s="683">
        <f t="shared" si="607"/>
        <v>14863.14</v>
      </c>
      <c r="AB245" s="683">
        <f t="shared" si="607"/>
        <v>14863.14</v>
      </c>
      <c r="AC245" s="683">
        <f t="shared" si="607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08">3550*$K$1</f>
        <v>14863.14</v>
      </c>
      <c r="AN245" s="683">
        <f t="shared" si="608"/>
        <v>14863.14</v>
      </c>
      <c r="AO245" s="683">
        <f t="shared" si="608"/>
        <v>14863.14</v>
      </c>
      <c r="AP245" s="683">
        <f t="shared" si="608"/>
        <v>14863.14</v>
      </c>
      <c r="AQ245" s="683">
        <f t="shared" si="608"/>
        <v>14863.14</v>
      </c>
      <c r="AR245" s="683">
        <f t="shared" si="608"/>
        <v>14863.14</v>
      </c>
      <c r="AS245" s="683">
        <f t="shared" si="608"/>
        <v>14863.14</v>
      </c>
      <c r="AT245" s="683">
        <f t="shared" si="608"/>
        <v>14863.14</v>
      </c>
      <c r="AU245" s="683">
        <f t="shared" si="608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09">3550*$K$1</f>
        <v>14863.14</v>
      </c>
      <c r="BF245" s="1225">
        <f t="shared" si="609"/>
        <v>14863.14</v>
      </c>
      <c r="BG245" s="1225">
        <f t="shared" si="609"/>
        <v>14863.14</v>
      </c>
      <c r="BH245" s="1225">
        <f t="shared" si="609"/>
        <v>14863.14</v>
      </c>
      <c r="BI245" s="1225">
        <f t="shared" si="609"/>
        <v>14863.14</v>
      </c>
      <c r="BJ245" s="1225">
        <f t="shared" si="609"/>
        <v>14863.14</v>
      </c>
      <c r="BK245" s="1225">
        <f t="shared" si="609"/>
        <v>14863.14</v>
      </c>
      <c r="BL245" s="1225">
        <f t="shared" si="609"/>
        <v>14863.14</v>
      </c>
      <c r="BM245" s="1225">
        <f t="shared" si="609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>3550*$K$1</f>
        <v>14863.14</v>
      </c>
      <c r="BW245" s="683">
        <f>3550*$K$1</f>
        <v>14863.14</v>
      </c>
      <c r="BX245" s="683">
        <f>3550*$K$1</f>
        <v>14863.14</v>
      </c>
      <c r="BY245" s="683">
        <f>3550*$K$1</f>
        <v>14863.14</v>
      </c>
      <c r="BZ245" s="582">
        <f t="shared" si="542"/>
        <v>14863.140000000001</v>
      </c>
      <c r="CA245" s="582">
        <f t="shared" si="543"/>
        <v>14863.140000000001</v>
      </c>
      <c r="CB245" s="582">
        <f t="shared" si="544"/>
        <v>14863.140000000001</v>
      </c>
      <c r="CC245" s="670">
        <f t="shared" si="545"/>
        <v>14863.140000000001</v>
      </c>
      <c r="CD245" s="988">
        <f t="shared" si="605"/>
        <v>14863.14</v>
      </c>
      <c r="CE245" s="989">
        <f t="shared" si="604"/>
        <v>14863.14</v>
      </c>
      <c r="CF245" s="989">
        <f t="shared" si="604"/>
        <v>14863.14</v>
      </c>
      <c r="CG245" s="989">
        <f t="shared" si="604"/>
        <v>14863.14</v>
      </c>
      <c r="CH245" s="990">
        <f t="shared" si="604"/>
        <v>14863.14</v>
      </c>
      <c r="CI245" s="990">
        <f t="shared" si="604"/>
        <v>14863.14</v>
      </c>
      <c r="CJ245" s="989">
        <f t="shared" si="604"/>
        <v>14863.14</v>
      </c>
      <c r="CK245" s="989">
        <f t="shared" si="604"/>
        <v>14863.14</v>
      </c>
      <c r="CL245" s="989">
        <f t="shared" si="604"/>
        <v>14863.14</v>
      </c>
      <c r="CM245" s="988">
        <f t="shared" si="604"/>
        <v>14863.14</v>
      </c>
      <c r="CN245" s="533" t="str">
        <f t="shared" si="556"/>
        <v/>
      </c>
      <c r="CO245" s="534" t="str">
        <f t="shared" si="557"/>
        <v/>
      </c>
      <c r="CP245" s="535" t="str">
        <f t="shared" si="558"/>
        <v/>
      </c>
      <c r="CQ245" s="535" t="str">
        <f t="shared" si="559"/>
        <v/>
      </c>
      <c r="CR245" s="535">
        <f t="shared" si="560"/>
        <v>14863.14</v>
      </c>
      <c r="CS245" s="535">
        <f t="shared" si="561"/>
        <v>14863.14</v>
      </c>
      <c r="CT245" s="535">
        <f t="shared" si="562"/>
        <v>14863.14</v>
      </c>
      <c r="CU245" s="536">
        <f t="shared" si="563"/>
        <v>14863.14</v>
      </c>
      <c r="CV245" s="536">
        <f t="shared" si="564"/>
        <v>14863.14</v>
      </c>
      <c r="CW245" s="536">
        <f t="shared" si="565"/>
        <v>14863.14</v>
      </c>
      <c r="CX245" s="535">
        <f t="shared" si="566"/>
        <v>14863.14</v>
      </c>
      <c r="CY245" s="535">
        <f t="shared" si="567"/>
        <v>14863.14</v>
      </c>
      <c r="CZ245" s="535">
        <f t="shared" si="568"/>
        <v>14863.14</v>
      </c>
      <c r="DA245" s="535">
        <f t="shared" si="569"/>
        <v>14863.14</v>
      </c>
      <c r="DB245" s="535" t="str">
        <f t="shared" si="570"/>
        <v/>
      </c>
      <c r="DC245" s="534" t="str">
        <f t="shared" si="571"/>
        <v/>
      </c>
      <c r="DD245" s="533" t="str">
        <f t="shared" si="572"/>
        <v/>
      </c>
      <c r="DE245" s="635">
        <f t="shared" si="573"/>
        <v>10</v>
      </c>
      <c r="DF245" s="95">
        <f t="shared" si="574"/>
        <v>10</v>
      </c>
      <c r="DG245" s="95">
        <f t="shared" si="575"/>
        <v>10</v>
      </c>
      <c r="DH245" s="95">
        <f t="shared" si="57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542"/>
        <v/>
      </c>
      <c r="CA246" s="582" t="str">
        <f t="shared" si="543"/>
        <v/>
      </c>
      <c r="CB246" s="582" t="str">
        <f t="shared" si="544"/>
        <v/>
      </c>
      <c r="CC246" s="670" t="str">
        <f t="shared" si="545"/>
        <v/>
      </c>
      <c r="CD246" s="988" t="str">
        <f t="shared" si="605"/>
        <v/>
      </c>
      <c r="CE246" s="989" t="str">
        <f t="shared" si="604"/>
        <v/>
      </c>
      <c r="CF246" s="989" t="str">
        <f t="shared" si="604"/>
        <v/>
      </c>
      <c r="CG246" s="989" t="str">
        <f t="shared" si="604"/>
        <v/>
      </c>
      <c r="CH246" s="990" t="str">
        <f t="shared" si="604"/>
        <v/>
      </c>
      <c r="CI246" s="990" t="str">
        <f t="shared" si="604"/>
        <v/>
      </c>
      <c r="CJ246" s="989" t="str">
        <f t="shared" si="604"/>
        <v/>
      </c>
      <c r="CK246" s="989" t="str">
        <f t="shared" si="604"/>
        <v/>
      </c>
      <c r="CL246" s="989" t="str">
        <f t="shared" si="604"/>
        <v/>
      </c>
      <c r="CM246" s="988" t="str">
        <f t="shared" si="604"/>
        <v/>
      </c>
      <c r="CN246" s="533" t="str">
        <f t="shared" si="556"/>
        <v/>
      </c>
      <c r="CO246" s="534" t="str">
        <f t="shared" si="557"/>
        <v/>
      </c>
      <c r="CP246" s="535" t="str">
        <f t="shared" si="558"/>
        <v/>
      </c>
      <c r="CQ246" s="535" t="str">
        <f t="shared" si="559"/>
        <v/>
      </c>
      <c r="CR246" s="535" t="str">
        <f t="shared" si="560"/>
        <v/>
      </c>
      <c r="CS246" s="535" t="str">
        <f t="shared" si="561"/>
        <v/>
      </c>
      <c r="CT246" s="535" t="str">
        <f t="shared" si="562"/>
        <v/>
      </c>
      <c r="CU246" s="536" t="str">
        <f t="shared" si="563"/>
        <v/>
      </c>
      <c r="CV246" s="536" t="str">
        <f t="shared" si="564"/>
        <v/>
      </c>
      <c r="CW246" s="536" t="str">
        <f t="shared" si="565"/>
        <v/>
      </c>
      <c r="CX246" s="535" t="str">
        <f t="shared" si="566"/>
        <v/>
      </c>
      <c r="CY246" s="535" t="str">
        <f t="shared" si="567"/>
        <v/>
      </c>
      <c r="CZ246" s="535" t="str">
        <f t="shared" si="568"/>
        <v/>
      </c>
      <c r="DA246" s="535" t="str">
        <f t="shared" si="569"/>
        <v/>
      </c>
      <c r="DB246" s="535" t="str">
        <f t="shared" si="570"/>
        <v/>
      </c>
      <c r="DC246" s="534" t="str">
        <f t="shared" si="571"/>
        <v/>
      </c>
      <c r="DD246" s="533" t="str">
        <f t="shared" si="572"/>
        <v/>
      </c>
      <c r="DE246" s="635">
        <f t="shared" si="573"/>
        <v>0</v>
      </c>
      <c r="DF246" s="95">
        <f t="shared" si="574"/>
        <v>0</v>
      </c>
      <c r="DG246" s="95">
        <f t="shared" si="575"/>
        <v>0</v>
      </c>
      <c r="DH246" s="95">
        <f t="shared" si="57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542"/>
        <v/>
      </c>
      <c r="CA247" s="582" t="str">
        <f t="shared" si="543"/>
        <v/>
      </c>
      <c r="CB247" s="582" t="str">
        <f t="shared" si="544"/>
        <v/>
      </c>
      <c r="CC247" s="670" t="str">
        <f t="shared" si="545"/>
        <v/>
      </c>
      <c r="CD247" s="988" t="str">
        <f t="shared" si="605"/>
        <v/>
      </c>
      <c r="CE247" s="989" t="str">
        <f t="shared" si="604"/>
        <v/>
      </c>
      <c r="CF247" s="989" t="str">
        <f t="shared" si="604"/>
        <v/>
      </c>
      <c r="CG247" s="989" t="str">
        <f t="shared" si="604"/>
        <v/>
      </c>
      <c r="CH247" s="990" t="str">
        <f t="shared" si="604"/>
        <v/>
      </c>
      <c r="CI247" s="990" t="str">
        <f t="shared" si="604"/>
        <v/>
      </c>
      <c r="CJ247" s="989" t="str">
        <f t="shared" si="604"/>
        <v/>
      </c>
      <c r="CK247" s="989" t="str">
        <f t="shared" si="604"/>
        <v/>
      </c>
      <c r="CL247" s="989" t="str">
        <f t="shared" si="604"/>
        <v/>
      </c>
      <c r="CM247" s="988" t="str">
        <f t="shared" si="604"/>
        <v/>
      </c>
      <c r="CN247" s="533" t="str">
        <f t="shared" si="556"/>
        <v/>
      </c>
      <c r="CO247" s="534" t="str">
        <f t="shared" si="557"/>
        <v/>
      </c>
      <c r="CP247" s="535" t="str">
        <f t="shared" si="558"/>
        <v/>
      </c>
      <c r="CQ247" s="535" t="str">
        <f t="shared" si="559"/>
        <v/>
      </c>
      <c r="CR247" s="535" t="str">
        <f t="shared" si="560"/>
        <v/>
      </c>
      <c r="CS247" s="535" t="str">
        <f t="shared" si="561"/>
        <v/>
      </c>
      <c r="CT247" s="535" t="str">
        <f t="shared" si="562"/>
        <v/>
      </c>
      <c r="CU247" s="536" t="str">
        <f t="shared" si="563"/>
        <v/>
      </c>
      <c r="CV247" s="536" t="str">
        <f t="shared" si="564"/>
        <v/>
      </c>
      <c r="CW247" s="536" t="str">
        <f t="shared" si="565"/>
        <v/>
      </c>
      <c r="CX247" s="535" t="str">
        <f t="shared" si="566"/>
        <v/>
      </c>
      <c r="CY247" s="535" t="str">
        <f t="shared" si="567"/>
        <v/>
      </c>
      <c r="CZ247" s="535" t="str">
        <f t="shared" si="568"/>
        <v/>
      </c>
      <c r="DA247" s="535" t="str">
        <f t="shared" si="569"/>
        <v/>
      </c>
      <c r="DB247" s="535" t="str">
        <f t="shared" si="570"/>
        <v/>
      </c>
      <c r="DC247" s="534" t="str">
        <f t="shared" si="571"/>
        <v/>
      </c>
      <c r="DD247" s="533" t="str">
        <f t="shared" si="572"/>
        <v/>
      </c>
      <c r="DE247" s="635">
        <f t="shared" si="573"/>
        <v>0</v>
      </c>
      <c r="DF247" s="95">
        <f t="shared" si="574"/>
        <v>0</v>
      </c>
      <c r="DG247" s="95">
        <f t="shared" si="575"/>
        <v>0</v>
      </c>
      <c r="DH247" s="95">
        <f t="shared" si="57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10">IF(B246="","",B246*B247)</f>
        <v/>
      </c>
      <c r="C248" s="612" t="str">
        <f t="shared" si="610"/>
        <v/>
      </c>
      <c r="D248" s="612" t="str">
        <f t="shared" si="610"/>
        <v/>
      </c>
      <c r="E248" s="612" t="str">
        <f t="shared" si="610"/>
        <v/>
      </c>
      <c r="F248" s="612" t="str">
        <f t="shared" si="610"/>
        <v/>
      </c>
      <c r="G248" s="612" t="str">
        <f t="shared" si="610"/>
        <v/>
      </c>
      <c r="H248" s="612" t="str">
        <f t="shared" si="610"/>
        <v/>
      </c>
      <c r="I248" s="612" t="str">
        <f t="shared" si="610"/>
        <v/>
      </c>
      <c r="J248" s="612" t="str">
        <f t="shared" si="610"/>
        <v/>
      </c>
      <c r="K248" s="612" t="str">
        <f t="shared" si="61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11">IF(T246="","",T246*T247)</f>
        <v/>
      </c>
      <c r="U248" s="612" t="str">
        <f t="shared" si="611"/>
        <v/>
      </c>
      <c r="V248" s="612" t="str">
        <f t="shared" si="611"/>
        <v/>
      </c>
      <c r="W248" s="612" t="str">
        <f t="shared" si="611"/>
        <v/>
      </c>
      <c r="X248" s="612" t="str">
        <f t="shared" si="611"/>
        <v/>
      </c>
      <c r="Y248" s="612" t="str">
        <f t="shared" si="611"/>
        <v/>
      </c>
      <c r="Z248" s="612" t="str">
        <f t="shared" si="611"/>
        <v/>
      </c>
      <c r="AA248" s="612" t="str">
        <f t="shared" si="611"/>
        <v/>
      </c>
      <c r="AB248" s="612" t="str">
        <f t="shared" si="611"/>
        <v/>
      </c>
      <c r="AC248" s="612" t="str">
        <f t="shared" si="61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12">IF(AL246="","",AL246*AL247)</f>
        <v/>
      </c>
      <c r="AM248" s="612" t="str">
        <f t="shared" si="612"/>
        <v/>
      </c>
      <c r="AN248" s="612" t="str">
        <f t="shared" si="612"/>
        <v/>
      </c>
      <c r="AO248" s="612" t="str">
        <f t="shared" si="612"/>
        <v/>
      </c>
      <c r="AP248" s="612" t="str">
        <f t="shared" si="612"/>
        <v/>
      </c>
      <c r="AQ248" s="612" t="str">
        <f t="shared" si="612"/>
        <v/>
      </c>
      <c r="AR248" s="612" t="str">
        <f t="shared" si="612"/>
        <v/>
      </c>
      <c r="AS248" s="612" t="str">
        <f t="shared" si="612"/>
        <v/>
      </c>
      <c r="AT248" s="612" t="str">
        <f t="shared" si="612"/>
        <v/>
      </c>
      <c r="AU248" s="612" t="str">
        <f t="shared" si="61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13">IF(BD246="","",BD246*BD247)</f>
        <v/>
      </c>
      <c r="BE248" s="1201" t="str">
        <f t="shared" si="613"/>
        <v/>
      </c>
      <c r="BF248" s="1201" t="str">
        <f t="shared" si="613"/>
        <v/>
      </c>
      <c r="BG248" s="1201" t="str">
        <f t="shared" si="613"/>
        <v/>
      </c>
      <c r="BH248" s="1201" t="str">
        <f t="shared" si="613"/>
        <v/>
      </c>
      <c r="BI248" s="1201" t="str">
        <f t="shared" si="613"/>
        <v/>
      </c>
      <c r="BJ248" s="1201" t="str">
        <f t="shared" si="613"/>
        <v/>
      </c>
      <c r="BK248" s="1201" t="str">
        <f t="shared" si="613"/>
        <v/>
      </c>
      <c r="BL248" s="1201" t="str">
        <f t="shared" si="613"/>
        <v/>
      </c>
      <c r="BM248" s="1201" t="str">
        <f t="shared" si="61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542"/>
        <v/>
      </c>
      <c r="CA248" s="582" t="str">
        <f t="shared" si="543"/>
        <v/>
      </c>
      <c r="CB248" s="582" t="str">
        <f t="shared" si="544"/>
        <v/>
      </c>
      <c r="CC248" s="670" t="str">
        <f t="shared" si="545"/>
        <v/>
      </c>
      <c r="CD248" s="988" t="str">
        <f t="shared" si="605"/>
        <v/>
      </c>
      <c r="CE248" s="989" t="str">
        <f t="shared" si="604"/>
        <v/>
      </c>
      <c r="CF248" s="989" t="str">
        <f t="shared" si="604"/>
        <v/>
      </c>
      <c r="CG248" s="989" t="str">
        <f t="shared" si="604"/>
        <v/>
      </c>
      <c r="CH248" s="990" t="str">
        <f t="shared" si="604"/>
        <v/>
      </c>
      <c r="CI248" s="990" t="str">
        <f t="shared" si="604"/>
        <v/>
      </c>
      <c r="CJ248" s="989" t="str">
        <f t="shared" si="604"/>
        <v/>
      </c>
      <c r="CK248" s="989" t="str">
        <f t="shared" si="604"/>
        <v/>
      </c>
      <c r="CL248" s="989" t="str">
        <f t="shared" si="604"/>
        <v/>
      </c>
      <c r="CM248" s="988" t="str">
        <f t="shared" si="604"/>
        <v/>
      </c>
      <c r="CN248" s="533" t="str">
        <f t="shared" si="556"/>
        <v/>
      </c>
      <c r="CO248" s="534" t="str">
        <f t="shared" si="557"/>
        <v/>
      </c>
      <c r="CP248" s="535" t="str">
        <f t="shared" si="558"/>
        <v/>
      </c>
      <c r="CQ248" s="535" t="str">
        <f t="shared" si="559"/>
        <v/>
      </c>
      <c r="CR248" s="535" t="str">
        <f t="shared" si="560"/>
        <v/>
      </c>
      <c r="CS248" s="535" t="str">
        <f t="shared" si="561"/>
        <v/>
      </c>
      <c r="CT248" s="535" t="str">
        <f t="shared" si="562"/>
        <v/>
      </c>
      <c r="CU248" s="536" t="str">
        <f t="shared" si="563"/>
        <v/>
      </c>
      <c r="CV248" s="536" t="str">
        <f t="shared" si="564"/>
        <v/>
      </c>
      <c r="CW248" s="536" t="str">
        <f t="shared" si="565"/>
        <v/>
      </c>
      <c r="CX248" s="535" t="str">
        <f t="shared" si="566"/>
        <v/>
      </c>
      <c r="CY248" s="535" t="str">
        <f t="shared" si="567"/>
        <v/>
      </c>
      <c r="CZ248" s="535" t="str">
        <f t="shared" si="568"/>
        <v/>
      </c>
      <c r="DA248" s="535" t="str">
        <f t="shared" si="569"/>
        <v/>
      </c>
      <c r="DB248" s="535" t="str">
        <f t="shared" si="570"/>
        <v/>
      </c>
      <c r="DC248" s="534" t="str">
        <f t="shared" si="571"/>
        <v/>
      </c>
      <c r="DD248" s="533" t="str">
        <f t="shared" si="572"/>
        <v/>
      </c>
      <c r="DE248" s="635">
        <f t="shared" si="573"/>
        <v>0</v>
      </c>
      <c r="DF248" s="95">
        <f t="shared" si="574"/>
        <v>0</v>
      </c>
      <c r="DG248" s="95">
        <f t="shared" si="575"/>
        <v>0</v>
      </c>
      <c r="DH248" s="95">
        <f t="shared" si="57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542"/>
        <v/>
      </c>
      <c r="CA249" s="582" t="str">
        <f t="shared" si="543"/>
        <v/>
      </c>
      <c r="CB249" s="582" t="str">
        <f t="shared" si="544"/>
        <v/>
      </c>
      <c r="CC249" s="670" t="str">
        <f t="shared" si="545"/>
        <v/>
      </c>
      <c r="CD249" s="988" t="str">
        <f t="shared" si="605"/>
        <v/>
      </c>
      <c r="CE249" s="989" t="str">
        <f t="shared" si="604"/>
        <v/>
      </c>
      <c r="CF249" s="989" t="str">
        <f t="shared" si="604"/>
        <v/>
      </c>
      <c r="CG249" s="989" t="str">
        <f t="shared" si="604"/>
        <v/>
      </c>
      <c r="CH249" s="990" t="str">
        <f t="shared" si="604"/>
        <v/>
      </c>
      <c r="CI249" s="990" t="str">
        <f t="shared" si="604"/>
        <v/>
      </c>
      <c r="CJ249" s="989" t="str">
        <f t="shared" si="604"/>
        <v/>
      </c>
      <c r="CK249" s="989" t="str">
        <f t="shared" si="604"/>
        <v/>
      </c>
      <c r="CL249" s="989" t="str">
        <f t="shared" si="604"/>
        <v/>
      </c>
      <c r="CM249" s="988" t="str">
        <f t="shared" si="604"/>
        <v/>
      </c>
      <c r="CN249" s="533" t="str">
        <f t="shared" si="556"/>
        <v/>
      </c>
      <c r="CO249" s="534" t="str">
        <f t="shared" si="557"/>
        <v/>
      </c>
      <c r="CP249" s="535" t="str">
        <f t="shared" si="558"/>
        <v/>
      </c>
      <c r="CQ249" s="535" t="str">
        <f t="shared" si="559"/>
        <v/>
      </c>
      <c r="CR249" s="535" t="str">
        <f t="shared" si="560"/>
        <v/>
      </c>
      <c r="CS249" s="535" t="str">
        <f t="shared" si="561"/>
        <v/>
      </c>
      <c r="CT249" s="535" t="str">
        <f t="shared" si="562"/>
        <v/>
      </c>
      <c r="CU249" s="536" t="str">
        <f t="shared" si="563"/>
        <v/>
      </c>
      <c r="CV249" s="536" t="str">
        <f t="shared" si="564"/>
        <v/>
      </c>
      <c r="CW249" s="536" t="str">
        <f t="shared" si="565"/>
        <v/>
      </c>
      <c r="CX249" s="535" t="str">
        <f t="shared" si="566"/>
        <v/>
      </c>
      <c r="CY249" s="535" t="str">
        <f t="shared" si="567"/>
        <v/>
      </c>
      <c r="CZ249" s="535" t="str">
        <f t="shared" si="568"/>
        <v/>
      </c>
      <c r="DA249" s="535" t="str">
        <f t="shared" si="569"/>
        <v/>
      </c>
      <c r="DB249" s="535" t="str">
        <f t="shared" si="570"/>
        <v/>
      </c>
      <c r="DC249" s="534" t="str">
        <f t="shared" si="571"/>
        <v/>
      </c>
      <c r="DD249" s="533" t="str">
        <f t="shared" si="572"/>
        <v/>
      </c>
      <c r="DE249" s="635">
        <f t="shared" si="573"/>
        <v>0</v>
      </c>
      <c r="DF249" s="95">
        <f t="shared" si="574"/>
        <v>0</v>
      </c>
      <c r="DG249" s="95">
        <f t="shared" si="575"/>
        <v>0</v>
      </c>
      <c r="DH249" s="95">
        <f t="shared" si="57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14">IF(B244="","",(B244-B246-B249)*B245/B$46/365/$G$1)</f>
        <v/>
      </c>
      <c r="C250" s="615" t="str">
        <f t="shared" si="614"/>
        <v/>
      </c>
      <c r="D250" s="615" t="str">
        <f t="shared" si="614"/>
        <v/>
      </c>
      <c r="E250" s="615" t="str">
        <f t="shared" si="614"/>
        <v/>
      </c>
      <c r="F250" s="615" t="str">
        <f t="shared" si="614"/>
        <v/>
      </c>
      <c r="G250" s="615" t="str">
        <f t="shared" si="614"/>
        <v/>
      </c>
      <c r="H250" s="615" t="str">
        <f t="shared" si="614"/>
        <v/>
      </c>
      <c r="I250" s="615" t="str">
        <f t="shared" si="614"/>
        <v/>
      </c>
      <c r="J250" s="615" t="str">
        <f t="shared" si="614"/>
        <v/>
      </c>
      <c r="K250" s="615" t="str">
        <f t="shared" si="61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15">IF(T244="","",(T244-T246-T249)*T245/T$46/365/$G$1)</f>
        <v/>
      </c>
      <c r="U250" s="615" t="str">
        <f t="shared" si="615"/>
        <v/>
      </c>
      <c r="V250" s="615" t="str">
        <f t="shared" si="615"/>
        <v/>
      </c>
      <c r="W250" s="615" t="str">
        <f t="shared" si="615"/>
        <v/>
      </c>
      <c r="X250" s="615" t="str">
        <f t="shared" si="615"/>
        <v/>
      </c>
      <c r="Y250" s="615" t="str">
        <f t="shared" si="615"/>
        <v/>
      </c>
      <c r="Z250" s="615" t="str">
        <f t="shared" si="615"/>
        <v/>
      </c>
      <c r="AA250" s="615" t="str">
        <f t="shared" si="615"/>
        <v/>
      </c>
      <c r="AB250" s="615" t="str">
        <f t="shared" si="615"/>
        <v/>
      </c>
      <c r="AC250" s="615" t="str">
        <f t="shared" si="61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16">IF(AL244="","",(AL244-AL246-AL249)*AL245/AL$46/365/$G$1)</f>
        <v/>
      </c>
      <c r="AM250" s="615" t="str">
        <f t="shared" si="616"/>
        <v/>
      </c>
      <c r="AN250" s="615" t="str">
        <f t="shared" si="616"/>
        <v/>
      </c>
      <c r="AO250" s="615" t="str">
        <f t="shared" si="616"/>
        <v/>
      </c>
      <c r="AP250" s="615" t="str">
        <f t="shared" si="616"/>
        <v/>
      </c>
      <c r="AQ250" s="615" t="str">
        <f t="shared" si="616"/>
        <v/>
      </c>
      <c r="AR250" s="615" t="str">
        <f t="shared" si="616"/>
        <v/>
      </c>
      <c r="AS250" s="615" t="str">
        <f t="shared" si="616"/>
        <v/>
      </c>
      <c r="AT250" s="615" t="str">
        <f t="shared" si="616"/>
        <v/>
      </c>
      <c r="AU250" s="615" t="str">
        <f t="shared" si="61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17">IF(BD244="","",(BD244-BD246-BD249)*BD245/BD$46/365/$G$1)</f>
        <v/>
      </c>
      <c r="BE250" s="1202" t="str">
        <f t="shared" si="617"/>
        <v/>
      </c>
      <c r="BF250" s="1202" t="str">
        <f t="shared" si="617"/>
        <v/>
      </c>
      <c r="BG250" s="1202" t="str">
        <f t="shared" si="617"/>
        <v/>
      </c>
      <c r="BH250" s="1202" t="str">
        <f t="shared" si="617"/>
        <v/>
      </c>
      <c r="BI250" s="1202" t="str">
        <f t="shared" si="617"/>
        <v/>
      </c>
      <c r="BJ250" s="1202" t="str">
        <f t="shared" si="617"/>
        <v/>
      </c>
      <c r="BK250" s="1202" t="str">
        <f t="shared" si="617"/>
        <v/>
      </c>
      <c r="BL250" s="1202" t="str">
        <f t="shared" si="617"/>
        <v/>
      </c>
      <c r="BM250" s="1202" t="str">
        <f t="shared" si="61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542"/>
        <v/>
      </c>
      <c r="CA250" s="607" t="str">
        <f t="shared" si="543"/>
        <v/>
      </c>
      <c r="CB250" s="607" t="str">
        <f t="shared" si="544"/>
        <v/>
      </c>
      <c r="CC250" s="673" t="str">
        <f t="shared" si="54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1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18"/>
        <v/>
      </c>
      <c r="CG250" s="992" t="str">
        <f t="shared" si="618"/>
        <v/>
      </c>
      <c r="CH250" s="993" t="str">
        <f t="shared" si="618"/>
        <v/>
      </c>
      <c r="CI250" s="993" t="str">
        <f t="shared" si="618"/>
        <v/>
      </c>
      <c r="CJ250" s="992" t="str">
        <f t="shared" si="618"/>
        <v/>
      </c>
      <c r="CK250" s="992" t="str">
        <f t="shared" si="618"/>
        <v/>
      </c>
      <c r="CL250" s="992" t="str">
        <f t="shared" si="618"/>
        <v/>
      </c>
      <c r="CM250" s="991" t="str">
        <f t="shared" si="618"/>
        <v/>
      </c>
      <c r="CN250" s="521" t="str">
        <f t="shared" si="556"/>
        <v/>
      </c>
      <c r="CO250" s="522" t="str">
        <f t="shared" si="557"/>
        <v/>
      </c>
      <c r="CP250" s="523" t="str">
        <f t="shared" si="558"/>
        <v/>
      </c>
      <c r="CQ250" s="523" t="str">
        <f t="shared" si="559"/>
        <v/>
      </c>
      <c r="CR250" s="523" t="str">
        <f t="shared" si="560"/>
        <v/>
      </c>
      <c r="CS250" s="523" t="str">
        <f t="shared" si="561"/>
        <v/>
      </c>
      <c r="CT250" s="523" t="str">
        <f t="shared" si="562"/>
        <v/>
      </c>
      <c r="CU250" s="524" t="str">
        <f t="shared" si="563"/>
        <v/>
      </c>
      <c r="CV250" s="524" t="str">
        <f t="shared" si="564"/>
        <v/>
      </c>
      <c r="CW250" s="524" t="str">
        <f t="shared" si="565"/>
        <v/>
      </c>
      <c r="CX250" s="523" t="str">
        <f t="shared" si="566"/>
        <v/>
      </c>
      <c r="CY250" s="523" t="str">
        <f t="shared" si="567"/>
        <v/>
      </c>
      <c r="CZ250" s="523" t="str">
        <f t="shared" si="568"/>
        <v/>
      </c>
      <c r="DA250" s="523" t="str">
        <f t="shared" si="569"/>
        <v/>
      </c>
      <c r="DB250" s="523" t="str">
        <f t="shared" si="570"/>
        <v/>
      </c>
      <c r="DC250" s="522" t="str">
        <f t="shared" si="571"/>
        <v/>
      </c>
      <c r="DD250" s="521" t="str">
        <f t="shared" si="572"/>
        <v/>
      </c>
      <c r="DE250" s="635">
        <f t="shared" si="573"/>
        <v>0</v>
      </c>
      <c r="DF250" s="95">
        <f t="shared" si="574"/>
        <v>0</v>
      </c>
      <c r="DG250" s="95">
        <f t="shared" si="575"/>
        <v>0</v>
      </c>
      <c r="DH250" s="95">
        <f t="shared" si="57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542"/>
        <v/>
      </c>
      <c r="CA251" s="582" t="str">
        <f t="shared" si="543"/>
        <v/>
      </c>
      <c r="CB251" s="582" t="str">
        <f t="shared" si="544"/>
        <v/>
      </c>
      <c r="CC251" s="670" t="str">
        <f t="shared" si="545"/>
        <v/>
      </c>
      <c r="CD251" s="988" t="str">
        <f t="shared" ref="CD251:CD256" si="61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18"/>
        <v/>
      </c>
      <c r="CF251" s="989" t="str">
        <f t="shared" si="618"/>
        <v/>
      </c>
      <c r="CG251" s="989" t="str">
        <f t="shared" si="618"/>
        <v/>
      </c>
      <c r="CH251" s="990" t="str">
        <f t="shared" si="618"/>
        <v/>
      </c>
      <c r="CI251" s="990" t="str">
        <f t="shared" si="618"/>
        <v/>
      </c>
      <c r="CJ251" s="989" t="str">
        <f t="shared" si="618"/>
        <v/>
      </c>
      <c r="CK251" s="989" t="str">
        <f t="shared" si="618"/>
        <v/>
      </c>
      <c r="CL251" s="989" t="str">
        <f t="shared" si="618"/>
        <v/>
      </c>
      <c r="CM251" s="988" t="str">
        <f t="shared" si="618"/>
        <v/>
      </c>
      <c r="CN251" s="533" t="str">
        <f t="shared" si="556"/>
        <v/>
      </c>
      <c r="CO251" s="534" t="str">
        <f t="shared" si="557"/>
        <v/>
      </c>
      <c r="CP251" s="535" t="str">
        <f t="shared" si="558"/>
        <v/>
      </c>
      <c r="CQ251" s="535" t="str">
        <f t="shared" si="559"/>
        <v/>
      </c>
      <c r="CR251" s="535" t="str">
        <f t="shared" si="560"/>
        <v/>
      </c>
      <c r="CS251" s="535" t="str">
        <f t="shared" si="561"/>
        <v/>
      </c>
      <c r="CT251" s="535" t="str">
        <f t="shared" si="562"/>
        <v/>
      </c>
      <c r="CU251" s="536" t="str">
        <f t="shared" si="563"/>
        <v/>
      </c>
      <c r="CV251" s="536" t="str">
        <f t="shared" si="564"/>
        <v/>
      </c>
      <c r="CW251" s="536" t="str">
        <f t="shared" si="565"/>
        <v/>
      </c>
      <c r="CX251" s="535" t="str">
        <f t="shared" si="566"/>
        <v/>
      </c>
      <c r="CY251" s="535" t="str">
        <f t="shared" si="567"/>
        <v/>
      </c>
      <c r="CZ251" s="535" t="str">
        <f t="shared" si="568"/>
        <v/>
      </c>
      <c r="DA251" s="535" t="str">
        <f t="shared" si="569"/>
        <v/>
      </c>
      <c r="DB251" s="535" t="str">
        <f t="shared" si="570"/>
        <v/>
      </c>
      <c r="DC251" s="534" t="str">
        <f t="shared" si="571"/>
        <v/>
      </c>
      <c r="DD251" s="533" t="str">
        <f t="shared" si="572"/>
        <v/>
      </c>
      <c r="DE251" s="635">
        <f t="shared" si="573"/>
        <v>0</v>
      </c>
      <c r="DF251" s="95">
        <f t="shared" si="574"/>
        <v>0</v>
      </c>
      <c r="DG251" s="95">
        <f t="shared" si="575"/>
        <v>0</v>
      </c>
      <c r="DH251" s="95">
        <f t="shared" si="57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20">3450*$K$1</f>
        <v>14444.46</v>
      </c>
      <c r="D252" s="683">
        <f t="shared" si="620"/>
        <v>14444.46</v>
      </c>
      <c r="E252" s="683">
        <f t="shared" si="620"/>
        <v>14444.46</v>
      </c>
      <c r="F252" s="683">
        <f t="shared" si="620"/>
        <v>14444.46</v>
      </c>
      <c r="G252" s="683">
        <f t="shared" si="620"/>
        <v>14444.46</v>
      </c>
      <c r="H252" s="683">
        <f t="shared" si="620"/>
        <v>14444.46</v>
      </c>
      <c r="I252" s="683">
        <f t="shared" si="620"/>
        <v>14444.46</v>
      </c>
      <c r="J252" s="683">
        <f t="shared" si="620"/>
        <v>14444.46</v>
      </c>
      <c r="K252" s="683">
        <f t="shared" si="62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21">3450*$K$1</f>
        <v>14444.46</v>
      </c>
      <c r="V252" s="683">
        <f t="shared" si="621"/>
        <v>14444.46</v>
      </c>
      <c r="W252" s="683">
        <f t="shared" si="621"/>
        <v>14444.46</v>
      </c>
      <c r="X252" s="683">
        <f t="shared" si="621"/>
        <v>14444.46</v>
      </c>
      <c r="Y252" s="683">
        <f t="shared" si="621"/>
        <v>14444.46</v>
      </c>
      <c r="Z252" s="683">
        <f t="shared" si="621"/>
        <v>14444.46</v>
      </c>
      <c r="AA252" s="683">
        <f t="shared" si="621"/>
        <v>14444.46</v>
      </c>
      <c r="AB252" s="683">
        <f t="shared" si="621"/>
        <v>14444.46</v>
      </c>
      <c r="AC252" s="683">
        <f t="shared" si="62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22">3450*$K$1</f>
        <v>14444.46</v>
      </c>
      <c r="AN252" s="683">
        <f t="shared" si="622"/>
        <v>14444.46</v>
      </c>
      <c r="AO252" s="683">
        <f t="shared" si="622"/>
        <v>14444.46</v>
      </c>
      <c r="AP252" s="683">
        <f t="shared" si="622"/>
        <v>14444.46</v>
      </c>
      <c r="AQ252" s="683">
        <f t="shared" si="622"/>
        <v>14444.46</v>
      </c>
      <c r="AR252" s="683">
        <f t="shared" si="622"/>
        <v>14444.46</v>
      </c>
      <c r="AS252" s="683">
        <f t="shared" si="622"/>
        <v>14444.46</v>
      </c>
      <c r="AT252" s="683">
        <f t="shared" si="622"/>
        <v>14444.46</v>
      </c>
      <c r="AU252" s="683">
        <f t="shared" si="62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23">3450*$K$1</f>
        <v>14444.46</v>
      </c>
      <c r="BF252" s="1225">
        <f t="shared" si="623"/>
        <v>14444.46</v>
      </c>
      <c r="BG252" s="1225">
        <f t="shared" si="623"/>
        <v>14444.46</v>
      </c>
      <c r="BH252" s="1225">
        <f t="shared" si="623"/>
        <v>14444.46</v>
      </c>
      <c r="BI252" s="1225">
        <f t="shared" si="623"/>
        <v>14444.46</v>
      </c>
      <c r="BJ252" s="1225">
        <f t="shared" si="623"/>
        <v>14444.46</v>
      </c>
      <c r="BK252" s="1225">
        <f t="shared" si="623"/>
        <v>14444.46</v>
      </c>
      <c r="BL252" s="1225">
        <f t="shared" si="623"/>
        <v>14444.46</v>
      </c>
      <c r="BM252" s="1225">
        <f t="shared" si="62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>3450*$K$1</f>
        <v>14444.46</v>
      </c>
      <c r="BW252" s="683">
        <f>3450*$K$1</f>
        <v>14444.46</v>
      </c>
      <c r="BX252" s="683">
        <f>3450*$K$1</f>
        <v>14444.46</v>
      </c>
      <c r="BY252" s="683">
        <f>3450*$K$1</f>
        <v>14444.46</v>
      </c>
      <c r="BZ252" s="582">
        <f t="shared" si="542"/>
        <v>14444.459999999995</v>
      </c>
      <c r="CA252" s="582">
        <f t="shared" si="543"/>
        <v>14444.459999999995</v>
      </c>
      <c r="CB252" s="582">
        <f t="shared" si="544"/>
        <v>14444.459999999995</v>
      </c>
      <c r="CC252" s="670">
        <f t="shared" si="545"/>
        <v>14444.459999999995</v>
      </c>
      <c r="CD252" s="988">
        <f t="shared" si="619"/>
        <v>14444.46</v>
      </c>
      <c r="CE252" s="989">
        <f t="shared" si="618"/>
        <v>14444.46</v>
      </c>
      <c r="CF252" s="989">
        <f t="shared" si="618"/>
        <v>14444.46</v>
      </c>
      <c r="CG252" s="989">
        <f t="shared" si="618"/>
        <v>14444.46</v>
      </c>
      <c r="CH252" s="990">
        <f t="shared" si="618"/>
        <v>14444.46</v>
      </c>
      <c r="CI252" s="990">
        <f t="shared" si="618"/>
        <v>14444.46</v>
      </c>
      <c r="CJ252" s="989">
        <f t="shared" si="618"/>
        <v>14444.46</v>
      </c>
      <c r="CK252" s="989">
        <f t="shared" si="618"/>
        <v>14444.46</v>
      </c>
      <c r="CL252" s="989">
        <f t="shared" si="618"/>
        <v>14444.46</v>
      </c>
      <c r="CM252" s="988">
        <f t="shared" si="618"/>
        <v>14444.46</v>
      </c>
      <c r="CN252" s="533" t="str">
        <f t="shared" si="556"/>
        <v/>
      </c>
      <c r="CO252" s="534" t="str">
        <f t="shared" si="557"/>
        <v/>
      </c>
      <c r="CP252" s="535" t="str">
        <f t="shared" si="558"/>
        <v/>
      </c>
      <c r="CQ252" s="535" t="str">
        <f t="shared" si="559"/>
        <v/>
      </c>
      <c r="CR252" s="535">
        <f t="shared" si="560"/>
        <v>14444.46</v>
      </c>
      <c r="CS252" s="535">
        <f t="shared" si="561"/>
        <v>14444.46</v>
      </c>
      <c r="CT252" s="535">
        <f t="shared" si="562"/>
        <v>14444.46</v>
      </c>
      <c r="CU252" s="536">
        <f t="shared" si="563"/>
        <v>14444.46</v>
      </c>
      <c r="CV252" s="536">
        <f t="shared" si="564"/>
        <v>14444.46</v>
      </c>
      <c r="CW252" s="536">
        <f t="shared" si="565"/>
        <v>14444.46</v>
      </c>
      <c r="CX252" s="535">
        <f t="shared" si="566"/>
        <v>14444.46</v>
      </c>
      <c r="CY252" s="535">
        <f t="shared" si="567"/>
        <v>14444.46</v>
      </c>
      <c r="CZ252" s="535">
        <f t="shared" si="568"/>
        <v>14444.46</v>
      </c>
      <c r="DA252" s="535">
        <f t="shared" si="569"/>
        <v>14444.46</v>
      </c>
      <c r="DB252" s="535" t="str">
        <f t="shared" si="570"/>
        <v/>
      </c>
      <c r="DC252" s="534" t="str">
        <f t="shared" si="571"/>
        <v/>
      </c>
      <c r="DD252" s="533" t="str">
        <f t="shared" si="572"/>
        <v/>
      </c>
      <c r="DE252" s="635">
        <f t="shared" si="573"/>
        <v>10</v>
      </c>
      <c r="DF252" s="95">
        <f t="shared" si="574"/>
        <v>10</v>
      </c>
      <c r="DG252" s="95">
        <f t="shared" si="575"/>
        <v>10</v>
      </c>
      <c r="DH252" s="95">
        <f t="shared" si="57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542"/>
        <v/>
      </c>
      <c r="CA253" s="582" t="str">
        <f t="shared" si="543"/>
        <v/>
      </c>
      <c r="CB253" s="582" t="str">
        <f t="shared" si="544"/>
        <v/>
      </c>
      <c r="CC253" s="670" t="str">
        <f t="shared" si="545"/>
        <v/>
      </c>
      <c r="CD253" s="988" t="str">
        <f t="shared" si="619"/>
        <v/>
      </c>
      <c r="CE253" s="989" t="str">
        <f t="shared" si="618"/>
        <v/>
      </c>
      <c r="CF253" s="989" t="str">
        <f t="shared" si="618"/>
        <v/>
      </c>
      <c r="CG253" s="989" t="str">
        <f t="shared" si="618"/>
        <v/>
      </c>
      <c r="CH253" s="990" t="str">
        <f t="shared" si="618"/>
        <v/>
      </c>
      <c r="CI253" s="990" t="str">
        <f t="shared" si="618"/>
        <v/>
      </c>
      <c r="CJ253" s="989" t="str">
        <f t="shared" si="618"/>
        <v/>
      </c>
      <c r="CK253" s="989" t="str">
        <f t="shared" si="618"/>
        <v/>
      </c>
      <c r="CL253" s="989" t="str">
        <f t="shared" si="618"/>
        <v/>
      </c>
      <c r="CM253" s="988" t="str">
        <f t="shared" si="618"/>
        <v/>
      </c>
      <c r="CN253" s="533" t="str">
        <f t="shared" si="556"/>
        <v/>
      </c>
      <c r="CO253" s="534" t="str">
        <f t="shared" si="557"/>
        <v/>
      </c>
      <c r="CP253" s="535" t="str">
        <f t="shared" si="558"/>
        <v/>
      </c>
      <c r="CQ253" s="535" t="str">
        <f t="shared" si="559"/>
        <v/>
      </c>
      <c r="CR253" s="535" t="str">
        <f t="shared" si="560"/>
        <v/>
      </c>
      <c r="CS253" s="535" t="str">
        <f t="shared" si="561"/>
        <v/>
      </c>
      <c r="CT253" s="535" t="str">
        <f t="shared" si="562"/>
        <v/>
      </c>
      <c r="CU253" s="536" t="str">
        <f t="shared" si="563"/>
        <v/>
      </c>
      <c r="CV253" s="536" t="str">
        <f t="shared" si="564"/>
        <v/>
      </c>
      <c r="CW253" s="536" t="str">
        <f t="shared" si="565"/>
        <v/>
      </c>
      <c r="CX253" s="535" t="str">
        <f t="shared" si="566"/>
        <v/>
      </c>
      <c r="CY253" s="535" t="str">
        <f t="shared" si="567"/>
        <v/>
      </c>
      <c r="CZ253" s="535" t="str">
        <f t="shared" si="568"/>
        <v/>
      </c>
      <c r="DA253" s="535" t="str">
        <f t="shared" si="569"/>
        <v/>
      </c>
      <c r="DB253" s="535" t="str">
        <f t="shared" si="570"/>
        <v/>
      </c>
      <c r="DC253" s="534" t="str">
        <f t="shared" si="571"/>
        <v/>
      </c>
      <c r="DD253" s="533" t="str">
        <f t="shared" si="572"/>
        <v/>
      </c>
      <c r="DE253" s="635">
        <f t="shared" si="573"/>
        <v>0</v>
      </c>
      <c r="DF253" s="95">
        <f t="shared" si="574"/>
        <v>0</v>
      </c>
      <c r="DG253" s="95">
        <f t="shared" si="575"/>
        <v>0</v>
      </c>
      <c r="DH253" s="95">
        <f t="shared" si="57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542"/>
        <v/>
      </c>
      <c r="CA254" s="582" t="str">
        <f t="shared" si="543"/>
        <v/>
      </c>
      <c r="CB254" s="582" t="str">
        <f t="shared" si="544"/>
        <v/>
      </c>
      <c r="CC254" s="670" t="str">
        <f t="shared" si="545"/>
        <v/>
      </c>
      <c r="CD254" s="988" t="str">
        <f t="shared" si="619"/>
        <v/>
      </c>
      <c r="CE254" s="989" t="str">
        <f t="shared" si="618"/>
        <v/>
      </c>
      <c r="CF254" s="989" t="str">
        <f t="shared" si="618"/>
        <v/>
      </c>
      <c r="CG254" s="989" t="str">
        <f t="shared" si="618"/>
        <v/>
      </c>
      <c r="CH254" s="990" t="str">
        <f t="shared" si="618"/>
        <v/>
      </c>
      <c r="CI254" s="990" t="str">
        <f t="shared" si="618"/>
        <v/>
      </c>
      <c r="CJ254" s="989" t="str">
        <f t="shared" si="618"/>
        <v/>
      </c>
      <c r="CK254" s="989" t="str">
        <f t="shared" si="618"/>
        <v/>
      </c>
      <c r="CL254" s="989" t="str">
        <f t="shared" si="618"/>
        <v/>
      </c>
      <c r="CM254" s="988" t="str">
        <f t="shared" si="618"/>
        <v/>
      </c>
      <c r="CN254" s="533" t="str">
        <f t="shared" si="556"/>
        <v/>
      </c>
      <c r="CO254" s="534" t="str">
        <f t="shared" si="557"/>
        <v/>
      </c>
      <c r="CP254" s="535" t="str">
        <f t="shared" si="558"/>
        <v/>
      </c>
      <c r="CQ254" s="535" t="str">
        <f t="shared" si="559"/>
        <v/>
      </c>
      <c r="CR254" s="535" t="str">
        <f t="shared" si="560"/>
        <v/>
      </c>
      <c r="CS254" s="535" t="str">
        <f t="shared" si="561"/>
        <v/>
      </c>
      <c r="CT254" s="535" t="str">
        <f t="shared" si="562"/>
        <v/>
      </c>
      <c r="CU254" s="536" t="str">
        <f t="shared" si="563"/>
        <v/>
      </c>
      <c r="CV254" s="536" t="str">
        <f t="shared" si="564"/>
        <v/>
      </c>
      <c r="CW254" s="536" t="str">
        <f t="shared" si="565"/>
        <v/>
      </c>
      <c r="CX254" s="535" t="str">
        <f t="shared" si="566"/>
        <v/>
      </c>
      <c r="CY254" s="535" t="str">
        <f t="shared" si="567"/>
        <v/>
      </c>
      <c r="CZ254" s="535" t="str">
        <f t="shared" si="568"/>
        <v/>
      </c>
      <c r="DA254" s="535" t="str">
        <f t="shared" si="569"/>
        <v/>
      </c>
      <c r="DB254" s="535" t="str">
        <f t="shared" si="570"/>
        <v/>
      </c>
      <c r="DC254" s="534" t="str">
        <f t="shared" si="571"/>
        <v/>
      </c>
      <c r="DD254" s="533" t="str">
        <f t="shared" si="572"/>
        <v/>
      </c>
      <c r="DE254" s="635">
        <f t="shared" si="573"/>
        <v>0</v>
      </c>
      <c r="DF254" s="95">
        <f t="shared" si="574"/>
        <v>0</v>
      </c>
      <c r="DG254" s="95">
        <f t="shared" si="575"/>
        <v>0</v>
      </c>
      <c r="DH254" s="95">
        <f t="shared" si="57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24">IF(B253="","",B253*B254)</f>
        <v/>
      </c>
      <c r="C255" s="612" t="str">
        <f t="shared" si="624"/>
        <v/>
      </c>
      <c r="D255" s="612" t="str">
        <f t="shared" si="624"/>
        <v/>
      </c>
      <c r="E255" s="612" t="str">
        <f t="shared" si="624"/>
        <v/>
      </c>
      <c r="F255" s="612" t="str">
        <f t="shared" si="624"/>
        <v/>
      </c>
      <c r="G255" s="612" t="str">
        <f t="shared" si="624"/>
        <v/>
      </c>
      <c r="H255" s="612" t="str">
        <f t="shared" si="624"/>
        <v/>
      </c>
      <c r="I255" s="612" t="str">
        <f t="shared" si="624"/>
        <v/>
      </c>
      <c r="J255" s="612" t="str">
        <f t="shared" si="624"/>
        <v/>
      </c>
      <c r="K255" s="612" t="str">
        <f t="shared" si="624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25">IF(T253="","",T253*T254)</f>
        <v/>
      </c>
      <c r="U255" s="612" t="str">
        <f t="shared" si="625"/>
        <v/>
      </c>
      <c r="V255" s="612" t="str">
        <f t="shared" si="625"/>
        <v/>
      </c>
      <c r="W255" s="612" t="str">
        <f t="shared" si="625"/>
        <v/>
      </c>
      <c r="X255" s="612" t="str">
        <f t="shared" si="625"/>
        <v/>
      </c>
      <c r="Y255" s="612" t="str">
        <f t="shared" si="625"/>
        <v/>
      </c>
      <c r="Z255" s="612" t="str">
        <f t="shared" si="625"/>
        <v/>
      </c>
      <c r="AA255" s="612" t="str">
        <f t="shared" si="625"/>
        <v/>
      </c>
      <c r="AB255" s="612" t="str">
        <f t="shared" si="625"/>
        <v/>
      </c>
      <c r="AC255" s="612" t="str">
        <f t="shared" si="625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26">IF(AL253="","",AL253*AL254)</f>
        <v/>
      </c>
      <c r="AM255" s="612" t="str">
        <f t="shared" si="626"/>
        <v/>
      </c>
      <c r="AN255" s="612" t="str">
        <f t="shared" si="626"/>
        <v/>
      </c>
      <c r="AO255" s="612" t="str">
        <f t="shared" si="626"/>
        <v/>
      </c>
      <c r="AP255" s="612" t="str">
        <f t="shared" si="626"/>
        <v/>
      </c>
      <c r="AQ255" s="612" t="str">
        <f t="shared" si="626"/>
        <v/>
      </c>
      <c r="AR255" s="612" t="str">
        <f t="shared" si="626"/>
        <v/>
      </c>
      <c r="AS255" s="612" t="str">
        <f t="shared" si="626"/>
        <v/>
      </c>
      <c r="AT255" s="612" t="str">
        <f t="shared" si="626"/>
        <v/>
      </c>
      <c r="AU255" s="612" t="str">
        <f t="shared" si="626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27">IF(BD253="","",BD253*BD254)</f>
        <v/>
      </c>
      <c r="BE255" s="1201" t="str">
        <f t="shared" si="627"/>
        <v/>
      </c>
      <c r="BF255" s="1201" t="str">
        <f t="shared" si="627"/>
        <v/>
      </c>
      <c r="BG255" s="1201" t="str">
        <f t="shared" si="627"/>
        <v/>
      </c>
      <c r="BH255" s="1201" t="str">
        <f t="shared" si="627"/>
        <v/>
      </c>
      <c r="BI255" s="1201" t="str">
        <f t="shared" si="627"/>
        <v/>
      </c>
      <c r="BJ255" s="1201" t="str">
        <f t="shared" si="627"/>
        <v/>
      </c>
      <c r="BK255" s="1201" t="str">
        <f t="shared" si="627"/>
        <v/>
      </c>
      <c r="BL255" s="1201" t="str">
        <f t="shared" si="627"/>
        <v/>
      </c>
      <c r="BM255" s="1201" t="str">
        <f t="shared" si="627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542"/>
        <v/>
      </c>
      <c r="CA255" s="582" t="str">
        <f t="shared" si="543"/>
        <v/>
      </c>
      <c r="CB255" s="582" t="str">
        <f t="shared" si="544"/>
        <v/>
      </c>
      <c r="CC255" s="670" t="str">
        <f t="shared" si="545"/>
        <v/>
      </c>
      <c r="CD255" s="988" t="str">
        <f t="shared" si="619"/>
        <v/>
      </c>
      <c r="CE255" s="989" t="str">
        <f t="shared" si="618"/>
        <v/>
      </c>
      <c r="CF255" s="989" t="str">
        <f t="shared" si="618"/>
        <v/>
      </c>
      <c r="CG255" s="989" t="str">
        <f t="shared" si="618"/>
        <v/>
      </c>
      <c r="CH255" s="990" t="str">
        <f t="shared" si="618"/>
        <v/>
      </c>
      <c r="CI255" s="990" t="str">
        <f t="shared" si="618"/>
        <v/>
      </c>
      <c r="CJ255" s="989" t="str">
        <f t="shared" si="618"/>
        <v/>
      </c>
      <c r="CK255" s="989" t="str">
        <f t="shared" si="618"/>
        <v/>
      </c>
      <c r="CL255" s="989" t="str">
        <f t="shared" si="618"/>
        <v/>
      </c>
      <c r="CM255" s="988" t="str">
        <f t="shared" si="618"/>
        <v/>
      </c>
      <c r="CN255" s="533" t="str">
        <f t="shared" si="556"/>
        <v/>
      </c>
      <c r="CO255" s="534" t="str">
        <f t="shared" si="557"/>
        <v/>
      </c>
      <c r="CP255" s="535" t="str">
        <f t="shared" si="558"/>
        <v/>
      </c>
      <c r="CQ255" s="535" t="str">
        <f t="shared" si="559"/>
        <v/>
      </c>
      <c r="CR255" s="535" t="str">
        <f t="shared" si="560"/>
        <v/>
      </c>
      <c r="CS255" s="535" t="str">
        <f t="shared" si="561"/>
        <v/>
      </c>
      <c r="CT255" s="535" t="str">
        <f t="shared" si="562"/>
        <v/>
      </c>
      <c r="CU255" s="536" t="str">
        <f t="shared" si="563"/>
        <v/>
      </c>
      <c r="CV255" s="536" t="str">
        <f t="shared" si="564"/>
        <v/>
      </c>
      <c r="CW255" s="536" t="str">
        <f t="shared" si="565"/>
        <v/>
      </c>
      <c r="CX255" s="535" t="str">
        <f t="shared" si="566"/>
        <v/>
      </c>
      <c r="CY255" s="535" t="str">
        <f t="shared" si="567"/>
        <v/>
      </c>
      <c r="CZ255" s="535" t="str">
        <f t="shared" si="568"/>
        <v/>
      </c>
      <c r="DA255" s="535" t="str">
        <f t="shared" si="569"/>
        <v/>
      </c>
      <c r="DB255" s="535" t="str">
        <f t="shared" si="570"/>
        <v/>
      </c>
      <c r="DC255" s="534" t="str">
        <f t="shared" si="571"/>
        <v/>
      </c>
      <c r="DD255" s="533" t="str">
        <f t="shared" si="572"/>
        <v/>
      </c>
      <c r="DE255" s="635">
        <f t="shared" si="573"/>
        <v>0</v>
      </c>
      <c r="DF255" s="95">
        <f t="shared" si="574"/>
        <v>0</v>
      </c>
      <c r="DG255" s="95">
        <f t="shared" si="575"/>
        <v>0</v>
      </c>
      <c r="DH255" s="95">
        <f t="shared" si="57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542"/>
        <v/>
      </c>
      <c r="CA256" s="582" t="str">
        <f t="shared" si="543"/>
        <v/>
      </c>
      <c r="CB256" s="582" t="str">
        <f t="shared" si="544"/>
        <v/>
      </c>
      <c r="CC256" s="670" t="str">
        <f t="shared" si="545"/>
        <v/>
      </c>
      <c r="CD256" s="988" t="str">
        <f t="shared" si="619"/>
        <v/>
      </c>
      <c r="CE256" s="989" t="str">
        <f t="shared" si="618"/>
        <v/>
      </c>
      <c r="CF256" s="989" t="str">
        <f t="shared" si="618"/>
        <v/>
      </c>
      <c r="CG256" s="989" t="str">
        <f t="shared" si="618"/>
        <v/>
      </c>
      <c r="CH256" s="990" t="str">
        <f t="shared" si="618"/>
        <v/>
      </c>
      <c r="CI256" s="990" t="str">
        <f t="shared" si="618"/>
        <v/>
      </c>
      <c r="CJ256" s="989" t="str">
        <f t="shared" si="618"/>
        <v/>
      </c>
      <c r="CK256" s="989" t="str">
        <f t="shared" si="618"/>
        <v/>
      </c>
      <c r="CL256" s="989" t="str">
        <f t="shared" si="618"/>
        <v/>
      </c>
      <c r="CM256" s="988" t="str">
        <f t="shared" si="618"/>
        <v/>
      </c>
      <c r="CN256" s="533" t="str">
        <f t="shared" si="556"/>
        <v/>
      </c>
      <c r="CO256" s="534" t="str">
        <f t="shared" si="557"/>
        <v/>
      </c>
      <c r="CP256" s="535" t="str">
        <f t="shared" si="558"/>
        <v/>
      </c>
      <c r="CQ256" s="535" t="str">
        <f t="shared" si="559"/>
        <v/>
      </c>
      <c r="CR256" s="535" t="str">
        <f t="shared" si="560"/>
        <v/>
      </c>
      <c r="CS256" s="535" t="str">
        <f t="shared" si="561"/>
        <v/>
      </c>
      <c r="CT256" s="535" t="str">
        <f t="shared" si="562"/>
        <v/>
      </c>
      <c r="CU256" s="536" t="str">
        <f t="shared" si="563"/>
        <v/>
      </c>
      <c r="CV256" s="536" t="str">
        <f t="shared" si="564"/>
        <v/>
      </c>
      <c r="CW256" s="536" t="str">
        <f t="shared" si="565"/>
        <v/>
      </c>
      <c r="CX256" s="535" t="str">
        <f t="shared" si="566"/>
        <v/>
      </c>
      <c r="CY256" s="535" t="str">
        <f t="shared" si="567"/>
        <v/>
      </c>
      <c r="CZ256" s="535" t="str">
        <f t="shared" si="568"/>
        <v/>
      </c>
      <c r="DA256" s="535" t="str">
        <f t="shared" si="569"/>
        <v/>
      </c>
      <c r="DB256" s="535" t="str">
        <f t="shared" si="570"/>
        <v/>
      </c>
      <c r="DC256" s="534" t="str">
        <f t="shared" si="571"/>
        <v/>
      </c>
      <c r="DD256" s="533" t="str">
        <f t="shared" si="572"/>
        <v/>
      </c>
      <c r="DE256" s="635">
        <f t="shared" si="573"/>
        <v>0</v>
      </c>
      <c r="DF256" s="95">
        <f t="shared" si="574"/>
        <v>0</v>
      </c>
      <c r="DG256" s="95">
        <f t="shared" si="575"/>
        <v>0</v>
      </c>
      <c r="DH256" s="95">
        <f t="shared" si="57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28">IF(B251="","",(B251-B253-B256)*B252/B$46/365/$G$1)</f>
        <v/>
      </c>
      <c r="C257" s="615" t="str">
        <f t="shared" si="628"/>
        <v/>
      </c>
      <c r="D257" s="615" t="str">
        <f t="shared" si="628"/>
        <v/>
      </c>
      <c r="E257" s="615" t="str">
        <f t="shared" si="628"/>
        <v/>
      </c>
      <c r="F257" s="615" t="str">
        <f t="shared" si="628"/>
        <v/>
      </c>
      <c r="G257" s="615" t="str">
        <f t="shared" si="628"/>
        <v/>
      </c>
      <c r="H257" s="615" t="str">
        <f t="shared" si="628"/>
        <v/>
      </c>
      <c r="I257" s="615" t="str">
        <f t="shared" si="628"/>
        <v/>
      </c>
      <c r="J257" s="615" t="str">
        <f t="shared" si="628"/>
        <v/>
      </c>
      <c r="K257" s="615" t="str">
        <f t="shared" si="628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629">IF(T251="","",(T251-T253-T256)*T252/T$46/365/$G$1)</f>
        <v/>
      </c>
      <c r="U257" s="615" t="str">
        <f t="shared" si="629"/>
        <v/>
      </c>
      <c r="V257" s="615" t="str">
        <f t="shared" si="629"/>
        <v/>
      </c>
      <c r="W257" s="615" t="str">
        <f t="shared" si="629"/>
        <v/>
      </c>
      <c r="X257" s="615" t="str">
        <f t="shared" si="629"/>
        <v/>
      </c>
      <c r="Y257" s="615" t="str">
        <f t="shared" si="629"/>
        <v/>
      </c>
      <c r="Z257" s="615" t="str">
        <f t="shared" si="629"/>
        <v/>
      </c>
      <c r="AA257" s="615" t="str">
        <f t="shared" si="629"/>
        <v/>
      </c>
      <c r="AB257" s="615" t="str">
        <f t="shared" si="629"/>
        <v/>
      </c>
      <c r="AC257" s="615" t="str">
        <f t="shared" si="629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630">IF(AL251="","",(AL251-AL253-AL256)*AL252/AL$46/365/$G$1)</f>
        <v/>
      </c>
      <c r="AM257" s="615" t="str">
        <f t="shared" si="630"/>
        <v/>
      </c>
      <c r="AN257" s="615" t="str">
        <f t="shared" si="630"/>
        <v/>
      </c>
      <c r="AO257" s="615" t="str">
        <f t="shared" si="630"/>
        <v/>
      </c>
      <c r="AP257" s="615" t="str">
        <f t="shared" si="630"/>
        <v/>
      </c>
      <c r="AQ257" s="615" t="str">
        <f t="shared" si="630"/>
        <v/>
      </c>
      <c r="AR257" s="615" t="str">
        <f t="shared" si="630"/>
        <v/>
      </c>
      <c r="AS257" s="615" t="str">
        <f t="shared" si="630"/>
        <v/>
      </c>
      <c r="AT257" s="615" t="str">
        <f t="shared" si="630"/>
        <v/>
      </c>
      <c r="AU257" s="615" t="str">
        <f t="shared" si="630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631">IF(BD251="","",(BD251-BD253-BD256)*BD252/BD$46/365/$G$1)</f>
        <v/>
      </c>
      <c r="BE257" s="1202" t="str">
        <f t="shared" si="631"/>
        <v/>
      </c>
      <c r="BF257" s="1202" t="str">
        <f t="shared" si="631"/>
        <v/>
      </c>
      <c r="BG257" s="1202" t="str">
        <f t="shared" si="631"/>
        <v/>
      </c>
      <c r="BH257" s="1202" t="str">
        <f t="shared" si="631"/>
        <v/>
      </c>
      <c r="BI257" s="1202" t="str">
        <f t="shared" si="631"/>
        <v/>
      </c>
      <c r="BJ257" s="1202" t="str">
        <f t="shared" si="631"/>
        <v/>
      </c>
      <c r="BK257" s="1202" t="str">
        <f t="shared" si="631"/>
        <v/>
      </c>
      <c r="BL257" s="1202" t="str">
        <f t="shared" si="631"/>
        <v/>
      </c>
      <c r="BM257" s="1202" t="str">
        <f t="shared" si="631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542"/>
        <v/>
      </c>
      <c r="CA257" s="607" t="str">
        <f t="shared" si="543"/>
        <v/>
      </c>
      <c r="CB257" s="607" t="str">
        <f t="shared" si="544"/>
        <v/>
      </c>
      <c r="CC257" s="673" t="str">
        <f t="shared" si="54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63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632"/>
        <v/>
      </c>
      <c r="CG257" s="992" t="str">
        <f t="shared" si="632"/>
        <v/>
      </c>
      <c r="CH257" s="993" t="str">
        <f t="shared" si="632"/>
        <v/>
      </c>
      <c r="CI257" s="993" t="str">
        <f t="shared" si="632"/>
        <v/>
      </c>
      <c r="CJ257" s="992" t="str">
        <f t="shared" si="632"/>
        <v/>
      </c>
      <c r="CK257" s="992" t="str">
        <f t="shared" si="632"/>
        <v/>
      </c>
      <c r="CL257" s="992" t="str">
        <f t="shared" si="632"/>
        <v/>
      </c>
      <c r="CM257" s="991" t="str">
        <f t="shared" si="632"/>
        <v/>
      </c>
      <c r="CN257" s="521" t="str">
        <f t="shared" si="556"/>
        <v/>
      </c>
      <c r="CO257" s="522" t="str">
        <f t="shared" si="557"/>
        <v/>
      </c>
      <c r="CP257" s="523" t="str">
        <f t="shared" si="558"/>
        <v/>
      </c>
      <c r="CQ257" s="523" t="str">
        <f t="shared" si="559"/>
        <v/>
      </c>
      <c r="CR257" s="523" t="str">
        <f t="shared" si="560"/>
        <v/>
      </c>
      <c r="CS257" s="523" t="str">
        <f t="shared" si="561"/>
        <v/>
      </c>
      <c r="CT257" s="523" t="str">
        <f t="shared" si="562"/>
        <v/>
      </c>
      <c r="CU257" s="524" t="str">
        <f t="shared" si="563"/>
        <v/>
      </c>
      <c r="CV257" s="524" t="str">
        <f t="shared" si="564"/>
        <v/>
      </c>
      <c r="CW257" s="524" t="str">
        <f t="shared" si="565"/>
        <v/>
      </c>
      <c r="CX257" s="523" t="str">
        <f t="shared" si="566"/>
        <v/>
      </c>
      <c r="CY257" s="523" t="str">
        <f t="shared" si="567"/>
        <v/>
      </c>
      <c r="CZ257" s="523" t="str">
        <f t="shared" si="568"/>
        <v/>
      </c>
      <c r="DA257" s="523" t="str">
        <f t="shared" si="569"/>
        <v/>
      </c>
      <c r="DB257" s="523" t="str">
        <f t="shared" si="570"/>
        <v/>
      </c>
      <c r="DC257" s="522" t="str">
        <f t="shared" si="571"/>
        <v/>
      </c>
      <c r="DD257" s="521" t="str">
        <f t="shared" si="572"/>
        <v/>
      </c>
      <c r="DE257" s="635">
        <f t="shared" si="573"/>
        <v>0</v>
      </c>
      <c r="DF257" s="95">
        <f t="shared" si="574"/>
        <v>0</v>
      </c>
      <c r="DG257" s="95">
        <f t="shared" si="575"/>
        <v>0</v>
      </c>
      <c r="DH257" s="95">
        <f t="shared" si="57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542"/>
        <v/>
      </c>
      <c r="CA258" s="582" t="str">
        <f t="shared" si="543"/>
        <v/>
      </c>
      <c r="CB258" s="582" t="str">
        <f t="shared" si="544"/>
        <v/>
      </c>
      <c r="CC258" s="670" t="str">
        <f t="shared" si="545"/>
        <v/>
      </c>
      <c r="CD258" s="988" t="str">
        <f t="shared" ref="CD258:CD263" si="63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632"/>
        <v/>
      </c>
      <c r="CF258" s="989" t="str">
        <f t="shared" si="632"/>
        <v/>
      </c>
      <c r="CG258" s="989" t="str">
        <f t="shared" si="632"/>
        <v/>
      </c>
      <c r="CH258" s="990" t="str">
        <f t="shared" si="632"/>
        <v/>
      </c>
      <c r="CI258" s="990" t="str">
        <f t="shared" si="632"/>
        <v/>
      </c>
      <c r="CJ258" s="989" t="str">
        <f t="shared" si="632"/>
        <v/>
      </c>
      <c r="CK258" s="989" t="str">
        <f t="shared" si="632"/>
        <v/>
      </c>
      <c r="CL258" s="989" t="str">
        <f t="shared" si="632"/>
        <v/>
      </c>
      <c r="CM258" s="988" t="str">
        <f t="shared" si="632"/>
        <v/>
      </c>
      <c r="CN258" s="533" t="str">
        <f t="shared" si="556"/>
        <v/>
      </c>
      <c r="CO258" s="534" t="str">
        <f t="shared" si="557"/>
        <v/>
      </c>
      <c r="CP258" s="535" t="str">
        <f t="shared" si="558"/>
        <v/>
      </c>
      <c r="CQ258" s="535" t="str">
        <f t="shared" si="559"/>
        <v/>
      </c>
      <c r="CR258" s="535" t="str">
        <f t="shared" si="560"/>
        <v/>
      </c>
      <c r="CS258" s="535" t="str">
        <f t="shared" si="561"/>
        <v/>
      </c>
      <c r="CT258" s="535" t="str">
        <f t="shared" si="562"/>
        <v/>
      </c>
      <c r="CU258" s="536" t="str">
        <f t="shared" si="563"/>
        <v/>
      </c>
      <c r="CV258" s="536" t="str">
        <f t="shared" si="564"/>
        <v/>
      </c>
      <c r="CW258" s="536" t="str">
        <f t="shared" si="565"/>
        <v/>
      </c>
      <c r="CX258" s="535" t="str">
        <f t="shared" si="566"/>
        <v/>
      </c>
      <c r="CY258" s="535" t="str">
        <f t="shared" si="567"/>
        <v/>
      </c>
      <c r="CZ258" s="535" t="str">
        <f t="shared" si="568"/>
        <v/>
      </c>
      <c r="DA258" s="535" t="str">
        <f t="shared" si="569"/>
        <v/>
      </c>
      <c r="DB258" s="535" t="str">
        <f t="shared" si="570"/>
        <v/>
      </c>
      <c r="DC258" s="534" t="str">
        <f t="shared" si="571"/>
        <v/>
      </c>
      <c r="DD258" s="533" t="str">
        <f t="shared" si="572"/>
        <v/>
      </c>
      <c r="DE258" s="635">
        <f t="shared" si="573"/>
        <v>0</v>
      </c>
      <c r="DF258" s="95">
        <f t="shared" si="574"/>
        <v>0</v>
      </c>
      <c r="DG258" s="95">
        <f t="shared" si="575"/>
        <v>0</v>
      </c>
      <c r="DH258" s="95">
        <f t="shared" si="57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634">3500*$K$1</f>
        <v>14653.8</v>
      </c>
      <c r="D259" s="683">
        <f t="shared" si="634"/>
        <v>14653.8</v>
      </c>
      <c r="E259" s="683">
        <f t="shared" si="634"/>
        <v>14653.8</v>
      </c>
      <c r="F259" s="683">
        <f t="shared" si="634"/>
        <v>14653.8</v>
      </c>
      <c r="G259" s="683">
        <f t="shared" si="634"/>
        <v>14653.8</v>
      </c>
      <c r="H259" s="683">
        <f t="shared" si="634"/>
        <v>14653.8</v>
      </c>
      <c r="I259" s="683">
        <f t="shared" si="634"/>
        <v>14653.8</v>
      </c>
      <c r="J259" s="683">
        <f t="shared" si="634"/>
        <v>14653.8</v>
      </c>
      <c r="K259" s="683">
        <f t="shared" si="634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635">3500*$K$1</f>
        <v>14653.8</v>
      </c>
      <c r="V259" s="683">
        <f t="shared" si="635"/>
        <v>14653.8</v>
      </c>
      <c r="W259" s="683">
        <f t="shared" si="635"/>
        <v>14653.8</v>
      </c>
      <c r="X259" s="683">
        <f t="shared" si="635"/>
        <v>14653.8</v>
      </c>
      <c r="Y259" s="683">
        <f t="shared" si="635"/>
        <v>14653.8</v>
      </c>
      <c r="Z259" s="683">
        <f t="shared" si="635"/>
        <v>14653.8</v>
      </c>
      <c r="AA259" s="683">
        <f t="shared" si="635"/>
        <v>14653.8</v>
      </c>
      <c r="AB259" s="683">
        <f t="shared" si="635"/>
        <v>14653.8</v>
      </c>
      <c r="AC259" s="683">
        <f t="shared" si="635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636">3500*$K$1</f>
        <v>14653.8</v>
      </c>
      <c r="AN259" s="683">
        <f t="shared" si="636"/>
        <v>14653.8</v>
      </c>
      <c r="AO259" s="683">
        <f t="shared" si="636"/>
        <v>14653.8</v>
      </c>
      <c r="AP259" s="683">
        <f t="shared" si="636"/>
        <v>14653.8</v>
      </c>
      <c r="AQ259" s="683">
        <f t="shared" si="636"/>
        <v>14653.8</v>
      </c>
      <c r="AR259" s="683">
        <f t="shared" si="636"/>
        <v>14653.8</v>
      </c>
      <c r="AS259" s="683">
        <f t="shared" si="636"/>
        <v>14653.8</v>
      </c>
      <c r="AT259" s="683">
        <f t="shared" si="636"/>
        <v>14653.8</v>
      </c>
      <c r="AU259" s="683">
        <f t="shared" si="636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637">3500*$K$1</f>
        <v>14653.8</v>
      </c>
      <c r="BF259" s="1225">
        <f t="shared" si="637"/>
        <v>14653.8</v>
      </c>
      <c r="BG259" s="1225">
        <f t="shared" si="637"/>
        <v>14653.8</v>
      </c>
      <c r="BH259" s="1225">
        <f t="shared" si="637"/>
        <v>14653.8</v>
      </c>
      <c r="BI259" s="1225">
        <f t="shared" si="637"/>
        <v>14653.8</v>
      </c>
      <c r="BJ259" s="1225">
        <f t="shared" si="637"/>
        <v>14653.8</v>
      </c>
      <c r="BK259" s="1225">
        <f t="shared" si="637"/>
        <v>14653.8</v>
      </c>
      <c r="BL259" s="1225">
        <f t="shared" si="637"/>
        <v>14653.8</v>
      </c>
      <c r="BM259" s="1225">
        <f t="shared" si="637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>3500*$K$1</f>
        <v>14653.8</v>
      </c>
      <c r="BW259" s="683">
        <f>3500*$K$1</f>
        <v>14653.8</v>
      </c>
      <c r="BX259" s="683">
        <f>3500*$K$1</f>
        <v>14653.8</v>
      </c>
      <c r="BY259" s="683">
        <f>3500*$K$1</f>
        <v>14653.8</v>
      </c>
      <c r="BZ259" s="582">
        <f t="shared" si="542"/>
        <v>14653.800000000001</v>
      </c>
      <c r="CA259" s="582">
        <f t="shared" si="543"/>
        <v>14653.800000000001</v>
      </c>
      <c r="CB259" s="582">
        <f t="shared" si="544"/>
        <v>14653.800000000001</v>
      </c>
      <c r="CC259" s="670">
        <f t="shared" si="545"/>
        <v>14653.800000000001</v>
      </c>
      <c r="CD259" s="988">
        <f t="shared" si="633"/>
        <v>14653.8</v>
      </c>
      <c r="CE259" s="989">
        <f t="shared" si="632"/>
        <v>14653.8</v>
      </c>
      <c r="CF259" s="989">
        <f t="shared" si="632"/>
        <v>14653.8</v>
      </c>
      <c r="CG259" s="989">
        <f t="shared" si="632"/>
        <v>14653.8</v>
      </c>
      <c r="CH259" s="990">
        <f t="shared" si="632"/>
        <v>14653.8</v>
      </c>
      <c r="CI259" s="990">
        <f t="shared" si="632"/>
        <v>14653.8</v>
      </c>
      <c r="CJ259" s="989">
        <f t="shared" si="632"/>
        <v>14653.8</v>
      </c>
      <c r="CK259" s="989">
        <f t="shared" si="632"/>
        <v>14653.8</v>
      </c>
      <c r="CL259" s="989">
        <f t="shared" si="632"/>
        <v>14653.8</v>
      </c>
      <c r="CM259" s="988">
        <f t="shared" si="632"/>
        <v>14653.8</v>
      </c>
      <c r="CN259" s="533" t="str">
        <f t="shared" si="556"/>
        <v/>
      </c>
      <c r="CO259" s="534" t="str">
        <f t="shared" si="557"/>
        <v/>
      </c>
      <c r="CP259" s="535" t="str">
        <f t="shared" si="558"/>
        <v/>
      </c>
      <c r="CQ259" s="535" t="str">
        <f t="shared" si="559"/>
        <v/>
      </c>
      <c r="CR259" s="535">
        <f t="shared" si="560"/>
        <v>14653.8</v>
      </c>
      <c r="CS259" s="535">
        <f t="shared" si="561"/>
        <v>14653.8</v>
      </c>
      <c r="CT259" s="535">
        <f t="shared" si="562"/>
        <v>14653.8</v>
      </c>
      <c r="CU259" s="536">
        <f t="shared" si="563"/>
        <v>14653.8</v>
      </c>
      <c r="CV259" s="536">
        <f t="shared" si="564"/>
        <v>14653.8</v>
      </c>
      <c r="CW259" s="536">
        <f t="shared" si="565"/>
        <v>14653.8</v>
      </c>
      <c r="CX259" s="535">
        <f t="shared" si="566"/>
        <v>14653.8</v>
      </c>
      <c r="CY259" s="535">
        <f t="shared" si="567"/>
        <v>14653.8</v>
      </c>
      <c r="CZ259" s="535">
        <f t="shared" si="568"/>
        <v>14653.8</v>
      </c>
      <c r="DA259" s="535">
        <f t="shared" si="569"/>
        <v>14653.8</v>
      </c>
      <c r="DB259" s="535" t="str">
        <f t="shared" si="570"/>
        <v/>
      </c>
      <c r="DC259" s="534" t="str">
        <f t="shared" si="571"/>
        <v/>
      </c>
      <c r="DD259" s="533" t="str">
        <f t="shared" si="572"/>
        <v/>
      </c>
      <c r="DE259" s="635">
        <f t="shared" si="573"/>
        <v>10</v>
      </c>
      <c r="DF259" s="95">
        <f t="shared" si="574"/>
        <v>10</v>
      </c>
      <c r="DG259" s="95">
        <f t="shared" si="575"/>
        <v>10</v>
      </c>
      <c r="DH259" s="95">
        <f t="shared" si="57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542"/>
        <v/>
      </c>
      <c r="CA260" s="582" t="str">
        <f t="shared" si="543"/>
        <v/>
      </c>
      <c r="CB260" s="582" t="str">
        <f t="shared" si="544"/>
        <v/>
      </c>
      <c r="CC260" s="670" t="str">
        <f t="shared" si="545"/>
        <v/>
      </c>
      <c r="CD260" s="988" t="str">
        <f t="shared" si="633"/>
        <v/>
      </c>
      <c r="CE260" s="989" t="str">
        <f t="shared" si="632"/>
        <v/>
      </c>
      <c r="CF260" s="989" t="str">
        <f t="shared" si="632"/>
        <v/>
      </c>
      <c r="CG260" s="989" t="str">
        <f t="shared" si="632"/>
        <v/>
      </c>
      <c r="CH260" s="990" t="str">
        <f t="shared" si="632"/>
        <v/>
      </c>
      <c r="CI260" s="990" t="str">
        <f t="shared" si="632"/>
        <v/>
      </c>
      <c r="CJ260" s="989" t="str">
        <f t="shared" si="632"/>
        <v/>
      </c>
      <c r="CK260" s="989" t="str">
        <f t="shared" si="632"/>
        <v/>
      </c>
      <c r="CL260" s="989" t="str">
        <f t="shared" si="632"/>
        <v/>
      </c>
      <c r="CM260" s="988" t="str">
        <f t="shared" si="632"/>
        <v/>
      </c>
      <c r="CN260" s="533" t="str">
        <f t="shared" si="556"/>
        <v/>
      </c>
      <c r="CO260" s="534" t="str">
        <f t="shared" si="557"/>
        <v/>
      </c>
      <c r="CP260" s="535" t="str">
        <f t="shared" si="558"/>
        <v/>
      </c>
      <c r="CQ260" s="535" t="str">
        <f t="shared" si="559"/>
        <v/>
      </c>
      <c r="CR260" s="535" t="str">
        <f t="shared" si="560"/>
        <v/>
      </c>
      <c r="CS260" s="535" t="str">
        <f t="shared" si="561"/>
        <v/>
      </c>
      <c r="CT260" s="535" t="str">
        <f t="shared" si="562"/>
        <v/>
      </c>
      <c r="CU260" s="536" t="str">
        <f t="shared" si="563"/>
        <v/>
      </c>
      <c r="CV260" s="536" t="str">
        <f t="shared" si="564"/>
        <v/>
      </c>
      <c r="CW260" s="536" t="str">
        <f t="shared" si="565"/>
        <v/>
      </c>
      <c r="CX260" s="535" t="str">
        <f t="shared" si="566"/>
        <v/>
      </c>
      <c r="CY260" s="535" t="str">
        <f t="shared" si="567"/>
        <v/>
      </c>
      <c r="CZ260" s="535" t="str">
        <f t="shared" si="568"/>
        <v/>
      </c>
      <c r="DA260" s="535" t="str">
        <f t="shared" si="569"/>
        <v/>
      </c>
      <c r="DB260" s="535" t="str">
        <f t="shared" si="570"/>
        <v/>
      </c>
      <c r="DC260" s="534" t="str">
        <f t="shared" si="571"/>
        <v/>
      </c>
      <c r="DD260" s="533" t="str">
        <f t="shared" si="572"/>
        <v/>
      </c>
      <c r="DE260" s="635">
        <f t="shared" ref="DE260:DE291" si="638">COUNT(B260:R260)</f>
        <v>0</v>
      </c>
      <c r="DF260" s="95">
        <f t="shared" ref="DF260:DF291" si="639">COUNT(T260:AJ260)</f>
        <v>0</v>
      </c>
      <c r="DG260" s="95">
        <f t="shared" ref="DG260:DG291" si="640">COUNT(AL260:BB260)</f>
        <v>0</v>
      </c>
      <c r="DH260" s="95">
        <f t="shared" ref="DH260:DH291" si="641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542"/>
        <v/>
      </c>
      <c r="CA261" s="582" t="str">
        <f t="shared" si="543"/>
        <v/>
      </c>
      <c r="CB261" s="582" t="str">
        <f t="shared" si="544"/>
        <v/>
      </c>
      <c r="CC261" s="670" t="str">
        <f t="shared" si="545"/>
        <v/>
      </c>
      <c r="CD261" s="988" t="str">
        <f t="shared" si="633"/>
        <v/>
      </c>
      <c r="CE261" s="989" t="str">
        <f t="shared" si="632"/>
        <v/>
      </c>
      <c r="CF261" s="989" t="str">
        <f t="shared" si="632"/>
        <v/>
      </c>
      <c r="CG261" s="989" t="str">
        <f t="shared" si="632"/>
        <v/>
      </c>
      <c r="CH261" s="990" t="str">
        <f t="shared" si="632"/>
        <v/>
      </c>
      <c r="CI261" s="990" t="str">
        <f t="shared" si="632"/>
        <v/>
      </c>
      <c r="CJ261" s="989" t="str">
        <f t="shared" si="632"/>
        <v/>
      </c>
      <c r="CK261" s="989" t="str">
        <f t="shared" si="632"/>
        <v/>
      </c>
      <c r="CL261" s="989" t="str">
        <f t="shared" si="632"/>
        <v/>
      </c>
      <c r="CM261" s="988" t="str">
        <f t="shared" si="632"/>
        <v/>
      </c>
      <c r="CN261" s="533" t="str">
        <f t="shared" si="556"/>
        <v/>
      </c>
      <c r="CO261" s="534" t="str">
        <f t="shared" si="557"/>
        <v/>
      </c>
      <c r="CP261" s="535" t="str">
        <f t="shared" si="558"/>
        <v/>
      </c>
      <c r="CQ261" s="535" t="str">
        <f t="shared" si="559"/>
        <v/>
      </c>
      <c r="CR261" s="535" t="str">
        <f t="shared" si="560"/>
        <v/>
      </c>
      <c r="CS261" s="535" t="str">
        <f t="shared" si="561"/>
        <v/>
      </c>
      <c r="CT261" s="535" t="str">
        <f t="shared" si="562"/>
        <v/>
      </c>
      <c r="CU261" s="536" t="str">
        <f t="shared" si="563"/>
        <v/>
      </c>
      <c r="CV261" s="536" t="str">
        <f t="shared" si="564"/>
        <v/>
      </c>
      <c r="CW261" s="536" t="str">
        <f t="shared" si="565"/>
        <v/>
      </c>
      <c r="CX261" s="535" t="str">
        <f t="shared" si="566"/>
        <v/>
      </c>
      <c r="CY261" s="535" t="str">
        <f t="shared" si="567"/>
        <v/>
      </c>
      <c r="CZ261" s="535" t="str">
        <f t="shared" si="568"/>
        <v/>
      </c>
      <c r="DA261" s="535" t="str">
        <f t="shared" si="569"/>
        <v/>
      </c>
      <c r="DB261" s="535" t="str">
        <f t="shared" si="570"/>
        <v/>
      </c>
      <c r="DC261" s="534" t="str">
        <f t="shared" si="571"/>
        <v/>
      </c>
      <c r="DD261" s="533" t="str">
        <f t="shared" si="572"/>
        <v/>
      </c>
      <c r="DE261" s="635">
        <f t="shared" si="638"/>
        <v>0</v>
      </c>
      <c r="DF261" s="95">
        <f t="shared" si="639"/>
        <v>0</v>
      </c>
      <c r="DG261" s="95">
        <f t="shared" si="640"/>
        <v>0</v>
      </c>
      <c r="DH261" s="95">
        <f t="shared" si="641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642">IF(B260="","",B260*B261)</f>
        <v/>
      </c>
      <c r="C262" s="612" t="str">
        <f t="shared" si="642"/>
        <v/>
      </c>
      <c r="D262" s="612" t="str">
        <f t="shared" si="642"/>
        <v/>
      </c>
      <c r="E262" s="612" t="str">
        <f t="shared" si="642"/>
        <v/>
      </c>
      <c r="F262" s="612" t="str">
        <f t="shared" si="642"/>
        <v/>
      </c>
      <c r="G262" s="612" t="str">
        <f t="shared" si="642"/>
        <v/>
      </c>
      <c r="H262" s="612" t="str">
        <f t="shared" si="642"/>
        <v/>
      </c>
      <c r="I262" s="612" t="str">
        <f t="shared" si="642"/>
        <v/>
      </c>
      <c r="J262" s="612" t="str">
        <f t="shared" si="642"/>
        <v/>
      </c>
      <c r="K262" s="612" t="str">
        <f t="shared" si="642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643">IF(T260="","",T260*T261)</f>
        <v/>
      </c>
      <c r="U262" s="612" t="str">
        <f t="shared" si="643"/>
        <v/>
      </c>
      <c r="V262" s="612" t="str">
        <f t="shared" si="643"/>
        <v/>
      </c>
      <c r="W262" s="612" t="str">
        <f t="shared" si="643"/>
        <v/>
      </c>
      <c r="X262" s="612" t="str">
        <f t="shared" si="643"/>
        <v/>
      </c>
      <c r="Y262" s="612" t="str">
        <f t="shared" si="643"/>
        <v/>
      </c>
      <c r="Z262" s="612" t="str">
        <f t="shared" si="643"/>
        <v/>
      </c>
      <c r="AA262" s="612" t="str">
        <f t="shared" si="643"/>
        <v/>
      </c>
      <c r="AB262" s="612" t="str">
        <f t="shared" si="643"/>
        <v/>
      </c>
      <c r="AC262" s="612" t="str">
        <f t="shared" si="643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644">IF(AL260="","",AL260*AL261)</f>
        <v/>
      </c>
      <c r="AM262" s="612" t="str">
        <f t="shared" si="644"/>
        <v/>
      </c>
      <c r="AN262" s="612" t="str">
        <f t="shared" si="644"/>
        <v/>
      </c>
      <c r="AO262" s="612" t="str">
        <f t="shared" si="644"/>
        <v/>
      </c>
      <c r="AP262" s="612" t="str">
        <f t="shared" si="644"/>
        <v/>
      </c>
      <c r="AQ262" s="612" t="str">
        <f t="shared" si="644"/>
        <v/>
      </c>
      <c r="AR262" s="612" t="str">
        <f t="shared" si="644"/>
        <v/>
      </c>
      <c r="AS262" s="612" t="str">
        <f t="shared" si="644"/>
        <v/>
      </c>
      <c r="AT262" s="612" t="str">
        <f t="shared" si="644"/>
        <v/>
      </c>
      <c r="AU262" s="612" t="str">
        <f t="shared" si="644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645">IF(BD260="","",BD260*BD261)</f>
        <v/>
      </c>
      <c r="BE262" s="1201" t="str">
        <f t="shared" si="645"/>
        <v/>
      </c>
      <c r="BF262" s="1201" t="str">
        <f t="shared" si="645"/>
        <v/>
      </c>
      <c r="BG262" s="1201" t="str">
        <f t="shared" si="645"/>
        <v/>
      </c>
      <c r="BH262" s="1201" t="str">
        <f t="shared" si="645"/>
        <v/>
      </c>
      <c r="BI262" s="1201" t="str">
        <f t="shared" si="645"/>
        <v/>
      </c>
      <c r="BJ262" s="1201" t="str">
        <f t="shared" si="645"/>
        <v/>
      </c>
      <c r="BK262" s="1201" t="str">
        <f t="shared" si="645"/>
        <v/>
      </c>
      <c r="BL262" s="1201" t="str">
        <f t="shared" si="645"/>
        <v/>
      </c>
      <c r="BM262" s="1201" t="str">
        <f t="shared" si="645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542"/>
        <v/>
      </c>
      <c r="CA262" s="582" t="str">
        <f t="shared" si="543"/>
        <v/>
      </c>
      <c r="CB262" s="582" t="str">
        <f t="shared" si="544"/>
        <v/>
      </c>
      <c r="CC262" s="670" t="str">
        <f t="shared" si="545"/>
        <v/>
      </c>
      <c r="CD262" s="988" t="str">
        <f t="shared" si="633"/>
        <v/>
      </c>
      <c r="CE262" s="989" t="str">
        <f t="shared" si="632"/>
        <v/>
      </c>
      <c r="CF262" s="989" t="str">
        <f t="shared" si="632"/>
        <v/>
      </c>
      <c r="CG262" s="989" t="str">
        <f t="shared" si="632"/>
        <v/>
      </c>
      <c r="CH262" s="990" t="str">
        <f t="shared" si="632"/>
        <v/>
      </c>
      <c r="CI262" s="990" t="str">
        <f t="shared" si="632"/>
        <v/>
      </c>
      <c r="CJ262" s="989" t="str">
        <f t="shared" si="632"/>
        <v/>
      </c>
      <c r="CK262" s="989" t="str">
        <f t="shared" si="632"/>
        <v/>
      </c>
      <c r="CL262" s="989" t="str">
        <f t="shared" si="632"/>
        <v/>
      </c>
      <c r="CM262" s="988" t="str">
        <f t="shared" si="632"/>
        <v/>
      </c>
      <c r="CN262" s="533" t="str">
        <f t="shared" si="556"/>
        <v/>
      </c>
      <c r="CO262" s="534" t="str">
        <f t="shared" si="557"/>
        <v/>
      </c>
      <c r="CP262" s="535" t="str">
        <f t="shared" si="558"/>
        <v/>
      </c>
      <c r="CQ262" s="535" t="str">
        <f t="shared" si="559"/>
        <v/>
      </c>
      <c r="CR262" s="535" t="str">
        <f t="shared" si="560"/>
        <v/>
      </c>
      <c r="CS262" s="535" t="str">
        <f t="shared" si="561"/>
        <v/>
      </c>
      <c r="CT262" s="535" t="str">
        <f t="shared" si="562"/>
        <v/>
      </c>
      <c r="CU262" s="536" t="str">
        <f t="shared" si="563"/>
        <v/>
      </c>
      <c r="CV262" s="536" t="str">
        <f t="shared" si="564"/>
        <v/>
      </c>
      <c r="CW262" s="536" t="str">
        <f t="shared" si="565"/>
        <v/>
      </c>
      <c r="CX262" s="535" t="str">
        <f t="shared" si="566"/>
        <v/>
      </c>
      <c r="CY262" s="535" t="str">
        <f t="shared" si="567"/>
        <v/>
      </c>
      <c r="CZ262" s="535" t="str">
        <f t="shared" si="568"/>
        <v/>
      </c>
      <c r="DA262" s="535" t="str">
        <f t="shared" si="569"/>
        <v/>
      </c>
      <c r="DB262" s="535" t="str">
        <f t="shared" si="570"/>
        <v/>
      </c>
      <c r="DC262" s="534" t="str">
        <f t="shared" si="571"/>
        <v/>
      </c>
      <c r="DD262" s="533" t="str">
        <f t="shared" si="572"/>
        <v/>
      </c>
      <c r="DE262" s="635">
        <f t="shared" si="638"/>
        <v>0</v>
      </c>
      <c r="DF262" s="95">
        <f t="shared" si="639"/>
        <v>0</v>
      </c>
      <c r="DG262" s="95">
        <f t="shared" si="640"/>
        <v>0</v>
      </c>
      <c r="DH262" s="95">
        <f t="shared" si="641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542"/>
        <v/>
      </c>
      <c r="CA263" s="582" t="str">
        <f t="shared" si="543"/>
        <v/>
      </c>
      <c r="CB263" s="582" t="str">
        <f t="shared" si="544"/>
        <v/>
      </c>
      <c r="CC263" s="670" t="str">
        <f t="shared" si="545"/>
        <v/>
      </c>
      <c r="CD263" s="988" t="str">
        <f t="shared" si="633"/>
        <v/>
      </c>
      <c r="CE263" s="989" t="str">
        <f t="shared" si="632"/>
        <v/>
      </c>
      <c r="CF263" s="989" t="str">
        <f t="shared" si="632"/>
        <v/>
      </c>
      <c r="CG263" s="989" t="str">
        <f t="shared" si="632"/>
        <v/>
      </c>
      <c r="CH263" s="990" t="str">
        <f t="shared" si="632"/>
        <v/>
      </c>
      <c r="CI263" s="990" t="str">
        <f t="shared" si="632"/>
        <v/>
      </c>
      <c r="CJ263" s="989" t="str">
        <f t="shared" si="632"/>
        <v/>
      </c>
      <c r="CK263" s="989" t="str">
        <f t="shared" si="632"/>
        <v/>
      </c>
      <c r="CL263" s="989" t="str">
        <f t="shared" si="632"/>
        <v/>
      </c>
      <c r="CM263" s="988" t="str">
        <f t="shared" si="632"/>
        <v/>
      </c>
      <c r="CN263" s="533" t="str">
        <f t="shared" si="556"/>
        <v/>
      </c>
      <c r="CO263" s="534" t="str">
        <f t="shared" si="557"/>
        <v/>
      </c>
      <c r="CP263" s="535" t="str">
        <f t="shared" si="558"/>
        <v/>
      </c>
      <c r="CQ263" s="535" t="str">
        <f t="shared" si="559"/>
        <v/>
      </c>
      <c r="CR263" s="535" t="str">
        <f t="shared" si="560"/>
        <v/>
      </c>
      <c r="CS263" s="535" t="str">
        <f t="shared" si="561"/>
        <v/>
      </c>
      <c r="CT263" s="535" t="str">
        <f t="shared" si="562"/>
        <v/>
      </c>
      <c r="CU263" s="536" t="str">
        <f t="shared" si="563"/>
        <v/>
      </c>
      <c r="CV263" s="536" t="str">
        <f t="shared" si="564"/>
        <v/>
      </c>
      <c r="CW263" s="536" t="str">
        <f t="shared" si="565"/>
        <v/>
      </c>
      <c r="CX263" s="535" t="str">
        <f t="shared" si="566"/>
        <v/>
      </c>
      <c r="CY263" s="535" t="str">
        <f t="shared" si="567"/>
        <v/>
      </c>
      <c r="CZ263" s="535" t="str">
        <f t="shared" si="568"/>
        <v/>
      </c>
      <c r="DA263" s="535" t="str">
        <f t="shared" si="569"/>
        <v/>
      </c>
      <c r="DB263" s="535" t="str">
        <f t="shared" si="570"/>
        <v/>
      </c>
      <c r="DC263" s="534" t="str">
        <f t="shared" si="571"/>
        <v/>
      </c>
      <c r="DD263" s="533" t="str">
        <f t="shared" si="572"/>
        <v/>
      </c>
      <c r="DE263" s="635">
        <f t="shared" si="638"/>
        <v>0</v>
      </c>
      <c r="DF263" s="95">
        <f t="shared" si="639"/>
        <v>0</v>
      </c>
      <c r="DG263" s="95">
        <f t="shared" si="640"/>
        <v>0</v>
      </c>
      <c r="DH263" s="95">
        <f t="shared" si="641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646">IF(B258="","",(B258-B260-B263)*B259/B$46/365/$G$1)</f>
        <v/>
      </c>
      <c r="C264" s="615" t="str">
        <f t="shared" si="646"/>
        <v/>
      </c>
      <c r="D264" s="615" t="str">
        <f t="shared" si="646"/>
        <v/>
      </c>
      <c r="E264" s="615" t="str">
        <f t="shared" si="646"/>
        <v/>
      </c>
      <c r="F264" s="615" t="str">
        <f t="shared" si="646"/>
        <v/>
      </c>
      <c r="G264" s="615" t="str">
        <f t="shared" si="646"/>
        <v/>
      </c>
      <c r="H264" s="615" t="str">
        <f t="shared" si="646"/>
        <v/>
      </c>
      <c r="I264" s="615" t="str">
        <f t="shared" si="646"/>
        <v/>
      </c>
      <c r="J264" s="615" t="str">
        <f t="shared" si="646"/>
        <v/>
      </c>
      <c r="K264" s="615" t="str">
        <f t="shared" si="646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647">IF(T258="","",(T258-T260-T263)*T259/T$46/365/$G$1)</f>
        <v/>
      </c>
      <c r="U264" s="615" t="str">
        <f t="shared" si="647"/>
        <v/>
      </c>
      <c r="V264" s="615" t="str">
        <f t="shared" si="647"/>
        <v/>
      </c>
      <c r="W264" s="615" t="str">
        <f t="shared" si="647"/>
        <v/>
      </c>
      <c r="X264" s="615" t="str">
        <f t="shared" si="647"/>
        <v/>
      </c>
      <c r="Y264" s="615" t="str">
        <f t="shared" si="647"/>
        <v/>
      </c>
      <c r="Z264" s="615" t="str">
        <f t="shared" si="647"/>
        <v/>
      </c>
      <c r="AA264" s="615" t="str">
        <f t="shared" si="647"/>
        <v/>
      </c>
      <c r="AB264" s="615" t="str">
        <f t="shared" si="647"/>
        <v/>
      </c>
      <c r="AC264" s="615" t="str">
        <f t="shared" si="647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648">IF(AL258="","",(AL258-AL260-AL263)*AL259/AL$46/365/$G$1)</f>
        <v/>
      </c>
      <c r="AM264" s="615" t="str">
        <f t="shared" si="648"/>
        <v/>
      </c>
      <c r="AN264" s="615" t="str">
        <f t="shared" si="648"/>
        <v/>
      </c>
      <c r="AO264" s="615" t="str">
        <f t="shared" si="648"/>
        <v/>
      </c>
      <c r="AP264" s="615" t="str">
        <f t="shared" si="648"/>
        <v/>
      </c>
      <c r="AQ264" s="615" t="str">
        <f t="shared" si="648"/>
        <v/>
      </c>
      <c r="AR264" s="615" t="str">
        <f t="shared" si="648"/>
        <v/>
      </c>
      <c r="AS264" s="615" t="str">
        <f t="shared" si="648"/>
        <v/>
      </c>
      <c r="AT264" s="615" t="str">
        <f t="shared" si="648"/>
        <v/>
      </c>
      <c r="AU264" s="615" t="str">
        <f t="shared" si="648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649">IF(BD258="","",(BD258-BD260-BD263)*BD259/BD$46/365/$G$1)</f>
        <v/>
      </c>
      <c r="BE264" s="1202" t="str">
        <f t="shared" si="649"/>
        <v/>
      </c>
      <c r="BF264" s="1202" t="str">
        <f t="shared" si="649"/>
        <v/>
      </c>
      <c r="BG264" s="1202" t="str">
        <f t="shared" si="649"/>
        <v/>
      </c>
      <c r="BH264" s="1202" t="str">
        <f t="shared" si="649"/>
        <v/>
      </c>
      <c r="BI264" s="1202" t="str">
        <f t="shared" si="649"/>
        <v/>
      </c>
      <c r="BJ264" s="1202" t="str">
        <f t="shared" si="649"/>
        <v/>
      </c>
      <c r="BK264" s="1202" t="str">
        <f t="shared" si="649"/>
        <v/>
      </c>
      <c r="BL264" s="1202" t="str">
        <f t="shared" si="649"/>
        <v/>
      </c>
      <c r="BM264" s="1202" t="str">
        <f t="shared" si="649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542"/>
        <v/>
      </c>
      <c r="CA264" s="607" t="str">
        <f t="shared" si="543"/>
        <v/>
      </c>
      <c r="CB264" s="607" t="str">
        <f t="shared" si="544"/>
        <v/>
      </c>
      <c r="CC264" s="673" t="str">
        <f t="shared" si="54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65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650"/>
        <v/>
      </c>
      <c r="CG264" s="992" t="str">
        <f t="shared" si="650"/>
        <v/>
      </c>
      <c r="CH264" s="993" t="str">
        <f t="shared" si="650"/>
        <v/>
      </c>
      <c r="CI264" s="993" t="str">
        <f t="shared" si="650"/>
        <v/>
      </c>
      <c r="CJ264" s="992" t="str">
        <f t="shared" si="650"/>
        <v/>
      </c>
      <c r="CK264" s="992" t="str">
        <f t="shared" si="650"/>
        <v/>
      </c>
      <c r="CL264" s="992" t="str">
        <f t="shared" si="650"/>
        <v/>
      </c>
      <c r="CM264" s="991" t="str">
        <f t="shared" si="650"/>
        <v/>
      </c>
      <c r="CN264" s="521" t="str">
        <f t="shared" si="556"/>
        <v/>
      </c>
      <c r="CO264" s="522" t="str">
        <f t="shared" si="557"/>
        <v/>
      </c>
      <c r="CP264" s="523" t="str">
        <f t="shared" si="558"/>
        <v/>
      </c>
      <c r="CQ264" s="523" t="str">
        <f t="shared" si="559"/>
        <v/>
      </c>
      <c r="CR264" s="523" t="str">
        <f t="shared" si="560"/>
        <v/>
      </c>
      <c r="CS264" s="523" t="str">
        <f t="shared" si="561"/>
        <v/>
      </c>
      <c r="CT264" s="523" t="str">
        <f t="shared" si="562"/>
        <v/>
      </c>
      <c r="CU264" s="524" t="str">
        <f t="shared" si="563"/>
        <v/>
      </c>
      <c r="CV264" s="524" t="str">
        <f t="shared" si="564"/>
        <v/>
      </c>
      <c r="CW264" s="524" t="str">
        <f t="shared" si="565"/>
        <v/>
      </c>
      <c r="CX264" s="523" t="str">
        <f t="shared" si="566"/>
        <v/>
      </c>
      <c r="CY264" s="523" t="str">
        <f t="shared" si="567"/>
        <v/>
      </c>
      <c r="CZ264" s="523" t="str">
        <f t="shared" si="568"/>
        <v/>
      </c>
      <c r="DA264" s="523" t="str">
        <f t="shared" si="569"/>
        <v/>
      </c>
      <c r="DB264" s="523" t="str">
        <f t="shared" si="570"/>
        <v/>
      </c>
      <c r="DC264" s="522" t="str">
        <f t="shared" si="571"/>
        <v/>
      </c>
      <c r="DD264" s="521" t="str">
        <f t="shared" si="572"/>
        <v/>
      </c>
      <c r="DE264" s="635">
        <f t="shared" si="638"/>
        <v>0</v>
      </c>
      <c r="DF264" s="95">
        <f t="shared" si="639"/>
        <v>0</v>
      </c>
      <c r="DG264" s="95">
        <f t="shared" si="640"/>
        <v>0</v>
      </c>
      <c r="DH264" s="95">
        <f t="shared" si="641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542"/>
        <v/>
      </c>
      <c r="CA265" s="582" t="str">
        <f t="shared" si="543"/>
        <v/>
      </c>
      <c r="CB265" s="582" t="str">
        <f t="shared" si="544"/>
        <v/>
      </c>
      <c r="CC265" s="670" t="str">
        <f t="shared" si="545"/>
        <v/>
      </c>
      <c r="CD265" s="988" t="str">
        <f t="shared" ref="CD265:CD270" si="65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650"/>
        <v/>
      </c>
      <c r="CF265" s="989" t="str">
        <f t="shared" si="650"/>
        <v/>
      </c>
      <c r="CG265" s="989" t="str">
        <f t="shared" si="650"/>
        <v/>
      </c>
      <c r="CH265" s="990" t="str">
        <f t="shared" si="650"/>
        <v/>
      </c>
      <c r="CI265" s="990" t="str">
        <f t="shared" si="650"/>
        <v/>
      </c>
      <c r="CJ265" s="989" t="str">
        <f t="shared" si="650"/>
        <v/>
      </c>
      <c r="CK265" s="989" t="str">
        <f t="shared" si="650"/>
        <v/>
      </c>
      <c r="CL265" s="989" t="str">
        <f t="shared" si="650"/>
        <v/>
      </c>
      <c r="CM265" s="988" t="str">
        <f t="shared" si="650"/>
        <v/>
      </c>
      <c r="CN265" s="533" t="str">
        <f t="shared" si="556"/>
        <v/>
      </c>
      <c r="CO265" s="534" t="str">
        <f t="shared" si="557"/>
        <v/>
      </c>
      <c r="CP265" s="535" t="str">
        <f t="shared" si="558"/>
        <v/>
      </c>
      <c r="CQ265" s="535" t="str">
        <f t="shared" si="559"/>
        <v/>
      </c>
      <c r="CR265" s="535" t="str">
        <f t="shared" si="560"/>
        <v/>
      </c>
      <c r="CS265" s="535" t="str">
        <f t="shared" si="561"/>
        <v/>
      </c>
      <c r="CT265" s="535" t="str">
        <f t="shared" si="562"/>
        <v/>
      </c>
      <c r="CU265" s="536" t="str">
        <f t="shared" si="563"/>
        <v/>
      </c>
      <c r="CV265" s="536" t="str">
        <f t="shared" si="564"/>
        <v/>
      </c>
      <c r="CW265" s="536" t="str">
        <f t="shared" si="565"/>
        <v/>
      </c>
      <c r="CX265" s="535" t="str">
        <f t="shared" si="566"/>
        <v/>
      </c>
      <c r="CY265" s="535" t="str">
        <f t="shared" si="567"/>
        <v/>
      </c>
      <c r="CZ265" s="535" t="str">
        <f t="shared" si="568"/>
        <v/>
      </c>
      <c r="DA265" s="535" t="str">
        <f t="shared" si="569"/>
        <v/>
      </c>
      <c r="DB265" s="535" t="str">
        <f t="shared" si="570"/>
        <v/>
      </c>
      <c r="DC265" s="534" t="str">
        <f t="shared" si="571"/>
        <v/>
      </c>
      <c r="DD265" s="533" t="str">
        <f t="shared" si="572"/>
        <v/>
      </c>
      <c r="DE265" s="635">
        <f t="shared" si="638"/>
        <v>0</v>
      </c>
      <c r="DF265" s="95">
        <f t="shared" si="639"/>
        <v>0</v>
      </c>
      <c r="DG265" s="95">
        <f t="shared" si="640"/>
        <v>0</v>
      </c>
      <c r="DH265" s="95">
        <f t="shared" si="641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652">3400*$K$1</f>
        <v>14235.119999999999</v>
      </c>
      <c r="D266" s="683">
        <f t="shared" si="652"/>
        <v>14235.119999999999</v>
      </c>
      <c r="E266" s="683">
        <f t="shared" si="652"/>
        <v>14235.119999999999</v>
      </c>
      <c r="F266" s="683">
        <f t="shared" si="652"/>
        <v>14235.119999999999</v>
      </c>
      <c r="G266" s="683">
        <f t="shared" si="652"/>
        <v>14235.119999999999</v>
      </c>
      <c r="H266" s="683">
        <f t="shared" si="652"/>
        <v>14235.119999999999</v>
      </c>
      <c r="I266" s="683">
        <f t="shared" si="652"/>
        <v>14235.119999999999</v>
      </c>
      <c r="J266" s="683">
        <f t="shared" si="652"/>
        <v>14235.119999999999</v>
      </c>
      <c r="K266" s="683">
        <f t="shared" si="652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653">3400*$K$1</f>
        <v>14235.119999999999</v>
      </c>
      <c r="V266" s="683">
        <f t="shared" si="653"/>
        <v>14235.119999999999</v>
      </c>
      <c r="W266" s="683">
        <f t="shared" si="653"/>
        <v>14235.119999999999</v>
      </c>
      <c r="X266" s="683">
        <f t="shared" si="653"/>
        <v>14235.119999999999</v>
      </c>
      <c r="Y266" s="683">
        <f t="shared" si="653"/>
        <v>14235.119999999999</v>
      </c>
      <c r="Z266" s="683">
        <f t="shared" si="653"/>
        <v>14235.119999999999</v>
      </c>
      <c r="AA266" s="683">
        <f t="shared" si="653"/>
        <v>14235.119999999999</v>
      </c>
      <c r="AB266" s="683">
        <f t="shared" si="653"/>
        <v>14235.119999999999</v>
      </c>
      <c r="AC266" s="683">
        <f t="shared" si="653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654">3400*$K$1</f>
        <v>14235.119999999999</v>
      </c>
      <c r="AN266" s="683">
        <f t="shared" si="654"/>
        <v>14235.119999999999</v>
      </c>
      <c r="AO266" s="683">
        <f t="shared" si="654"/>
        <v>14235.119999999999</v>
      </c>
      <c r="AP266" s="683">
        <f t="shared" si="654"/>
        <v>14235.119999999999</v>
      </c>
      <c r="AQ266" s="683">
        <f t="shared" si="654"/>
        <v>14235.119999999999</v>
      </c>
      <c r="AR266" s="683">
        <f t="shared" si="654"/>
        <v>14235.119999999999</v>
      </c>
      <c r="AS266" s="683">
        <f t="shared" si="654"/>
        <v>14235.119999999999</v>
      </c>
      <c r="AT266" s="683">
        <f t="shared" si="654"/>
        <v>14235.119999999999</v>
      </c>
      <c r="AU266" s="683">
        <f t="shared" si="654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655">3400*$K$1</f>
        <v>14235.119999999999</v>
      </c>
      <c r="BF266" s="1225">
        <f t="shared" si="655"/>
        <v>14235.119999999999</v>
      </c>
      <c r="BG266" s="1225">
        <f t="shared" si="655"/>
        <v>14235.119999999999</v>
      </c>
      <c r="BH266" s="1225">
        <f t="shared" si="655"/>
        <v>14235.119999999999</v>
      </c>
      <c r="BI266" s="1225">
        <f t="shared" si="655"/>
        <v>14235.119999999999</v>
      </c>
      <c r="BJ266" s="1225">
        <f t="shared" si="655"/>
        <v>14235.119999999999</v>
      </c>
      <c r="BK266" s="1225">
        <f t="shared" si="655"/>
        <v>14235.119999999999</v>
      </c>
      <c r="BL266" s="1225">
        <f t="shared" si="655"/>
        <v>14235.119999999999</v>
      </c>
      <c r="BM266" s="1225">
        <f t="shared" si="655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>3400*$K$1</f>
        <v>14235.119999999999</v>
      </c>
      <c r="BW266" s="683">
        <f>3400*$K$1</f>
        <v>14235.119999999999</v>
      </c>
      <c r="BX266" s="683">
        <f>3400*$K$1</f>
        <v>14235.119999999999</v>
      </c>
      <c r="BY266" s="683">
        <f>3400*$K$1</f>
        <v>14235.119999999999</v>
      </c>
      <c r="BZ266" s="582">
        <f t="shared" si="542"/>
        <v>14235.119999999999</v>
      </c>
      <c r="CA266" s="582">
        <f t="shared" si="543"/>
        <v>14235.119999999999</v>
      </c>
      <c r="CB266" s="582">
        <f t="shared" si="544"/>
        <v>14235.119999999999</v>
      </c>
      <c r="CC266" s="670">
        <f t="shared" si="545"/>
        <v>14235.119999999999</v>
      </c>
      <c r="CD266" s="988">
        <f t="shared" si="651"/>
        <v>14235.119999999999</v>
      </c>
      <c r="CE266" s="989">
        <f t="shared" si="650"/>
        <v>14235.119999999999</v>
      </c>
      <c r="CF266" s="989">
        <f t="shared" si="650"/>
        <v>14235.119999999999</v>
      </c>
      <c r="CG266" s="989">
        <f t="shared" si="650"/>
        <v>14235.119999999999</v>
      </c>
      <c r="CH266" s="990">
        <f t="shared" si="650"/>
        <v>14235.119999999999</v>
      </c>
      <c r="CI266" s="990">
        <f t="shared" si="650"/>
        <v>14235.119999999999</v>
      </c>
      <c r="CJ266" s="989">
        <f t="shared" si="650"/>
        <v>14235.119999999999</v>
      </c>
      <c r="CK266" s="989">
        <f t="shared" si="650"/>
        <v>14235.119999999999</v>
      </c>
      <c r="CL266" s="989">
        <f t="shared" si="650"/>
        <v>14235.119999999999</v>
      </c>
      <c r="CM266" s="988">
        <f t="shared" si="650"/>
        <v>14235.119999999999</v>
      </c>
      <c r="CN266" s="533" t="str">
        <f t="shared" si="556"/>
        <v/>
      </c>
      <c r="CO266" s="534" t="str">
        <f t="shared" si="557"/>
        <v/>
      </c>
      <c r="CP266" s="535" t="str">
        <f t="shared" si="558"/>
        <v/>
      </c>
      <c r="CQ266" s="535" t="str">
        <f t="shared" si="559"/>
        <v/>
      </c>
      <c r="CR266" s="535">
        <f t="shared" si="560"/>
        <v>14235.119999999999</v>
      </c>
      <c r="CS266" s="535">
        <f t="shared" si="561"/>
        <v>14235.119999999999</v>
      </c>
      <c r="CT266" s="535">
        <f t="shared" si="562"/>
        <v>14235.119999999999</v>
      </c>
      <c r="CU266" s="536">
        <f t="shared" si="563"/>
        <v>14235.119999999999</v>
      </c>
      <c r="CV266" s="536">
        <f t="shared" si="564"/>
        <v>14235.119999999999</v>
      </c>
      <c r="CW266" s="536">
        <f t="shared" si="565"/>
        <v>14235.119999999999</v>
      </c>
      <c r="CX266" s="535">
        <f t="shared" si="566"/>
        <v>14235.119999999999</v>
      </c>
      <c r="CY266" s="535">
        <f t="shared" si="567"/>
        <v>14235.119999999999</v>
      </c>
      <c r="CZ266" s="535">
        <f t="shared" si="568"/>
        <v>14235.119999999999</v>
      </c>
      <c r="DA266" s="535">
        <f t="shared" si="569"/>
        <v>14235.119999999999</v>
      </c>
      <c r="DB266" s="535" t="str">
        <f t="shared" si="570"/>
        <v/>
      </c>
      <c r="DC266" s="534" t="str">
        <f t="shared" si="571"/>
        <v/>
      </c>
      <c r="DD266" s="533" t="str">
        <f t="shared" si="572"/>
        <v/>
      </c>
      <c r="DE266" s="635">
        <f t="shared" si="638"/>
        <v>10</v>
      </c>
      <c r="DF266" s="95">
        <f t="shared" si="639"/>
        <v>10</v>
      </c>
      <c r="DG266" s="95">
        <f t="shared" si="640"/>
        <v>10</v>
      </c>
      <c r="DH266" s="95">
        <f t="shared" si="641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542"/>
        <v/>
      </c>
      <c r="CA267" s="582" t="str">
        <f t="shared" si="543"/>
        <v/>
      </c>
      <c r="CB267" s="582" t="str">
        <f t="shared" si="544"/>
        <v/>
      </c>
      <c r="CC267" s="670" t="str">
        <f t="shared" si="545"/>
        <v/>
      </c>
      <c r="CD267" s="988" t="str">
        <f t="shared" si="651"/>
        <v/>
      </c>
      <c r="CE267" s="989" t="str">
        <f t="shared" si="650"/>
        <v/>
      </c>
      <c r="CF267" s="989" t="str">
        <f t="shared" si="650"/>
        <v/>
      </c>
      <c r="CG267" s="989" t="str">
        <f t="shared" si="650"/>
        <v/>
      </c>
      <c r="CH267" s="990" t="str">
        <f t="shared" si="650"/>
        <v/>
      </c>
      <c r="CI267" s="990" t="str">
        <f t="shared" si="650"/>
        <v/>
      </c>
      <c r="CJ267" s="989" t="str">
        <f t="shared" si="650"/>
        <v/>
      </c>
      <c r="CK267" s="989" t="str">
        <f t="shared" si="650"/>
        <v/>
      </c>
      <c r="CL267" s="989" t="str">
        <f t="shared" si="650"/>
        <v/>
      </c>
      <c r="CM267" s="988" t="str">
        <f t="shared" si="650"/>
        <v/>
      </c>
      <c r="CN267" s="533" t="str">
        <f t="shared" si="556"/>
        <v/>
      </c>
      <c r="CO267" s="534" t="str">
        <f t="shared" si="557"/>
        <v/>
      </c>
      <c r="CP267" s="535" t="str">
        <f t="shared" si="558"/>
        <v/>
      </c>
      <c r="CQ267" s="535" t="str">
        <f t="shared" si="559"/>
        <v/>
      </c>
      <c r="CR267" s="535" t="str">
        <f t="shared" si="560"/>
        <v/>
      </c>
      <c r="CS267" s="535" t="str">
        <f t="shared" si="561"/>
        <v/>
      </c>
      <c r="CT267" s="535" t="str">
        <f t="shared" si="562"/>
        <v/>
      </c>
      <c r="CU267" s="536" t="str">
        <f t="shared" si="563"/>
        <v/>
      </c>
      <c r="CV267" s="536" t="str">
        <f t="shared" si="564"/>
        <v/>
      </c>
      <c r="CW267" s="536" t="str">
        <f t="shared" si="565"/>
        <v/>
      </c>
      <c r="CX267" s="535" t="str">
        <f t="shared" si="566"/>
        <v/>
      </c>
      <c r="CY267" s="535" t="str">
        <f t="shared" si="567"/>
        <v/>
      </c>
      <c r="CZ267" s="535" t="str">
        <f t="shared" si="568"/>
        <v/>
      </c>
      <c r="DA267" s="535" t="str">
        <f t="shared" si="569"/>
        <v/>
      </c>
      <c r="DB267" s="535" t="str">
        <f t="shared" si="570"/>
        <v/>
      </c>
      <c r="DC267" s="534" t="str">
        <f t="shared" si="571"/>
        <v/>
      </c>
      <c r="DD267" s="533" t="str">
        <f t="shared" si="572"/>
        <v/>
      </c>
      <c r="DE267" s="635">
        <f t="shared" si="638"/>
        <v>0</v>
      </c>
      <c r="DF267" s="95">
        <f t="shared" si="639"/>
        <v>0</v>
      </c>
      <c r="DG267" s="95">
        <f t="shared" si="640"/>
        <v>0</v>
      </c>
      <c r="DH267" s="95">
        <f t="shared" si="641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542"/>
        <v/>
      </c>
      <c r="CA268" s="582" t="str">
        <f t="shared" si="543"/>
        <v/>
      </c>
      <c r="CB268" s="582" t="str">
        <f t="shared" si="544"/>
        <v/>
      </c>
      <c r="CC268" s="670" t="str">
        <f t="shared" si="545"/>
        <v/>
      </c>
      <c r="CD268" s="988" t="str">
        <f t="shared" si="651"/>
        <v/>
      </c>
      <c r="CE268" s="989" t="str">
        <f t="shared" si="650"/>
        <v/>
      </c>
      <c r="CF268" s="989" t="str">
        <f t="shared" si="650"/>
        <v/>
      </c>
      <c r="CG268" s="989" t="str">
        <f t="shared" si="650"/>
        <v/>
      </c>
      <c r="CH268" s="990" t="str">
        <f t="shared" si="650"/>
        <v/>
      </c>
      <c r="CI268" s="990" t="str">
        <f t="shared" si="650"/>
        <v/>
      </c>
      <c r="CJ268" s="989" t="str">
        <f t="shared" si="650"/>
        <v/>
      </c>
      <c r="CK268" s="989" t="str">
        <f t="shared" si="650"/>
        <v/>
      </c>
      <c r="CL268" s="989" t="str">
        <f t="shared" si="650"/>
        <v/>
      </c>
      <c r="CM268" s="988" t="str">
        <f t="shared" si="650"/>
        <v/>
      </c>
      <c r="CN268" s="533" t="str">
        <f t="shared" si="556"/>
        <v/>
      </c>
      <c r="CO268" s="534" t="str">
        <f t="shared" si="557"/>
        <v/>
      </c>
      <c r="CP268" s="535" t="str">
        <f t="shared" si="558"/>
        <v/>
      </c>
      <c r="CQ268" s="535" t="str">
        <f t="shared" si="559"/>
        <v/>
      </c>
      <c r="CR268" s="535" t="str">
        <f t="shared" si="560"/>
        <v/>
      </c>
      <c r="CS268" s="535" t="str">
        <f t="shared" si="561"/>
        <v/>
      </c>
      <c r="CT268" s="535" t="str">
        <f t="shared" si="562"/>
        <v/>
      </c>
      <c r="CU268" s="536" t="str">
        <f t="shared" si="563"/>
        <v/>
      </c>
      <c r="CV268" s="536" t="str">
        <f t="shared" si="564"/>
        <v/>
      </c>
      <c r="CW268" s="536" t="str">
        <f t="shared" si="565"/>
        <v/>
      </c>
      <c r="CX268" s="535" t="str">
        <f t="shared" si="566"/>
        <v/>
      </c>
      <c r="CY268" s="535" t="str">
        <f t="shared" si="567"/>
        <v/>
      </c>
      <c r="CZ268" s="535" t="str">
        <f t="shared" si="568"/>
        <v/>
      </c>
      <c r="DA268" s="535" t="str">
        <f t="shared" si="569"/>
        <v/>
      </c>
      <c r="DB268" s="535" t="str">
        <f t="shared" si="570"/>
        <v/>
      </c>
      <c r="DC268" s="534" t="str">
        <f t="shared" si="571"/>
        <v/>
      </c>
      <c r="DD268" s="533" t="str">
        <f t="shared" si="572"/>
        <v/>
      </c>
      <c r="DE268" s="635">
        <f t="shared" si="638"/>
        <v>0</v>
      </c>
      <c r="DF268" s="95">
        <f t="shared" si="639"/>
        <v>0</v>
      </c>
      <c r="DG268" s="95">
        <f t="shared" si="640"/>
        <v>0</v>
      </c>
      <c r="DH268" s="95">
        <f t="shared" si="641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656">IF(B267="","",B267*B268)</f>
        <v/>
      </c>
      <c r="C269" s="612" t="str">
        <f t="shared" si="656"/>
        <v/>
      </c>
      <c r="D269" s="612" t="str">
        <f t="shared" si="656"/>
        <v/>
      </c>
      <c r="E269" s="612" t="str">
        <f t="shared" si="656"/>
        <v/>
      </c>
      <c r="F269" s="612" t="str">
        <f t="shared" si="656"/>
        <v/>
      </c>
      <c r="G269" s="612" t="str">
        <f t="shared" si="656"/>
        <v/>
      </c>
      <c r="H269" s="612" t="str">
        <f t="shared" si="656"/>
        <v/>
      </c>
      <c r="I269" s="612" t="str">
        <f t="shared" si="656"/>
        <v/>
      </c>
      <c r="J269" s="612" t="str">
        <f t="shared" si="656"/>
        <v/>
      </c>
      <c r="K269" s="612" t="str">
        <f t="shared" si="656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657">IF(T267="","",T267*T268)</f>
        <v/>
      </c>
      <c r="U269" s="612" t="str">
        <f t="shared" si="657"/>
        <v/>
      </c>
      <c r="V269" s="612" t="str">
        <f t="shared" si="657"/>
        <v/>
      </c>
      <c r="W269" s="612" t="str">
        <f t="shared" si="657"/>
        <v/>
      </c>
      <c r="X269" s="612" t="str">
        <f t="shared" si="657"/>
        <v/>
      </c>
      <c r="Y269" s="612" t="str">
        <f t="shared" si="657"/>
        <v/>
      </c>
      <c r="Z269" s="612" t="str">
        <f t="shared" si="657"/>
        <v/>
      </c>
      <c r="AA269" s="612" t="str">
        <f t="shared" si="657"/>
        <v/>
      </c>
      <c r="AB269" s="612" t="str">
        <f t="shared" si="657"/>
        <v/>
      </c>
      <c r="AC269" s="612" t="str">
        <f t="shared" si="657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658">IF(AL267="","",AL267*AL268)</f>
        <v/>
      </c>
      <c r="AM269" s="612" t="str">
        <f t="shared" si="658"/>
        <v/>
      </c>
      <c r="AN269" s="612" t="str">
        <f t="shared" si="658"/>
        <v/>
      </c>
      <c r="AO269" s="612" t="str">
        <f t="shared" si="658"/>
        <v/>
      </c>
      <c r="AP269" s="612" t="str">
        <f t="shared" si="658"/>
        <v/>
      </c>
      <c r="AQ269" s="612" t="str">
        <f t="shared" si="658"/>
        <v/>
      </c>
      <c r="AR269" s="612" t="str">
        <f t="shared" si="658"/>
        <v/>
      </c>
      <c r="AS269" s="612" t="str">
        <f t="shared" si="658"/>
        <v/>
      </c>
      <c r="AT269" s="612" t="str">
        <f t="shared" si="658"/>
        <v/>
      </c>
      <c r="AU269" s="612" t="str">
        <f t="shared" si="658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659">IF(BD267="","",BD267*BD268)</f>
        <v/>
      </c>
      <c r="BE269" s="1201" t="str">
        <f t="shared" si="659"/>
        <v/>
      </c>
      <c r="BF269" s="1201" t="str">
        <f t="shared" si="659"/>
        <v/>
      </c>
      <c r="BG269" s="1201" t="str">
        <f t="shared" si="659"/>
        <v/>
      </c>
      <c r="BH269" s="1201" t="str">
        <f t="shared" si="659"/>
        <v/>
      </c>
      <c r="BI269" s="1201" t="str">
        <f t="shared" si="659"/>
        <v/>
      </c>
      <c r="BJ269" s="1201" t="str">
        <f t="shared" si="659"/>
        <v/>
      </c>
      <c r="BK269" s="1201" t="str">
        <f t="shared" si="659"/>
        <v/>
      </c>
      <c r="BL269" s="1201" t="str">
        <f t="shared" si="659"/>
        <v/>
      </c>
      <c r="BM269" s="1201" t="str">
        <f t="shared" si="659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542"/>
        <v/>
      </c>
      <c r="CA269" s="582" t="str">
        <f t="shared" si="543"/>
        <v/>
      </c>
      <c r="CB269" s="582" t="str">
        <f t="shared" si="544"/>
        <v/>
      </c>
      <c r="CC269" s="670" t="str">
        <f t="shared" si="545"/>
        <v/>
      </c>
      <c r="CD269" s="988" t="str">
        <f t="shared" si="651"/>
        <v/>
      </c>
      <c r="CE269" s="989" t="str">
        <f t="shared" si="650"/>
        <v/>
      </c>
      <c r="CF269" s="989" t="str">
        <f t="shared" si="650"/>
        <v/>
      </c>
      <c r="CG269" s="989" t="str">
        <f t="shared" si="650"/>
        <v/>
      </c>
      <c r="CH269" s="990" t="str">
        <f t="shared" si="650"/>
        <v/>
      </c>
      <c r="CI269" s="990" t="str">
        <f t="shared" si="650"/>
        <v/>
      </c>
      <c r="CJ269" s="989" t="str">
        <f t="shared" si="650"/>
        <v/>
      </c>
      <c r="CK269" s="989" t="str">
        <f t="shared" si="650"/>
        <v/>
      </c>
      <c r="CL269" s="989" t="str">
        <f t="shared" si="650"/>
        <v/>
      </c>
      <c r="CM269" s="988" t="str">
        <f t="shared" si="650"/>
        <v/>
      </c>
      <c r="CN269" s="533" t="str">
        <f t="shared" si="556"/>
        <v/>
      </c>
      <c r="CO269" s="534" t="str">
        <f t="shared" si="557"/>
        <v/>
      </c>
      <c r="CP269" s="535" t="str">
        <f t="shared" si="558"/>
        <v/>
      </c>
      <c r="CQ269" s="535" t="str">
        <f t="shared" si="559"/>
        <v/>
      </c>
      <c r="CR269" s="535" t="str">
        <f t="shared" si="560"/>
        <v/>
      </c>
      <c r="CS269" s="535" t="str">
        <f t="shared" si="561"/>
        <v/>
      </c>
      <c r="CT269" s="535" t="str">
        <f t="shared" si="562"/>
        <v/>
      </c>
      <c r="CU269" s="536" t="str">
        <f t="shared" si="563"/>
        <v/>
      </c>
      <c r="CV269" s="536" t="str">
        <f t="shared" si="564"/>
        <v/>
      </c>
      <c r="CW269" s="536" t="str">
        <f t="shared" si="565"/>
        <v/>
      </c>
      <c r="CX269" s="535" t="str">
        <f t="shared" si="566"/>
        <v/>
      </c>
      <c r="CY269" s="535" t="str">
        <f t="shared" si="567"/>
        <v/>
      </c>
      <c r="CZ269" s="535" t="str">
        <f t="shared" si="568"/>
        <v/>
      </c>
      <c r="DA269" s="535" t="str">
        <f t="shared" si="569"/>
        <v/>
      </c>
      <c r="DB269" s="535" t="str">
        <f t="shared" si="570"/>
        <v/>
      </c>
      <c r="DC269" s="534" t="str">
        <f t="shared" si="571"/>
        <v/>
      </c>
      <c r="DD269" s="533" t="str">
        <f t="shared" si="572"/>
        <v/>
      </c>
      <c r="DE269" s="635">
        <f t="shared" si="638"/>
        <v>0</v>
      </c>
      <c r="DF269" s="95">
        <f t="shared" si="639"/>
        <v>0</v>
      </c>
      <c r="DG269" s="95">
        <f t="shared" si="640"/>
        <v>0</v>
      </c>
      <c r="DH269" s="95">
        <f t="shared" si="641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542"/>
        <v/>
      </c>
      <c r="CA270" s="582" t="str">
        <f t="shared" si="543"/>
        <v/>
      </c>
      <c r="CB270" s="582" t="str">
        <f t="shared" si="544"/>
        <v/>
      </c>
      <c r="CC270" s="670" t="str">
        <f t="shared" si="545"/>
        <v/>
      </c>
      <c r="CD270" s="988" t="str">
        <f t="shared" si="651"/>
        <v/>
      </c>
      <c r="CE270" s="989" t="str">
        <f t="shared" si="650"/>
        <v/>
      </c>
      <c r="CF270" s="989" t="str">
        <f t="shared" si="650"/>
        <v/>
      </c>
      <c r="CG270" s="989" t="str">
        <f t="shared" si="650"/>
        <v/>
      </c>
      <c r="CH270" s="990" t="str">
        <f t="shared" si="650"/>
        <v/>
      </c>
      <c r="CI270" s="990" t="str">
        <f t="shared" si="650"/>
        <v/>
      </c>
      <c r="CJ270" s="989" t="str">
        <f t="shared" si="650"/>
        <v/>
      </c>
      <c r="CK270" s="989" t="str">
        <f t="shared" si="650"/>
        <v/>
      </c>
      <c r="CL270" s="989" t="str">
        <f t="shared" si="650"/>
        <v/>
      </c>
      <c r="CM270" s="988" t="str">
        <f t="shared" si="650"/>
        <v/>
      </c>
      <c r="CN270" s="533" t="str">
        <f t="shared" si="556"/>
        <v/>
      </c>
      <c r="CO270" s="534" t="str">
        <f t="shared" si="557"/>
        <v/>
      </c>
      <c r="CP270" s="535" t="str">
        <f t="shared" si="558"/>
        <v/>
      </c>
      <c r="CQ270" s="535" t="str">
        <f t="shared" si="559"/>
        <v/>
      </c>
      <c r="CR270" s="535" t="str">
        <f t="shared" si="560"/>
        <v/>
      </c>
      <c r="CS270" s="535" t="str">
        <f t="shared" si="561"/>
        <v/>
      </c>
      <c r="CT270" s="535" t="str">
        <f t="shared" si="562"/>
        <v/>
      </c>
      <c r="CU270" s="536" t="str">
        <f t="shared" si="563"/>
        <v/>
      </c>
      <c r="CV270" s="536" t="str">
        <f t="shared" si="564"/>
        <v/>
      </c>
      <c r="CW270" s="536" t="str">
        <f t="shared" si="565"/>
        <v/>
      </c>
      <c r="CX270" s="535" t="str">
        <f t="shared" si="566"/>
        <v/>
      </c>
      <c r="CY270" s="535" t="str">
        <f t="shared" si="567"/>
        <v/>
      </c>
      <c r="CZ270" s="535" t="str">
        <f t="shared" si="568"/>
        <v/>
      </c>
      <c r="DA270" s="535" t="str">
        <f t="shared" si="569"/>
        <v/>
      </c>
      <c r="DB270" s="535" t="str">
        <f t="shared" si="570"/>
        <v/>
      </c>
      <c r="DC270" s="534" t="str">
        <f t="shared" si="571"/>
        <v/>
      </c>
      <c r="DD270" s="533" t="str">
        <f t="shared" si="572"/>
        <v/>
      </c>
      <c r="DE270" s="635">
        <f t="shared" si="638"/>
        <v>0</v>
      </c>
      <c r="DF270" s="95">
        <f t="shared" si="639"/>
        <v>0</v>
      </c>
      <c r="DG270" s="95">
        <f t="shared" si="640"/>
        <v>0</v>
      </c>
      <c r="DH270" s="95">
        <f t="shared" si="641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660">IF(B265="","",(B265-B267-B270)*B266/B$46/365/$G$1)</f>
        <v/>
      </c>
      <c r="C271" s="615" t="str">
        <f t="shared" si="660"/>
        <v/>
      </c>
      <c r="D271" s="615" t="str">
        <f t="shared" si="660"/>
        <v/>
      </c>
      <c r="E271" s="615" t="str">
        <f t="shared" si="660"/>
        <v/>
      </c>
      <c r="F271" s="615" t="str">
        <f t="shared" si="660"/>
        <v/>
      </c>
      <c r="G271" s="615" t="str">
        <f t="shared" si="660"/>
        <v/>
      </c>
      <c r="H271" s="615" t="str">
        <f t="shared" si="660"/>
        <v/>
      </c>
      <c r="I271" s="615" t="str">
        <f t="shared" si="660"/>
        <v/>
      </c>
      <c r="J271" s="615" t="str">
        <f t="shared" si="660"/>
        <v/>
      </c>
      <c r="K271" s="615" t="str">
        <f t="shared" si="660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661">IF(T265="","",(T265-T267-T270)*T266/T$46/365/$G$1)</f>
        <v/>
      </c>
      <c r="U271" s="615" t="str">
        <f t="shared" si="661"/>
        <v/>
      </c>
      <c r="V271" s="615" t="str">
        <f t="shared" si="661"/>
        <v/>
      </c>
      <c r="W271" s="615" t="str">
        <f t="shared" si="661"/>
        <v/>
      </c>
      <c r="X271" s="615" t="str">
        <f t="shared" si="661"/>
        <v/>
      </c>
      <c r="Y271" s="615" t="str">
        <f t="shared" si="661"/>
        <v/>
      </c>
      <c r="Z271" s="615" t="str">
        <f t="shared" si="661"/>
        <v/>
      </c>
      <c r="AA271" s="615" t="str">
        <f t="shared" si="661"/>
        <v/>
      </c>
      <c r="AB271" s="615" t="str">
        <f t="shared" si="661"/>
        <v/>
      </c>
      <c r="AC271" s="615" t="str">
        <f t="shared" si="661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662">IF(AL265="","",(AL265-AL267-AL270)*AL266/AL$46/365/$G$1)</f>
        <v/>
      </c>
      <c r="AM271" s="615" t="str">
        <f t="shared" si="662"/>
        <v/>
      </c>
      <c r="AN271" s="615" t="str">
        <f t="shared" si="662"/>
        <v/>
      </c>
      <c r="AO271" s="615" t="str">
        <f t="shared" si="662"/>
        <v/>
      </c>
      <c r="AP271" s="615" t="str">
        <f t="shared" si="662"/>
        <v/>
      </c>
      <c r="AQ271" s="615" t="str">
        <f t="shared" si="662"/>
        <v/>
      </c>
      <c r="AR271" s="615" t="str">
        <f t="shared" si="662"/>
        <v/>
      </c>
      <c r="AS271" s="615" t="str">
        <f t="shared" si="662"/>
        <v/>
      </c>
      <c r="AT271" s="615" t="str">
        <f t="shared" si="662"/>
        <v/>
      </c>
      <c r="AU271" s="615" t="str">
        <f t="shared" si="662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663">IF(BD265="","",(BD265-BD267-BD270)*BD266/BD$46/365/$G$1)</f>
        <v/>
      </c>
      <c r="BE271" s="1202" t="str">
        <f t="shared" si="663"/>
        <v/>
      </c>
      <c r="BF271" s="1202" t="str">
        <f t="shared" si="663"/>
        <v/>
      </c>
      <c r="BG271" s="1202" t="str">
        <f t="shared" si="663"/>
        <v/>
      </c>
      <c r="BH271" s="1202" t="str">
        <f t="shared" si="663"/>
        <v/>
      </c>
      <c r="BI271" s="1202" t="str">
        <f t="shared" si="663"/>
        <v/>
      </c>
      <c r="BJ271" s="1202" t="str">
        <f t="shared" si="663"/>
        <v/>
      </c>
      <c r="BK271" s="1202" t="str">
        <f t="shared" si="663"/>
        <v/>
      </c>
      <c r="BL271" s="1202" t="str">
        <f t="shared" si="663"/>
        <v/>
      </c>
      <c r="BM271" s="1202" t="str">
        <f t="shared" si="663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542"/>
        <v/>
      </c>
      <c r="CA271" s="607" t="str">
        <f t="shared" si="543"/>
        <v/>
      </c>
      <c r="CB271" s="607" t="str">
        <f t="shared" si="544"/>
        <v/>
      </c>
      <c r="CC271" s="673" t="str">
        <f t="shared" si="54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66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664"/>
        <v/>
      </c>
      <c r="CG271" s="992" t="str">
        <f t="shared" si="664"/>
        <v/>
      </c>
      <c r="CH271" s="993" t="str">
        <f t="shared" si="664"/>
        <v/>
      </c>
      <c r="CI271" s="993" t="str">
        <f t="shared" si="664"/>
        <v/>
      </c>
      <c r="CJ271" s="992" t="str">
        <f t="shared" si="664"/>
        <v/>
      </c>
      <c r="CK271" s="992" t="str">
        <f t="shared" si="664"/>
        <v/>
      </c>
      <c r="CL271" s="992" t="str">
        <f t="shared" si="664"/>
        <v/>
      </c>
      <c r="CM271" s="991" t="str">
        <f t="shared" si="664"/>
        <v/>
      </c>
      <c r="CN271" s="521" t="str">
        <f t="shared" si="556"/>
        <v/>
      </c>
      <c r="CO271" s="522" t="str">
        <f t="shared" si="557"/>
        <v/>
      </c>
      <c r="CP271" s="523" t="str">
        <f t="shared" si="558"/>
        <v/>
      </c>
      <c r="CQ271" s="523" t="str">
        <f t="shared" si="559"/>
        <v/>
      </c>
      <c r="CR271" s="523" t="str">
        <f t="shared" si="560"/>
        <v/>
      </c>
      <c r="CS271" s="523" t="str">
        <f t="shared" si="561"/>
        <v/>
      </c>
      <c r="CT271" s="523" t="str">
        <f t="shared" si="562"/>
        <v/>
      </c>
      <c r="CU271" s="524" t="str">
        <f t="shared" si="563"/>
        <v/>
      </c>
      <c r="CV271" s="524" t="str">
        <f t="shared" si="564"/>
        <v/>
      </c>
      <c r="CW271" s="524" t="str">
        <f t="shared" si="565"/>
        <v/>
      </c>
      <c r="CX271" s="523" t="str">
        <f t="shared" si="566"/>
        <v/>
      </c>
      <c r="CY271" s="523" t="str">
        <f t="shared" si="567"/>
        <v/>
      </c>
      <c r="CZ271" s="523" t="str">
        <f t="shared" si="568"/>
        <v/>
      </c>
      <c r="DA271" s="523" t="str">
        <f t="shared" si="569"/>
        <v/>
      </c>
      <c r="DB271" s="523" t="str">
        <f t="shared" si="570"/>
        <v/>
      </c>
      <c r="DC271" s="522" t="str">
        <f t="shared" si="571"/>
        <v/>
      </c>
      <c r="DD271" s="521" t="str">
        <f t="shared" si="572"/>
        <v/>
      </c>
      <c r="DE271" s="635">
        <f t="shared" si="638"/>
        <v>0</v>
      </c>
      <c r="DF271" s="95">
        <f t="shared" si="639"/>
        <v>0</v>
      </c>
      <c r="DG271" s="95">
        <f t="shared" si="640"/>
        <v>0</v>
      </c>
      <c r="DH271" s="95">
        <f t="shared" si="641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542"/>
        <v/>
      </c>
      <c r="CA272" s="582" t="str">
        <f t="shared" si="543"/>
        <v/>
      </c>
      <c r="CB272" s="582" t="str">
        <f t="shared" si="544"/>
        <v/>
      </c>
      <c r="CC272" s="670" t="str">
        <f t="shared" si="545"/>
        <v/>
      </c>
      <c r="CD272" s="988" t="str">
        <f t="shared" ref="CD272:CD277" si="66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664"/>
        <v/>
      </c>
      <c r="CF272" s="989" t="str">
        <f t="shared" si="664"/>
        <v/>
      </c>
      <c r="CG272" s="989" t="str">
        <f t="shared" si="664"/>
        <v/>
      </c>
      <c r="CH272" s="990" t="str">
        <f t="shared" si="664"/>
        <v/>
      </c>
      <c r="CI272" s="990" t="str">
        <f t="shared" si="664"/>
        <v/>
      </c>
      <c r="CJ272" s="989" t="str">
        <f t="shared" si="664"/>
        <v/>
      </c>
      <c r="CK272" s="989" t="str">
        <f t="shared" si="664"/>
        <v/>
      </c>
      <c r="CL272" s="989" t="str">
        <f t="shared" si="664"/>
        <v/>
      </c>
      <c r="CM272" s="988" t="str">
        <f t="shared" si="664"/>
        <v/>
      </c>
      <c r="CN272" s="533" t="str">
        <f t="shared" si="556"/>
        <v/>
      </c>
      <c r="CO272" s="534" t="str">
        <f t="shared" si="557"/>
        <v/>
      </c>
      <c r="CP272" s="535" t="str">
        <f t="shared" si="558"/>
        <v/>
      </c>
      <c r="CQ272" s="535" t="str">
        <f t="shared" si="559"/>
        <v/>
      </c>
      <c r="CR272" s="535" t="str">
        <f t="shared" si="560"/>
        <v/>
      </c>
      <c r="CS272" s="535" t="str">
        <f t="shared" si="561"/>
        <v/>
      </c>
      <c r="CT272" s="535" t="str">
        <f t="shared" si="562"/>
        <v/>
      </c>
      <c r="CU272" s="536" t="str">
        <f t="shared" si="563"/>
        <v/>
      </c>
      <c r="CV272" s="536" t="str">
        <f t="shared" si="564"/>
        <v/>
      </c>
      <c r="CW272" s="536" t="str">
        <f t="shared" si="565"/>
        <v/>
      </c>
      <c r="CX272" s="535" t="str">
        <f t="shared" si="566"/>
        <v/>
      </c>
      <c r="CY272" s="535" t="str">
        <f t="shared" si="567"/>
        <v/>
      </c>
      <c r="CZ272" s="535" t="str">
        <f t="shared" si="568"/>
        <v/>
      </c>
      <c r="DA272" s="535" t="str">
        <f t="shared" si="569"/>
        <v/>
      </c>
      <c r="DB272" s="535" t="str">
        <f t="shared" si="570"/>
        <v/>
      </c>
      <c r="DC272" s="534" t="str">
        <f t="shared" si="571"/>
        <v/>
      </c>
      <c r="DD272" s="533" t="str">
        <f t="shared" si="572"/>
        <v/>
      </c>
      <c r="DE272" s="635">
        <f t="shared" si="638"/>
        <v>0</v>
      </c>
      <c r="DF272" s="95">
        <f t="shared" si="639"/>
        <v>0</v>
      </c>
      <c r="DG272" s="95">
        <f t="shared" si="640"/>
        <v>0</v>
      </c>
      <c r="DH272" s="95">
        <f t="shared" si="641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666">3390*$K$1</f>
        <v>14193.252</v>
      </c>
      <c r="D273" s="683">
        <f t="shared" si="666"/>
        <v>14193.252</v>
      </c>
      <c r="E273" s="683">
        <f t="shared" si="666"/>
        <v>14193.252</v>
      </c>
      <c r="F273" s="683">
        <f t="shared" si="666"/>
        <v>14193.252</v>
      </c>
      <c r="G273" s="683">
        <f t="shared" si="666"/>
        <v>14193.252</v>
      </c>
      <c r="H273" s="683">
        <f t="shared" si="666"/>
        <v>14193.252</v>
      </c>
      <c r="I273" s="683">
        <f t="shared" si="666"/>
        <v>14193.252</v>
      </c>
      <c r="J273" s="683">
        <f t="shared" si="666"/>
        <v>14193.252</v>
      </c>
      <c r="K273" s="683">
        <f t="shared" si="666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667">3390*$K$1</f>
        <v>14193.252</v>
      </c>
      <c r="V273" s="683">
        <f t="shared" si="667"/>
        <v>14193.252</v>
      </c>
      <c r="W273" s="683">
        <f t="shared" si="667"/>
        <v>14193.252</v>
      </c>
      <c r="X273" s="683">
        <f t="shared" si="667"/>
        <v>14193.252</v>
      </c>
      <c r="Y273" s="683">
        <f t="shared" si="667"/>
        <v>14193.252</v>
      </c>
      <c r="Z273" s="683">
        <f t="shared" si="667"/>
        <v>14193.252</v>
      </c>
      <c r="AA273" s="683">
        <f t="shared" si="667"/>
        <v>14193.252</v>
      </c>
      <c r="AB273" s="683">
        <f t="shared" si="667"/>
        <v>14193.252</v>
      </c>
      <c r="AC273" s="683">
        <f t="shared" si="667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668">3390*$K$1</f>
        <v>14193.252</v>
      </c>
      <c r="AN273" s="683">
        <f t="shared" si="668"/>
        <v>14193.252</v>
      </c>
      <c r="AO273" s="683">
        <f t="shared" si="668"/>
        <v>14193.252</v>
      </c>
      <c r="AP273" s="683">
        <f t="shared" si="668"/>
        <v>14193.252</v>
      </c>
      <c r="AQ273" s="683">
        <f t="shared" si="668"/>
        <v>14193.252</v>
      </c>
      <c r="AR273" s="683">
        <f t="shared" si="668"/>
        <v>14193.252</v>
      </c>
      <c r="AS273" s="683">
        <v>14193</v>
      </c>
      <c r="AT273" s="683">
        <v>14193.252</v>
      </c>
      <c r="AU273" s="683">
        <f t="shared" si="668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669">3390*$K$1</f>
        <v>14193.252</v>
      </c>
      <c r="BF273" s="1225">
        <f t="shared" si="669"/>
        <v>14193.252</v>
      </c>
      <c r="BG273" s="1225">
        <f t="shared" si="669"/>
        <v>14193.252</v>
      </c>
      <c r="BH273" s="1225">
        <f t="shared" si="669"/>
        <v>14193.252</v>
      </c>
      <c r="BI273" s="1225">
        <f t="shared" si="669"/>
        <v>14193.252</v>
      </c>
      <c r="BJ273" s="1225">
        <f t="shared" si="669"/>
        <v>14193.252</v>
      </c>
      <c r="BK273" s="1225">
        <f t="shared" si="669"/>
        <v>14193.252</v>
      </c>
      <c r="BL273" s="1225">
        <f t="shared" si="669"/>
        <v>14193.252</v>
      </c>
      <c r="BM273" s="1225">
        <f t="shared" si="669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>3390*$K$1</f>
        <v>14193.252</v>
      </c>
      <c r="BW273" s="683">
        <f>3390*$K$1</f>
        <v>14193.252</v>
      </c>
      <c r="BX273" s="683">
        <f>3390*$K$1</f>
        <v>14193.252</v>
      </c>
      <c r="BY273" s="683">
        <f>3390*$K$1</f>
        <v>14193.252</v>
      </c>
      <c r="BZ273" s="582">
        <f t="shared" si="542"/>
        <v>14193.252000000004</v>
      </c>
      <c r="CA273" s="582">
        <f t="shared" si="543"/>
        <v>14193.252000000004</v>
      </c>
      <c r="CB273" s="582">
        <f t="shared" si="544"/>
        <v>14193.252000000004</v>
      </c>
      <c r="CC273" s="670">
        <f t="shared" si="545"/>
        <v>14193.252000000004</v>
      </c>
      <c r="CD273" s="988">
        <f t="shared" si="665"/>
        <v>14193.252</v>
      </c>
      <c r="CE273" s="989">
        <f t="shared" si="664"/>
        <v>14193.252</v>
      </c>
      <c r="CF273" s="989">
        <f t="shared" si="664"/>
        <v>14193.252</v>
      </c>
      <c r="CG273" s="989">
        <f t="shared" si="664"/>
        <v>14193.252</v>
      </c>
      <c r="CH273" s="990">
        <f t="shared" si="664"/>
        <v>14193.252</v>
      </c>
      <c r="CI273" s="990">
        <f t="shared" si="664"/>
        <v>14193.252</v>
      </c>
      <c r="CJ273" s="989">
        <f t="shared" si="664"/>
        <v>14193.252</v>
      </c>
      <c r="CK273" s="989">
        <f t="shared" si="664"/>
        <v>14193.252</v>
      </c>
      <c r="CL273" s="989">
        <f t="shared" si="664"/>
        <v>14193.252</v>
      </c>
      <c r="CM273" s="988">
        <f t="shared" si="664"/>
        <v>14193.252</v>
      </c>
      <c r="CN273" s="533" t="str">
        <f t="shared" si="556"/>
        <v/>
      </c>
      <c r="CO273" s="534" t="str">
        <f t="shared" si="557"/>
        <v/>
      </c>
      <c r="CP273" s="535" t="str">
        <f t="shared" si="558"/>
        <v/>
      </c>
      <c r="CQ273" s="535" t="str">
        <f t="shared" si="559"/>
        <v/>
      </c>
      <c r="CR273" s="535">
        <f t="shared" si="560"/>
        <v>14193.252</v>
      </c>
      <c r="CS273" s="535">
        <f t="shared" si="561"/>
        <v>14193.252</v>
      </c>
      <c r="CT273" s="535">
        <f t="shared" si="562"/>
        <v>14193.252</v>
      </c>
      <c r="CU273" s="536">
        <f t="shared" si="563"/>
        <v>14193.252</v>
      </c>
      <c r="CV273" s="536">
        <f t="shared" si="564"/>
        <v>14193.252</v>
      </c>
      <c r="CW273" s="536">
        <f t="shared" si="565"/>
        <v>14193.252</v>
      </c>
      <c r="CX273" s="535">
        <f t="shared" si="566"/>
        <v>14193.252</v>
      </c>
      <c r="CY273" s="535">
        <f t="shared" si="567"/>
        <v>14193.252</v>
      </c>
      <c r="CZ273" s="535">
        <f t="shared" si="568"/>
        <v>14193.252</v>
      </c>
      <c r="DA273" s="535">
        <f t="shared" si="569"/>
        <v>14193.252</v>
      </c>
      <c r="DB273" s="535" t="str">
        <f t="shared" si="570"/>
        <v/>
      </c>
      <c r="DC273" s="534" t="str">
        <f t="shared" si="571"/>
        <v/>
      </c>
      <c r="DD273" s="533" t="str">
        <f t="shared" si="572"/>
        <v/>
      </c>
      <c r="DE273" s="635">
        <f t="shared" si="638"/>
        <v>10</v>
      </c>
      <c r="DF273" s="95">
        <f t="shared" si="639"/>
        <v>10</v>
      </c>
      <c r="DG273" s="95">
        <f t="shared" si="640"/>
        <v>10</v>
      </c>
      <c r="DH273" s="95">
        <f t="shared" si="641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542"/>
        <v/>
      </c>
      <c r="CA274" s="582" t="str">
        <f t="shared" si="543"/>
        <v/>
      </c>
      <c r="CB274" s="582" t="str">
        <f t="shared" si="544"/>
        <v/>
      </c>
      <c r="CC274" s="670" t="str">
        <f t="shared" si="545"/>
        <v/>
      </c>
      <c r="CD274" s="988" t="str">
        <f t="shared" si="665"/>
        <v/>
      </c>
      <c r="CE274" s="989" t="str">
        <f t="shared" si="664"/>
        <v/>
      </c>
      <c r="CF274" s="989" t="str">
        <f t="shared" si="664"/>
        <v/>
      </c>
      <c r="CG274" s="989" t="str">
        <f t="shared" si="664"/>
        <v/>
      </c>
      <c r="CH274" s="990" t="str">
        <f t="shared" si="664"/>
        <v/>
      </c>
      <c r="CI274" s="990" t="str">
        <f t="shared" si="664"/>
        <v/>
      </c>
      <c r="CJ274" s="989" t="str">
        <f t="shared" si="664"/>
        <v/>
      </c>
      <c r="CK274" s="989" t="str">
        <f t="shared" si="664"/>
        <v/>
      </c>
      <c r="CL274" s="989" t="str">
        <f t="shared" si="664"/>
        <v/>
      </c>
      <c r="CM274" s="988" t="str">
        <f t="shared" si="664"/>
        <v/>
      </c>
      <c r="CN274" s="533" t="str">
        <f t="shared" si="556"/>
        <v/>
      </c>
      <c r="CO274" s="534" t="str">
        <f t="shared" si="557"/>
        <v/>
      </c>
      <c r="CP274" s="535" t="str">
        <f t="shared" si="558"/>
        <v/>
      </c>
      <c r="CQ274" s="535" t="str">
        <f t="shared" si="559"/>
        <v/>
      </c>
      <c r="CR274" s="535" t="str">
        <f t="shared" si="560"/>
        <v/>
      </c>
      <c r="CS274" s="535" t="str">
        <f t="shared" si="561"/>
        <v/>
      </c>
      <c r="CT274" s="535" t="str">
        <f t="shared" si="562"/>
        <v/>
      </c>
      <c r="CU274" s="536" t="str">
        <f t="shared" si="563"/>
        <v/>
      </c>
      <c r="CV274" s="536" t="str">
        <f t="shared" si="564"/>
        <v/>
      </c>
      <c r="CW274" s="536" t="str">
        <f t="shared" si="565"/>
        <v/>
      </c>
      <c r="CX274" s="535" t="str">
        <f t="shared" si="566"/>
        <v/>
      </c>
      <c r="CY274" s="535" t="str">
        <f t="shared" si="567"/>
        <v/>
      </c>
      <c r="CZ274" s="535" t="str">
        <f t="shared" si="568"/>
        <v/>
      </c>
      <c r="DA274" s="535" t="str">
        <f t="shared" si="569"/>
        <v/>
      </c>
      <c r="DB274" s="535" t="str">
        <f t="shared" si="570"/>
        <v/>
      </c>
      <c r="DC274" s="534" t="str">
        <f t="shared" si="571"/>
        <v/>
      </c>
      <c r="DD274" s="533" t="str">
        <f t="shared" si="572"/>
        <v/>
      </c>
      <c r="DE274" s="635">
        <f t="shared" si="638"/>
        <v>0</v>
      </c>
      <c r="DF274" s="95">
        <f t="shared" si="639"/>
        <v>0</v>
      </c>
      <c r="DG274" s="95">
        <f t="shared" si="640"/>
        <v>0</v>
      </c>
      <c r="DH274" s="95">
        <f t="shared" si="641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542"/>
        <v/>
      </c>
      <c r="CA275" s="582" t="str">
        <f t="shared" si="543"/>
        <v/>
      </c>
      <c r="CB275" s="582" t="str">
        <f t="shared" si="544"/>
        <v/>
      </c>
      <c r="CC275" s="670" t="str">
        <f t="shared" si="545"/>
        <v/>
      </c>
      <c r="CD275" s="988" t="str">
        <f t="shared" si="665"/>
        <v/>
      </c>
      <c r="CE275" s="989" t="str">
        <f t="shared" si="664"/>
        <v/>
      </c>
      <c r="CF275" s="989" t="str">
        <f t="shared" si="664"/>
        <v/>
      </c>
      <c r="CG275" s="989" t="str">
        <f t="shared" si="664"/>
        <v/>
      </c>
      <c r="CH275" s="990" t="str">
        <f t="shared" si="664"/>
        <v/>
      </c>
      <c r="CI275" s="990" t="str">
        <f t="shared" si="664"/>
        <v/>
      </c>
      <c r="CJ275" s="989" t="str">
        <f t="shared" si="664"/>
        <v/>
      </c>
      <c r="CK275" s="989" t="str">
        <f t="shared" si="664"/>
        <v/>
      </c>
      <c r="CL275" s="989" t="str">
        <f t="shared" si="664"/>
        <v/>
      </c>
      <c r="CM275" s="988" t="str">
        <f t="shared" si="664"/>
        <v/>
      </c>
      <c r="CN275" s="533" t="str">
        <f t="shared" si="556"/>
        <v/>
      </c>
      <c r="CO275" s="534" t="str">
        <f t="shared" si="557"/>
        <v/>
      </c>
      <c r="CP275" s="535" t="str">
        <f t="shared" si="558"/>
        <v/>
      </c>
      <c r="CQ275" s="535" t="str">
        <f t="shared" si="559"/>
        <v/>
      </c>
      <c r="CR275" s="535" t="str">
        <f t="shared" si="560"/>
        <v/>
      </c>
      <c r="CS275" s="535" t="str">
        <f t="shared" si="561"/>
        <v/>
      </c>
      <c r="CT275" s="535" t="str">
        <f t="shared" si="562"/>
        <v/>
      </c>
      <c r="CU275" s="536" t="str">
        <f t="shared" si="563"/>
        <v/>
      </c>
      <c r="CV275" s="536" t="str">
        <f t="shared" si="564"/>
        <v/>
      </c>
      <c r="CW275" s="536" t="str">
        <f t="shared" si="565"/>
        <v/>
      </c>
      <c r="CX275" s="535" t="str">
        <f t="shared" si="566"/>
        <v/>
      </c>
      <c r="CY275" s="535" t="str">
        <f t="shared" si="567"/>
        <v/>
      </c>
      <c r="CZ275" s="535" t="str">
        <f t="shared" si="568"/>
        <v/>
      </c>
      <c r="DA275" s="535" t="str">
        <f t="shared" si="569"/>
        <v/>
      </c>
      <c r="DB275" s="535" t="str">
        <f t="shared" si="570"/>
        <v/>
      </c>
      <c r="DC275" s="534" t="str">
        <f t="shared" si="571"/>
        <v/>
      </c>
      <c r="DD275" s="533" t="str">
        <f t="shared" si="572"/>
        <v/>
      </c>
      <c r="DE275" s="635">
        <f t="shared" si="638"/>
        <v>0</v>
      </c>
      <c r="DF275" s="95">
        <f t="shared" si="639"/>
        <v>0</v>
      </c>
      <c r="DG275" s="95">
        <f t="shared" si="640"/>
        <v>0</v>
      </c>
      <c r="DH275" s="95">
        <f t="shared" si="641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670">IF(B274="","",B274*B275)</f>
        <v/>
      </c>
      <c r="C276" s="612" t="str">
        <f t="shared" si="670"/>
        <v/>
      </c>
      <c r="D276" s="612" t="str">
        <f t="shared" si="670"/>
        <v/>
      </c>
      <c r="E276" s="612" t="str">
        <f t="shared" si="670"/>
        <v/>
      </c>
      <c r="F276" s="612" t="str">
        <f t="shared" si="670"/>
        <v/>
      </c>
      <c r="G276" s="612" t="str">
        <f t="shared" si="670"/>
        <v/>
      </c>
      <c r="H276" s="612" t="str">
        <f t="shared" si="670"/>
        <v/>
      </c>
      <c r="I276" s="612" t="str">
        <f t="shared" si="670"/>
        <v/>
      </c>
      <c r="J276" s="612" t="str">
        <f t="shared" si="670"/>
        <v/>
      </c>
      <c r="K276" s="612" t="str">
        <f t="shared" si="670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671">IF(T274="","",T274*T275)</f>
        <v/>
      </c>
      <c r="U276" s="612" t="str">
        <f t="shared" si="671"/>
        <v/>
      </c>
      <c r="V276" s="612" t="str">
        <f t="shared" si="671"/>
        <v/>
      </c>
      <c r="W276" s="612" t="str">
        <f t="shared" si="671"/>
        <v/>
      </c>
      <c r="X276" s="612" t="str">
        <f t="shared" si="671"/>
        <v/>
      </c>
      <c r="Y276" s="612" t="str">
        <f t="shared" si="671"/>
        <v/>
      </c>
      <c r="Z276" s="612" t="str">
        <f t="shared" si="671"/>
        <v/>
      </c>
      <c r="AA276" s="612" t="str">
        <f t="shared" si="671"/>
        <v/>
      </c>
      <c r="AB276" s="612" t="str">
        <f t="shared" si="671"/>
        <v/>
      </c>
      <c r="AC276" s="612" t="str">
        <f t="shared" si="671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672">IF(AL274="","",AL274*AL275)</f>
        <v/>
      </c>
      <c r="AM276" s="612" t="str">
        <f t="shared" si="672"/>
        <v/>
      </c>
      <c r="AN276" s="612" t="str">
        <f t="shared" si="672"/>
        <v/>
      </c>
      <c r="AO276" s="612" t="str">
        <f t="shared" si="672"/>
        <v/>
      </c>
      <c r="AP276" s="612" t="str">
        <f t="shared" si="672"/>
        <v/>
      </c>
      <c r="AQ276" s="612" t="str">
        <f t="shared" si="672"/>
        <v/>
      </c>
      <c r="AR276" s="612" t="str">
        <f t="shared" si="672"/>
        <v/>
      </c>
      <c r="AS276" s="612" t="str">
        <f t="shared" si="672"/>
        <v/>
      </c>
      <c r="AT276" s="612" t="str">
        <f t="shared" si="672"/>
        <v/>
      </c>
      <c r="AU276" s="612" t="str">
        <f t="shared" si="672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673">IF(BD274="","",BD274*BD275)</f>
        <v/>
      </c>
      <c r="BE276" s="1201" t="str">
        <f t="shared" si="673"/>
        <v/>
      </c>
      <c r="BF276" s="1201" t="str">
        <f t="shared" si="673"/>
        <v/>
      </c>
      <c r="BG276" s="1201" t="str">
        <f t="shared" si="673"/>
        <v/>
      </c>
      <c r="BH276" s="1201" t="str">
        <f t="shared" si="673"/>
        <v/>
      </c>
      <c r="BI276" s="1201" t="str">
        <f t="shared" si="673"/>
        <v/>
      </c>
      <c r="BJ276" s="1201" t="str">
        <f t="shared" si="673"/>
        <v/>
      </c>
      <c r="BK276" s="1201" t="str">
        <f t="shared" si="673"/>
        <v/>
      </c>
      <c r="BL276" s="1201" t="str">
        <f t="shared" si="673"/>
        <v/>
      </c>
      <c r="BM276" s="1201" t="str">
        <f t="shared" si="673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542"/>
        <v/>
      </c>
      <c r="CA276" s="582" t="str">
        <f t="shared" si="543"/>
        <v/>
      </c>
      <c r="CB276" s="582" t="str">
        <f t="shared" si="544"/>
        <v/>
      </c>
      <c r="CC276" s="670" t="str">
        <f t="shared" si="545"/>
        <v/>
      </c>
      <c r="CD276" s="988" t="str">
        <f t="shared" si="665"/>
        <v/>
      </c>
      <c r="CE276" s="989" t="str">
        <f t="shared" si="664"/>
        <v/>
      </c>
      <c r="CF276" s="989" t="str">
        <f t="shared" si="664"/>
        <v/>
      </c>
      <c r="CG276" s="989" t="str">
        <f t="shared" si="664"/>
        <v/>
      </c>
      <c r="CH276" s="990" t="str">
        <f t="shared" si="664"/>
        <v/>
      </c>
      <c r="CI276" s="990" t="str">
        <f t="shared" si="664"/>
        <v/>
      </c>
      <c r="CJ276" s="989" t="str">
        <f t="shared" si="664"/>
        <v/>
      </c>
      <c r="CK276" s="989" t="str">
        <f t="shared" si="664"/>
        <v/>
      </c>
      <c r="CL276" s="989" t="str">
        <f t="shared" si="664"/>
        <v/>
      </c>
      <c r="CM276" s="988" t="str">
        <f t="shared" si="664"/>
        <v/>
      </c>
      <c r="CN276" s="533" t="str">
        <f t="shared" si="556"/>
        <v/>
      </c>
      <c r="CO276" s="534" t="str">
        <f t="shared" si="557"/>
        <v/>
      </c>
      <c r="CP276" s="535" t="str">
        <f t="shared" si="558"/>
        <v/>
      </c>
      <c r="CQ276" s="535" t="str">
        <f t="shared" si="559"/>
        <v/>
      </c>
      <c r="CR276" s="535" t="str">
        <f t="shared" si="560"/>
        <v/>
      </c>
      <c r="CS276" s="535" t="str">
        <f t="shared" si="561"/>
        <v/>
      </c>
      <c r="CT276" s="535" t="str">
        <f t="shared" si="562"/>
        <v/>
      </c>
      <c r="CU276" s="536" t="str">
        <f t="shared" si="563"/>
        <v/>
      </c>
      <c r="CV276" s="536" t="str">
        <f t="shared" si="564"/>
        <v/>
      </c>
      <c r="CW276" s="536" t="str">
        <f t="shared" si="565"/>
        <v/>
      </c>
      <c r="CX276" s="535" t="str">
        <f t="shared" si="566"/>
        <v/>
      </c>
      <c r="CY276" s="535" t="str">
        <f t="shared" si="567"/>
        <v/>
      </c>
      <c r="CZ276" s="535" t="str">
        <f t="shared" si="568"/>
        <v/>
      </c>
      <c r="DA276" s="535" t="str">
        <f t="shared" si="569"/>
        <v/>
      </c>
      <c r="DB276" s="535" t="str">
        <f t="shared" si="570"/>
        <v/>
      </c>
      <c r="DC276" s="534" t="str">
        <f t="shared" si="571"/>
        <v/>
      </c>
      <c r="DD276" s="533" t="str">
        <f t="shared" si="572"/>
        <v/>
      </c>
      <c r="DE276" s="635">
        <f t="shared" si="638"/>
        <v>0</v>
      </c>
      <c r="DF276" s="95">
        <f t="shared" si="639"/>
        <v>0</v>
      </c>
      <c r="DG276" s="95">
        <f t="shared" si="640"/>
        <v>0</v>
      </c>
      <c r="DH276" s="95">
        <f t="shared" si="641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542"/>
        <v/>
      </c>
      <c r="CA277" s="582" t="str">
        <f t="shared" si="543"/>
        <v/>
      </c>
      <c r="CB277" s="582" t="str">
        <f t="shared" si="544"/>
        <v/>
      </c>
      <c r="CC277" s="670" t="str">
        <f t="shared" si="545"/>
        <v/>
      </c>
      <c r="CD277" s="988" t="str">
        <f t="shared" si="665"/>
        <v/>
      </c>
      <c r="CE277" s="989" t="str">
        <f t="shared" si="664"/>
        <v/>
      </c>
      <c r="CF277" s="989" t="str">
        <f t="shared" si="664"/>
        <v/>
      </c>
      <c r="CG277" s="989" t="str">
        <f t="shared" si="664"/>
        <v/>
      </c>
      <c r="CH277" s="990" t="str">
        <f t="shared" si="664"/>
        <v/>
      </c>
      <c r="CI277" s="990" t="str">
        <f t="shared" si="664"/>
        <v/>
      </c>
      <c r="CJ277" s="989" t="str">
        <f t="shared" si="664"/>
        <v/>
      </c>
      <c r="CK277" s="989" t="str">
        <f t="shared" si="664"/>
        <v/>
      </c>
      <c r="CL277" s="989" t="str">
        <f t="shared" si="664"/>
        <v/>
      </c>
      <c r="CM277" s="988" t="str">
        <f t="shared" si="664"/>
        <v/>
      </c>
      <c r="CN277" s="533" t="str">
        <f t="shared" si="556"/>
        <v/>
      </c>
      <c r="CO277" s="534" t="str">
        <f t="shared" si="557"/>
        <v/>
      </c>
      <c r="CP277" s="535" t="str">
        <f t="shared" si="558"/>
        <v/>
      </c>
      <c r="CQ277" s="535" t="str">
        <f t="shared" si="559"/>
        <v/>
      </c>
      <c r="CR277" s="535" t="str">
        <f t="shared" si="560"/>
        <v/>
      </c>
      <c r="CS277" s="535" t="str">
        <f t="shared" si="561"/>
        <v/>
      </c>
      <c r="CT277" s="535" t="str">
        <f t="shared" si="562"/>
        <v/>
      </c>
      <c r="CU277" s="536" t="str">
        <f t="shared" si="563"/>
        <v/>
      </c>
      <c r="CV277" s="536" t="str">
        <f t="shared" si="564"/>
        <v/>
      </c>
      <c r="CW277" s="536" t="str">
        <f t="shared" si="565"/>
        <v/>
      </c>
      <c r="CX277" s="535" t="str">
        <f t="shared" si="566"/>
        <v/>
      </c>
      <c r="CY277" s="535" t="str">
        <f t="shared" si="567"/>
        <v/>
      </c>
      <c r="CZ277" s="535" t="str">
        <f t="shared" si="568"/>
        <v/>
      </c>
      <c r="DA277" s="535" t="str">
        <f t="shared" si="569"/>
        <v/>
      </c>
      <c r="DB277" s="535" t="str">
        <f t="shared" si="570"/>
        <v/>
      </c>
      <c r="DC277" s="534" t="str">
        <f t="shared" si="571"/>
        <v/>
      </c>
      <c r="DD277" s="533" t="str">
        <f t="shared" si="572"/>
        <v/>
      </c>
      <c r="DE277" s="635">
        <f t="shared" si="638"/>
        <v>0</v>
      </c>
      <c r="DF277" s="95">
        <f t="shared" si="639"/>
        <v>0</v>
      </c>
      <c r="DG277" s="95">
        <f t="shared" si="640"/>
        <v>0</v>
      </c>
      <c r="DH277" s="95">
        <f t="shared" si="641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674">IF(B272="","",(B272-B274-B277)*B273/B$46/365/$G$1)</f>
        <v/>
      </c>
      <c r="C278" s="615" t="str">
        <f t="shared" si="674"/>
        <v/>
      </c>
      <c r="D278" s="615" t="str">
        <f t="shared" si="674"/>
        <v/>
      </c>
      <c r="E278" s="615" t="str">
        <f t="shared" si="674"/>
        <v/>
      </c>
      <c r="F278" s="615" t="str">
        <f t="shared" si="674"/>
        <v/>
      </c>
      <c r="G278" s="615" t="str">
        <f t="shared" si="674"/>
        <v/>
      </c>
      <c r="H278" s="615" t="str">
        <f t="shared" si="674"/>
        <v/>
      </c>
      <c r="I278" s="615" t="str">
        <f t="shared" si="674"/>
        <v/>
      </c>
      <c r="J278" s="615" t="str">
        <f t="shared" si="674"/>
        <v/>
      </c>
      <c r="K278" s="615" t="str">
        <f t="shared" si="674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675">IF(T272="","",(T272-T274-T277)*T273/T$46/365/$G$1)</f>
        <v/>
      </c>
      <c r="U278" s="615" t="str">
        <f t="shared" si="675"/>
        <v/>
      </c>
      <c r="V278" s="615" t="str">
        <f t="shared" si="675"/>
        <v/>
      </c>
      <c r="W278" s="615" t="str">
        <f t="shared" si="675"/>
        <v/>
      </c>
      <c r="X278" s="615" t="str">
        <f t="shared" si="675"/>
        <v/>
      </c>
      <c r="Y278" s="615" t="str">
        <f t="shared" si="675"/>
        <v/>
      </c>
      <c r="Z278" s="615" t="str">
        <f t="shared" si="675"/>
        <v/>
      </c>
      <c r="AA278" s="615" t="str">
        <f t="shared" si="675"/>
        <v/>
      </c>
      <c r="AB278" s="615" t="str">
        <f t="shared" si="675"/>
        <v/>
      </c>
      <c r="AC278" s="615" t="str">
        <f t="shared" si="675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676">IF(AL272="","",(AL272-AL274-AL277)*AL273/AL$46/365/$G$1)</f>
        <v/>
      </c>
      <c r="AM278" s="615" t="str">
        <f t="shared" si="676"/>
        <v/>
      </c>
      <c r="AN278" s="615" t="str">
        <f t="shared" si="676"/>
        <v/>
      </c>
      <c r="AO278" s="615" t="str">
        <f t="shared" si="676"/>
        <v/>
      </c>
      <c r="AP278" s="615" t="str">
        <f t="shared" si="676"/>
        <v/>
      </c>
      <c r="AQ278" s="615" t="str">
        <f t="shared" si="676"/>
        <v/>
      </c>
      <c r="AR278" s="615" t="str">
        <f t="shared" si="676"/>
        <v/>
      </c>
      <c r="AS278" s="615" t="str">
        <f t="shared" si="676"/>
        <v/>
      </c>
      <c r="AT278" s="615" t="str">
        <f t="shared" si="676"/>
        <v/>
      </c>
      <c r="AU278" s="615" t="str">
        <f t="shared" si="676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677">IF(BD272="","",(BD272-BD274-BD277)*BD273/BD$46/365/$G$1)</f>
        <v/>
      </c>
      <c r="BE278" s="1202" t="str">
        <f t="shared" si="677"/>
        <v/>
      </c>
      <c r="BF278" s="1202" t="str">
        <f t="shared" si="677"/>
        <v/>
      </c>
      <c r="BG278" s="1202" t="str">
        <f t="shared" si="677"/>
        <v/>
      </c>
      <c r="BH278" s="1202" t="str">
        <f t="shared" si="677"/>
        <v/>
      </c>
      <c r="BI278" s="1202" t="str">
        <f t="shared" si="677"/>
        <v/>
      </c>
      <c r="BJ278" s="1202" t="str">
        <f t="shared" si="677"/>
        <v/>
      </c>
      <c r="BK278" s="1202" t="str">
        <f t="shared" si="677"/>
        <v/>
      </c>
      <c r="BL278" s="1202" t="str">
        <f t="shared" si="677"/>
        <v/>
      </c>
      <c r="BM278" s="1202" t="str">
        <f t="shared" si="677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542"/>
        <v/>
      </c>
      <c r="CA278" s="607" t="str">
        <f t="shared" si="543"/>
        <v/>
      </c>
      <c r="CB278" s="607" t="str">
        <f t="shared" si="544"/>
        <v/>
      </c>
      <c r="CC278" s="673" t="str">
        <f t="shared" si="54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67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678"/>
        <v/>
      </c>
      <c r="CG278" s="992" t="str">
        <f t="shared" si="678"/>
        <v/>
      </c>
      <c r="CH278" s="993" t="str">
        <f t="shared" si="678"/>
        <v/>
      </c>
      <c r="CI278" s="993" t="str">
        <f t="shared" si="678"/>
        <v/>
      </c>
      <c r="CJ278" s="992" t="str">
        <f t="shared" si="678"/>
        <v/>
      </c>
      <c r="CK278" s="992" t="str">
        <f t="shared" si="678"/>
        <v/>
      </c>
      <c r="CL278" s="992" t="str">
        <f t="shared" si="678"/>
        <v/>
      </c>
      <c r="CM278" s="991" t="str">
        <f t="shared" si="678"/>
        <v/>
      </c>
      <c r="CN278" s="521" t="str">
        <f t="shared" si="556"/>
        <v/>
      </c>
      <c r="CO278" s="522" t="str">
        <f t="shared" si="557"/>
        <v/>
      </c>
      <c r="CP278" s="523" t="str">
        <f t="shared" si="558"/>
        <v/>
      </c>
      <c r="CQ278" s="523" t="str">
        <f t="shared" si="559"/>
        <v/>
      </c>
      <c r="CR278" s="523" t="str">
        <f t="shared" si="560"/>
        <v/>
      </c>
      <c r="CS278" s="523" t="str">
        <f t="shared" si="561"/>
        <v/>
      </c>
      <c r="CT278" s="523" t="str">
        <f t="shared" si="562"/>
        <v/>
      </c>
      <c r="CU278" s="524" t="str">
        <f t="shared" si="563"/>
        <v/>
      </c>
      <c r="CV278" s="524" t="str">
        <f t="shared" si="564"/>
        <v/>
      </c>
      <c r="CW278" s="524" t="str">
        <f t="shared" si="565"/>
        <v/>
      </c>
      <c r="CX278" s="523" t="str">
        <f t="shared" si="566"/>
        <v/>
      </c>
      <c r="CY278" s="523" t="str">
        <f t="shared" si="567"/>
        <v/>
      </c>
      <c r="CZ278" s="523" t="str">
        <f t="shared" si="568"/>
        <v/>
      </c>
      <c r="DA278" s="523" t="str">
        <f t="shared" si="569"/>
        <v/>
      </c>
      <c r="DB278" s="523" t="str">
        <f t="shared" si="570"/>
        <v/>
      </c>
      <c r="DC278" s="522" t="str">
        <f t="shared" si="571"/>
        <v/>
      </c>
      <c r="DD278" s="521" t="str">
        <f t="shared" si="572"/>
        <v/>
      </c>
      <c r="DE278" s="635">
        <f t="shared" si="638"/>
        <v>0</v>
      </c>
      <c r="DF278" s="95">
        <f t="shared" si="639"/>
        <v>0</v>
      </c>
      <c r="DG278" s="95">
        <f t="shared" si="640"/>
        <v>0</v>
      </c>
      <c r="DH278" s="95">
        <f t="shared" si="641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542"/>
        <v/>
      </c>
      <c r="CA279" s="582" t="str">
        <f t="shared" si="543"/>
        <v/>
      </c>
      <c r="CB279" s="582" t="str">
        <f t="shared" si="544"/>
        <v/>
      </c>
      <c r="CC279" s="670" t="str">
        <f t="shared" si="545"/>
        <v/>
      </c>
      <c r="CD279" s="988" t="str">
        <f t="shared" ref="CD279:CD284" si="67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678"/>
        <v/>
      </c>
      <c r="CF279" s="989" t="str">
        <f t="shared" si="678"/>
        <v/>
      </c>
      <c r="CG279" s="989" t="str">
        <f t="shared" si="678"/>
        <v/>
      </c>
      <c r="CH279" s="990" t="str">
        <f t="shared" si="678"/>
        <v/>
      </c>
      <c r="CI279" s="990" t="str">
        <f t="shared" si="678"/>
        <v/>
      </c>
      <c r="CJ279" s="989" t="str">
        <f t="shared" si="678"/>
        <v/>
      </c>
      <c r="CK279" s="989" t="str">
        <f t="shared" si="678"/>
        <v/>
      </c>
      <c r="CL279" s="989" t="str">
        <f t="shared" si="678"/>
        <v/>
      </c>
      <c r="CM279" s="988" t="str">
        <f t="shared" si="678"/>
        <v/>
      </c>
      <c r="CN279" s="533" t="str">
        <f t="shared" si="556"/>
        <v/>
      </c>
      <c r="CO279" s="534" t="str">
        <f t="shared" si="557"/>
        <v/>
      </c>
      <c r="CP279" s="535" t="str">
        <f t="shared" si="558"/>
        <v/>
      </c>
      <c r="CQ279" s="535" t="str">
        <f t="shared" si="559"/>
        <v/>
      </c>
      <c r="CR279" s="535" t="str">
        <f t="shared" si="560"/>
        <v/>
      </c>
      <c r="CS279" s="535" t="str">
        <f t="shared" si="561"/>
        <v/>
      </c>
      <c r="CT279" s="535" t="str">
        <f t="shared" si="562"/>
        <v/>
      </c>
      <c r="CU279" s="536" t="str">
        <f t="shared" si="563"/>
        <v/>
      </c>
      <c r="CV279" s="536" t="str">
        <f t="shared" si="564"/>
        <v/>
      </c>
      <c r="CW279" s="536" t="str">
        <f t="shared" si="565"/>
        <v/>
      </c>
      <c r="CX279" s="535" t="str">
        <f t="shared" si="566"/>
        <v/>
      </c>
      <c r="CY279" s="535" t="str">
        <f t="shared" si="567"/>
        <v/>
      </c>
      <c r="CZ279" s="535" t="str">
        <f t="shared" si="568"/>
        <v/>
      </c>
      <c r="DA279" s="535" t="str">
        <f t="shared" si="569"/>
        <v/>
      </c>
      <c r="DB279" s="535" t="str">
        <f t="shared" si="570"/>
        <v/>
      </c>
      <c r="DC279" s="534" t="str">
        <f t="shared" si="571"/>
        <v/>
      </c>
      <c r="DD279" s="533" t="str">
        <f t="shared" si="572"/>
        <v/>
      </c>
      <c r="DE279" s="635">
        <f t="shared" si="638"/>
        <v>0</v>
      </c>
      <c r="DF279" s="95">
        <f t="shared" si="639"/>
        <v>0</v>
      </c>
      <c r="DG279" s="95">
        <f t="shared" si="640"/>
        <v>0</v>
      </c>
      <c r="DH279" s="95">
        <f t="shared" si="641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680">3630*$K$1</f>
        <v>15198.083999999999</v>
      </c>
      <c r="D280" s="683">
        <f t="shared" si="680"/>
        <v>15198.083999999999</v>
      </c>
      <c r="E280" s="683">
        <f t="shared" si="680"/>
        <v>15198.083999999999</v>
      </c>
      <c r="F280" s="683">
        <f t="shared" si="680"/>
        <v>15198.083999999999</v>
      </c>
      <c r="G280" s="683">
        <f t="shared" si="680"/>
        <v>15198.083999999999</v>
      </c>
      <c r="H280" s="683">
        <f t="shared" si="680"/>
        <v>15198.083999999999</v>
      </c>
      <c r="I280" s="683">
        <f t="shared" si="680"/>
        <v>15198.083999999999</v>
      </c>
      <c r="J280" s="683">
        <f t="shared" si="680"/>
        <v>15198.083999999999</v>
      </c>
      <c r="K280" s="683">
        <f t="shared" si="680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681">3630*$K$1</f>
        <v>15198.083999999999</v>
      </c>
      <c r="V280" s="683">
        <f t="shared" si="681"/>
        <v>15198.083999999999</v>
      </c>
      <c r="W280" s="683">
        <f t="shared" si="681"/>
        <v>15198.083999999999</v>
      </c>
      <c r="X280" s="683">
        <f t="shared" si="681"/>
        <v>15198.083999999999</v>
      </c>
      <c r="Y280" s="683">
        <f t="shared" si="681"/>
        <v>15198.083999999999</v>
      </c>
      <c r="Z280" s="683">
        <f t="shared" si="681"/>
        <v>15198.083999999999</v>
      </c>
      <c r="AA280" s="683">
        <f t="shared" si="681"/>
        <v>15198.083999999999</v>
      </c>
      <c r="AB280" s="683">
        <f t="shared" si="681"/>
        <v>15198.083999999999</v>
      </c>
      <c r="AC280" s="683">
        <f t="shared" si="681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682">3630*$K$1</f>
        <v>15198.083999999999</v>
      </c>
      <c r="AN280" s="683">
        <f t="shared" si="682"/>
        <v>15198.083999999999</v>
      </c>
      <c r="AO280" s="683">
        <f t="shared" si="682"/>
        <v>15198.083999999999</v>
      </c>
      <c r="AP280" s="683">
        <f t="shared" si="682"/>
        <v>15198.083999999999</v>
      </c>
      <c r="AQ280" s="683">
        <f t="shared" si="682"/>
        <v>15198.083999999999</v>
      </c>
      <c r="AR280" s="683">
        <f t="shared" si="682"/>
        <v>15198.083999999999</v>
      </c>
      <c r="AS280" s="683">
        <f t="shared" si="682"/>
        <v>15198.083999999999</v>
      </c>
      <c r="AT280" s="683">
        <f t="shared" si="682"/>
        <v>15198.083999999999</v>
      </c>
      <c r="AU280" s="683">
        <f t="shared" si="682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683">3630*$K$1</f>
        <v>15198.083999999999</v>
      </c>
      <c r="BF280" s="1225">
        <f t="shared" si="683"/>
        <v>15198.083999999999</v>
      </c>
      <c r="BG280" s="1225">
        <f t="shared" si="683"/>
        <v>15198.083999999999</v>
      </c>
      <c r="BH280" s="1225">
        <f t="shared" si="683"/>
        <v>15198.083999999999</v>
      </c>
      <c r="BI280" s="1225">
        <f t="shared" si="683"/>
        <v>15198.083999999999</v>
      </c>
      <c r="BJ280" s="1225">
        <f t="shared" si="683"/>
        <v>15198.083999999999</v>
      </c>
      <c r="BK280" s="1225">
        <f t="shared" si="683"/>
        <v>15198.083999999999</v>
      </c>
      <c r="BL280" s="1225">
        <f t="shared" si="683"/>
        <v>15198.083999999999</v>
      </c>
      <c r="BM280" s="1225">
        <f t="shared" si="683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>3630*$K$1</f>
        <v>15198.083999999999</v>
      </c>
      <c r="BW280" s="683">
        <f>3630*$K$1</f>
        <v>15198.083999999999</v>
      </c>
      <c r="BX280" s="683">
        <f>3630*$K$1</f>
        <v>15198.083999999999</v>
      </c>
      <c r="BY280" s="683">
        <f>3630*$K$1</f>
        <v>15198.083999999999</v>
      </c>
      <c r="BZ280" s="582">
        <f t="shared" si="542"/>
        <v>15198.083999999999</v>
      </c>
      <c r="CA280" s="582">
        <f t="shared" si="543"/>
        <v>15198.083999999999</v>
      </c>
      <c r="CB280" s="582">
        <f t="shared" si="544"/>
        <v>15198.083999999999</v>
      </c>
      <c r="CC280" s="670">
        <f t="shared" si="545"/>
        <v>15198.083999999999</v>
      </c>
      <c r="CD280" s="988">
        <f t="shared" si="679"/>
        <v>15198.083999999999</v>
      </c>
      <c r="CE280" s="989">
        <f t="shared" si="678"/>
        <v>15198.083999999999</v>
      </c>
      <c r="CF280" s="989">
        <f t="shared" si="678"/>
        <v>15198.083999999999</v>
      </c>
      <c r="CG280" s="989">
        <f t="shared" si="678"/>
        <v>15198.083999999999</v>
      </c>
      <c r="CH280" s="990">
        <f t="shared" si="678"/>
        <v>15198.083999999999</v>
      </c>
      <c r="CI280" s="990">
        <f t="shared" si="678"/>
        <v>15198.083999999999</v>
      </c>
      <c r="CJ280" s="989">
        <f t="shared" si="678"/>
        <v>15198.083999999999</v>
      </c>
      <c r="CK280" s="989">
        <f t="shared" si="678"/>
        <v>15198.083999999999</v>
      </c>
      <c r="CL280" s="989">
        <f t="shared" si="678"/>
        <v>15198.083999999999</v>
      </c>
      <c r="CM280" s="988">
        <f t="shared" si="678"/>
        <v>15198.083999999999</v>
      </c>
      <c r="CN280" s="533" t="str">
        <f t="shared" si="556"/>
        <v/>
      </c>
      <c r="CO280" s="534" t="str">
        <f t="shared" si="557"/>
        <v/>
      </c>
      <c r="CP280" s="535" t="str">
        <f t="shared" si="558"/>
        <v/>
      </c>
      <c r="CQ280" s="535" t="str">
        <f t="shared" si="559"/>
        <v/>
      </c>
      <c r="CR280" s="535">
        <f t="shared" si="560"/>
        <v>15198.083999999999</v>
      </c>
      <c r="CS280" s="535">
        <f t="shared" si="561"/>
        <v>15198.083999999999</v>
      </c>
      <c r="CT280" s="535">
        <f t="shared" si="562"/>
        <v>15198.083999999999</v>
      </c>
      <c r="CU280" s="536">
        <f t="shared" si="563"/>
        <v>15198.083999999999</v>
      </c>
      <c r="CV280" s="536">
        <f t="shared" si="564"/>
        <v>15198.083999999999</v>
      </c>
      <c r="CW280" s="536">
        <f t="shared" si="565"/>
        <v>15198.083999999999</v>
      </c>
      <c r="CX280" s="535">
        <f t="shared" si="566"/>
        <v>15198.083999999999</v>
      </c>
      <c r="CY280" s="535">
        <f t="shared" si="567"/>
        <v>15198.083999999999</v>
      </c>
      <c r="CZ280" s="535">
        <f t="shared" si="568"/>
        <v>15198.083999999999</v>
      </c>
      <c r="DA280" s="535">
        <f t="shared" si="569"/>
        <v>15198.083999999999</v>
      </c>
      <c r="DB280" s="535" t="str">
        <f t="shared" si="570"/>
        <v/>
      </c>
      <c r="DC280" s="534" t="str">
        <f t="shared" si="571"/>
        <v/>
      </c>
      <c r="DD280" s="533" t="str">
        <f t="shared" si="572"/>
        <v/>
      </c>
      <c r="DE280" s="635">
        <f t="shared" si="638"/>
        <v>10</v>
      </c>
      <c r="DF280" s="95">
        <f t="shared" si="639"/>
        <v>10</v>
      </c>
      <c r="DG280" s="95">
        <f t="shared" si="640"/>
        <v>10</v>
      </c>
      <c r="DH280" s="95">
        <f t="shared" si="641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542"/>
        <v/>
      </c>
      <c r="CA281" s="582" t="str">
        <f t="shared" si="543"/>
        <v/>
      </c>
      <c r="CB281" s="582" t="str">
        <f t="shared" si="544"/>
        <v/>
      </c>
      <c r="CC281" s="670" t="str">
        <f t="shared" si="545"/>
        <v/>
      </c>
      <c r="CD281" s="988" t="str">
        <f t="shared" si="679"/>
        <v/>
      </c>
      <c r="CE281" s="989" t="str">
        <f t="shared" si="678"/>
        <v/>
      </c>
      <c r="CF281" s="989" t="str">
        <f t="shared" si="678"/>
        <v/>
      </c>
      <c r="CG281" s="989" t="str">
        <f t="shared" si="678"/>
        <v/>
      </c>
      <c r="CH281" s="990" t="str">
        <f t="shared" si="678"/>
        <v/>
      </c>
      <c r="CI281" s="990" t="str">
        <f t="shared" si="678"/>
        <v/>
      </c>
      <c r="CJ281" s="989" t="str">
        <f t="shared" si="678"/>
        <v/>
      </c>
      <c r="CK281" s="989" t="str">
        <f t="shared" si="678"/>
        <v/>
      </c>
      <c r="CL281" s="989" t="str">
        <f t="shared" si="678"/>
        <v/>
      </c>
      <c r="CM281" s="988" t="str">
        <f t="shared" si="678"/>
        <v/>
      </c>
      <c r="CN281" s="533" t="str">
        <f t="shared" si="556"/>
        <v/>
      </c>
      <c r="CO281" s="534" t="str">
        <f t="shared" si="557"/>
        <v/>
      </c>
      <c r="CP281" s="535" t="str">
        <f t="shared" si="558"/>
        <v/>
      </c>
      <c r="CQ281" s="535" t="str">
        <f t="shared" si="559"/>
        <v/>
      </c>
      <c r="CR281" s="535" t="str">
        <f t="shared" si="560"/>
        <v/>
      </c>
      <c r="CS281" s="535" t="str">
        <f t="shared" si="561"/>
        <v/>
      </c>
      <c r="CT281" s="535" t="str">
        <f t="shared" si="562"/>
        <v/>
      </c>
      <c r="CU281" s="536" t="str">
        <f t="shared" si="563"/>
        <v/>
      </c>
      <c r="CV281" s="536" t="str">
        <f t="shared" si="564"/>
        <v/>
      </c>
      <c r="CW281" s="536" t="str">
        <f t="shared" si="565"/>
        <v/>
      </c>
      <c r="CX281" s="535" t="str">
        <f t="shared" si="566"/>
        <v/>
      </c>
      <c r="CY281" s="535" t="str">
        <f t="shared" si="567"/>
        <v/>
      </c>
      <c r="CZ281" s="535" t="str">
        <f t="shared" si="568"/>
        <v/>
      </c>
      <c r="DA281" s="535" t="str">
        <f t="shared" si="569"/>
        <v/>
      </c>
      <c r="DB281" s="535" t="str">
        <f t="shared" si="570"/>
        <v/>
      </c>
      <c r="DC281" s="534" t="str">
        <f t="shared" si="571"/>
        <v/>
      </c>
      <c r="DD281" s="533" t="str">
        <f t="shared" si="572"/>
        <v/>
      </c>
      <c r="DE281" s="635">
        <f t="shared" si="638"/>
        <v>0</v>
      </c>
      <c r="DF281" s="95">
        <f t="shared" si="639"/>
        <v>0</v>
      </c>
      <c r="DG281" s="95">
        <f t="shared" si="640"/>
        <v>0</v>
      </c>
      <c r="DH281" s="95">
        <f t="shared" si="641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542"/>
        <v/>
      </c>
      <c r="CA282" s="582" t="str">
        <f t="shared" si="543"/>
        <v/>
      </c>
      <c r="CB282" s="582" t="str">
        <f t="shared" si="544"/>
        <v/>
      </c>
      <c r="CC282" s="670" t="str">
        <f t="shared" si="545"/>
        <v/>
      </c>
      <c r="CD282" s="988" t="str">
        <f t="shared" si="679"/>
        <v/>
      </c>
      <c r="CE282" s="989" t="str">
        <f t="shared" si="678"/>
        <v/>
      </c>
      <c r="CF282" s="989" t="str">
        <f t="shared" si="678"/>
        <v/>
      </c>
      <c r="CG282" s="989" t="str">
        <f t="shared" si="678"/>
        <v/>
      </c>
      <c r="CH282" s="990" t="str">
        <f t="shared" si="678"/>
        <v/>
      </c>
      <c r="CI282" s="990" t="str">
        <f t="shared" si="678"/>
        <v/>
      </c>
      <c r="CJ282" s="989" t="str">
        <f t="shared" si="678"/>
        <v/>
      </c>
      <c r="CK282" s="989" t="str">
        <f t="shared" si="678"/>
        <v/>
      </c>
      <c r="CL282" s="989" t="str">
        <f t="shared" si="678"/>
        <v/>
      </c>
      <c r="CM282" s="988" t="str">
        <f t="shared" si="678"/>
        <v/>
      </c>
      <c r="CN282" s="533" t="str">
        <f t="shared" si="556"/>
        <v/>
      </c>
      <c r="CO282" s="534" t="str">
        <f t="shared" si="557"/>
        <v/>
      </c>
      <c r="CP282" s="535" t="str">
        <f t="shared" si="558"/>
        <v/>
      </c>
      <c r="CQ282" s="535" t="str">
        <f t="shared" si="559"/>
        <v/>
      </c>
      <c r="CR282" s="535" t="str">
        <f t="shared" si="560"/>
        <v/>
      </c>
      <c r="CS282" s="535" t="str">
        <f t="shared" si="561"/>
        <v/>
      </c>
      <c r="CT282" s="535" t="str">
        <f t="shared" si="562"/>
        <v/>
      </c>
      <c r="CU282" s="536" t="str">
        <f t="shared" si="563"/>
        <v/>
      </c>
      <c r="CV282" s="536" t="str">
        <f t="shared" si="564"/>
        <v/>
      </c>
      <c r="CW282" s="536" t="str">
        <f t="shared" si="565"/>
        <v/>
      </c>
      <c r="CX282" s="535" t="str">
        <f t="shared" si="566"/>
        <v/>
      </c>
      <c r="CY282" s="535" t="str">
        <f t="shared" si="567"/>
        <v/>
      </c>
      <c r="CZ282" s="535" t="str">
        <f t="shared" si="568"/>
        <v/>
      </c>
      <c r="DA282" s="535" t="str">
        <f t="shared" si="569"/>
        <v/>
      </c>
      <c r="DB282" s="535" t="str">
        <f t="shared" si="570"/>
        <v/>
      </c>
      <c r="DC282" s="534" t="str">
        <f t="shared" si="571"/>
        <v/>
      </c>
      <c r="DD282" s="533" t="str">
        <f t="shared" si="572"/>
        <v/>
      </c>
      <c r="DE282" s="635">
        <f t="shared" si="638"/>
        <v>0</v>
      </c>
      <c r="DF282" s="95">
        <f t="shared" si="639"/>
        <v>0</v>
      </c>
      <c r="DG282" s="95">
        <f t="shared" si="640"/>
        <v>0</v>
      </c>
      <c r="DH282" s="95">
        <f t="shared" si="641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684">IF(B281="","",B281*B282)</f>
        <v/>
      </c>
      <c r="C283" s="612" t="str">
        <f t="shared" si="684"/>
        <v/>
      </c>
      <c r="D283" s="612" t="str">
        <f t="shared" si="684"/>
        <v/>
      </c>
      <c r="E283" s="612" t="str">
        <f t="shared" si="684"/>
        <v/>
      </c>
      <c r="F283" s="612" t="str">
        <f t="shared" si="684"/>
        <v/>
      </c>
      <c r="G283" s="612" t="str">
        <f t="shared" si="684"/>
        <v/>
      </c>
      <c r="H283" s="612" t="str">
        <f t="shared" si="684"/>
        <v/>
      </c>
      <c r="I283" s="612" t="str">
        <f t="shared" si="684"/>
        <v/>
      </c>
      <c r="J283" s="612" t="str">
        <f t="shared" si="684"/>
        <v/>
      </c>
      <c r="K283" s="612" t="str">
        <f t="shared" si="684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685">IF(T281="","",T281*T282)</f>
        <v/>
      </c>
      <c r="U283" s="612" t="str">
        <f t="shared" si="685"/>
        <v/>
      </c>
      <c r="V283" s="612" t="str">
        <f t="shared" si="685"/>
        <v/>
      </c>
      <c r="W283" s="612" t="str">
        <f t="shared" si="685"/>
        <v/>
      </c>
      <c r="X283" s="612" t="str">
        <f t="shared" si="685"/>
        <v/>
      </c>
      <c r="Y283" s="612" t="str">
        <f t="shared" si="685"/>
        <v/>
      </c>
      <c r="Z283" s="612" t="str">
        <f t="shared" si="685"/>
        <v/>
      </c>
      <c r="AA283" s="612" t="str">
        <f t="shared" si="685"/>
        <v/>
      </c>
      <c r="AB283" s="612" t="str">
        <f t="shared" si="685"/>
        <v/>
      </c>
      <c r="AC283" s="612" t="str">
        <f t="shared" si="685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686">IF(AL281="","",AL281*AL282)</f>
        <v/>
      </c>
      <c r="AM283" s="612" t="str">
        <f t="shared" si="686"/>
        <v/>
      </c>
      <c r="AN283" s="612" t="str">
        <f t="shared" si="686"/>
        <v/>
      </c>
      <c r="AO283" s="612" t="str">
        <f t="shared" si="686"/>
        <v/>
      </c>
      <c r="AP283" s="612" t="str">
        <f t="shared" si="686"/>
        <v/>
      </c>
      <c r="AQ283" s="612" t="str">
        <f t="shared" si="686"/>
        <v/>
      </c>
      <c r="AR283" s="612" t="str">
        <f t="shared" si="686"/>
        <v/>
      </c>
      <c r="AS283" s="612" t="str">
        <f t="shared" si="686"/>
        <v/>
      </c>
      <c r="AT283" s="612" t="str">
        <f t="shared" si="686"/>
        <v/>
      </c>
      <c r="AU283" s="612" t="str">
        <f t="shared" si="686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687">IF(BD281="","",BD281*BD282)</f>
        <v/>
      </c>
      <c r="BE283" s="1201" t="str">
        <f t="shared" si="687"/>
        <v/>
      </c>
      <c r="BF283" s="1201" t="str">
        <f t="shared" si="687"/>
        <v/>
      </c>
      <c r="BG283" s="1201" t="str">
        <f t="shared" si="687"/>
        <v/>
      </c>
      <c r="BH283" s="1201" t="str">
        <f t="shared" si="687"/>
        <v/>
      </c>
      <c r="BI283" s="1201" t="str">
        <f t="shared" si="687"/>
        <v/>
      </c>
      <c r="BJ283" s="1201" t="str">
        <f t="shared" si="687"/>
        <v/>
      </c>
      <c r="BK283" s="1201" t="str">
        <f t="shared" si="687"/>
        <v/>
      </c>
      <c r="BL283" s="1201" t="str">
        <f t="shared" si="687"/>
        <v/>
      </c>
      <c r="BM283" s="1201" t="str">
        <f t="shared" si="687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542"/>
        <v/>
      </c>
      <c r="CA283" s="582" t="str">
        <f t="shared" si="543"/>
        <v/>
      </c>
      <c r="CB283" s="582" t="str">
        <f t="shared" si="544"/>
        <v/>
      </c>
      <c r="CC283" s="670" t="str">
        <f t="shared" si="545"/>
        <v/>
      </c>
      <c r="CD283" s="988" t="str">
        <f t="shared" si="679"/>
        <v/>
      </c>
      <c r="CE283" s="989" t="str">
        <f t="shared" si="678"/>
        <v/>
      </c>
      <c r="CF283" s="989" t="str">
        <f t="shared" si="678"/>
        <v/>
      </c>
      <c r="CG283" s="989" t="str">
        <f t="shared" si="678"/>
        <v/>
      </c>
      <c r="CH283" s="990" t="str">
        <f t="shared" si="678"/>
        <v/>
      </c>
      <c r="CI283" s="990" t="str">
        <f t="shared" si="678"/>
        <v/>
      </c>
      <c r="CJ283" s="989" t="str">
        <f t="shared" si="678"/>
        <v/>
      </c>
      <c r="CK283" s="989" t="str">
        <f t="shared" si="678"/>
        <v/>
      </c>
      <c r="CL283" s="989" t="str">
        <f t="shared" si="678"/>
        <v/>
      </c>
      <c r="CM283" s="988" t="str">
        <f t="shared" si="678"/>
        <v/>
      </c>
      <c r="CN283" s="533" t="str">
        <f t="shared" si="556"/>
        <v/>
      </c>
      <c r="CO283" s="534" t="str">
        <f t="shared" si="557"/>
        <v/>
      </c>
      <c r="CP283" s="535" t="str">
        <f t="shared" si="558"/>
        <v/>
      </c>
      <c r="CQ283" s="535" t="str">
        <f t="shared" si="559"/>
        <v/>
      </c>
      <c r="CR283" s="535" t="str">
        <f t="shared" si="560"/>
        <v/>
      </c>
      <c r="CS283" s="535" t="str">
        <f t="shared" si="561"/>
        <v/>
      </c>
      <c r="CT283" s="535" t="str">
        <f t="shared" si="562"/>
        <v/>
      </c>
      <c r="CU283" s="536" t="str">
        <f t="shared" si="563"/>
        <v/>
      </c>
      <c r="CV283" s="536" t="str">
        <f t="shared" si="564"/>
        <v/>
      </c>
      <c r="CW283" s="536" t="str">
        <f t="shared" si="565"/>
        <v/>
      </c>
      <c r="CX283" s="535" t="str">
        <f t="shared" si="566"/>
        <v/>
      </c>
      <c r="CY283" s="535" t="str">
        <f t="shared" si="567"/>
        <v/>
      </c>
      <c r="CZ283" s="535" t="str">
        <f t="shared" si="568"/>
        <v/>
      </c>
      <c r="DA283" s="535" t="str">
        <f t="shared" si="569"/>
        <v/>
      </c>
      <c r="DB283" s="535" t="str">
        <f t="shared" si="570"/>
        <v/>
      </c>
      <c r="DC283" s="534" t="str">
        <f t="shared" si="571"/>
        <v/>
      </c>
      <c r="DD283" s="533" t="str">
        <f t="shared" si="572"/>
        <v/>
      </c>
      <c r="DE283" s="635">
        <f t="shared" si="638"/>
        <v>0</v>
      </c>
      <c r="DF283" s="95">
        <f t="shared" si="639"/>
        <v>0</v>
      </c>
      <c r="DG283" s="95">
        <f t="shared" si="640"/>
        <v>0</v>
      </c>
      <c r="DH283" s="95">
        <f t="shared" si="641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542"/>
        <v/>
      </c>
      <c r="CA284" s="582" t="str">
        <f t="shared" si="543"/>
        <v/>
      </c>
      <c r="CB284" s="582" t="str">
        <f t="shared" si="544"/>
        <v/>
      </c>
      <c r="CC284" s="670" t="str">
        <f t="shared" si="545"/>
        <v/>
      </c>
      <c r="CD284" s="988" t="str">
        <f t="shared" si="679"/>
        <v/>
      </c>
      <c r="CE284" s="989" t="str">
        <f t="shared" si="678"/>
        <v/>
      </c>
      <c r="CF284" s="989" t="str">
        <f t="shared" si="678"/>
        <v/>
      </c>
      <c r="CG284" s="989" t="str">
        <f t="shared" si="678"/>
        <v/>
      </c>
      <c r="CH284" s="990" t="str">
        <f t="shared" si="678"/>
        <v/>
      </c>
      <c r="CI284" s="990" t="str">
        <f t="shared" si="678"/>
        <v/>
      </c>
      <c r="CJ284" s="989" t="str">
        <f t="shared" si="678"/>
        <v/>
      </c>
      <c r="CK284" s="989" t="str">
        <f t="shared" si="678"/>
        <v/>
      </c>
      <c r="CL284" s="989" t="str">
        <f t="shared" si="678"/>
        <v/>
      </c>
      <c r="CM284" s="988" t="str">
        <f t="shared" si="678"/>
        <v/>
      </c>
      <c r="CN284" s="533" t="str">
        <f t="shared" si="556"/>
        <v/>
      </c>
      <c r="CO284" s="534" t="str">
        <f t="shared" si="557"/>
        <v/>
      </c>
      <c r="CP284" s="535" t="str">
        <f t="shared" si="558"/>
        <v/>
      </c>
      <c r="CQ284" s="535" t="str">
        <f t="shared" si="559"/>
        <v/>
      </c>
      <c r="CR284" s="535" t="str">
        <f t="shared" si="560"/>
        <v/>
      </c>
      <c r="CS284" s="535" t="str">
        <f t="shared" si="561"/>
        <v/>
      </c>
      <c r="CT284" s="535" t="str">
        <f t="shared" si="562"/>
        <v/>
      </c>
      <c r="CU284" s="536" t="str">
        <f t="shared" si="563"/>
        <v/>
      </c>
      <c r="CV284" s="536" t="str">
        <f t="shared" si="564"/>
        <v/>
      </c>
      <c r="CW284" s="536" t="str">
        <f t="shared" si="565"/>
        <v/>
      </c>
      <c r="CX284" s="535" t="str">
        <f t="shared" si="566"/>
        <v/>
      </c>
      <c r="CY284" s="535" t="str">
        <f t="shared" si="567"/>
        <v/>
      </c>
      <c r="CZ284" s="535" t="str">
        <f t="shared" si="568"/>
        <v/>
      </c>
      <c r="DA284" s="535" t="str">
        <f t="shared" si="569"/>
        <v/>
      </c>
      <c r="DB284" s="535" t="str">
        <f t="shared" si="570"/>
        <v/>
      </c>
      <c r="DC284" s="534" t="str">
        <f t="shared" si="571"/>
        <v/>
      </c>
      <c r="DD284" s="533" t="str">
        <f t="shared" si="572"/>
        <v/>
      </c>
      <c r="DE284" s="635">
        <f t="shared" si="638"/>
        <v>0</v>
      </c>
      <c r="DF284" s="95">
        <f t="shared" si="639"/>
        <v>0</v>
      </c>
      <c r="DG284" s="95">
        <f t="shared" si="640"/>
        <v>0</v>
      </c>
      <c r="DH284" s="95">
        <f t="shared" si="641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688">IF(B279="","",(B279-B281-B284)*B280/B$46/365/$G$1)</f>
        <v/>
      </c>
      <c r="C285" s="615" t="str">
        <f t="shared" si="688"/>
        <v/>
      </c>
      <c r="D285" s="615" t="str">
        <f t="shared" si="688"/>
        <v/>
      </c>
      <c r="E285" s="615" t="str">
        <f t="shared" si="688"/>
        <v/>
      </c>
      <c r="F285" s="615" t="str">
        <f t="shared" si="688"/>
        <v/>
      </c>
      <c r="G285" s="615" t="str">
        <f t="shared" si="688"/>
        <v/>
      </c>
      <c r="H285" s="615" t="str">
        <f t="shared" si="688"/>
        <v/>
      </c>
      <c r="I285" s="615" t="str">
        <f t="shared" si="688"/>
        <v/>
      </c>
      <c r="J285" s="615" t="str">
        <f t="shared" si="688"/>
        <v/>
      </c>
      <c r="K285" s="615" t="str">
        <f t="shared" si="688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689">IF(T279="","",(T279-T281-T284)*T280/T$46/365/$G$1)</f>
        <v/>
      </c>
      <c r="U285" s="615" t="str">
        <f t="shared" si="689"/>
        <v/>
      </c>
      <c r="V285" s="615" t="str">
        <f t="shared" si="689"/>
        <v/>
      </c>
      <c r="W285" s="615" t="str">
        <f t="shared" si="689"/>
        <v/>
      </c>
      <c r="X285" s="615" t="str">
        <f t="shared" si="689"/>
        <v/>
      </c>
      <c r="Y285" s="615" t="str">
        <f t="shared" si="689"/>
        <v/>
      </c>
      <c r="Z285" s="615" t="str">
        <f t="shared" si="689"/>
        <v/>
      </c>
      <c r="AA285" s="615" t="str">
        <f t="shared" si="689"/>
        <v/>
      </c>
      <c r="AB285" s="615" t="str">
        <f t="shared" si="689"/>
        <v/>
      </c>
      <c r="AC285" s="615" t="str">
        <f t="shared" si="689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690">IF(AL279="","",(AL279-AL281-AL284)*AL280/AL$46/365/$G$1)</f>
        <v/>
      </c>
      <c r="AM285" s="615" t="str">
        <f t="shared" si="690"/>
        <v/>
      </c>
      <c r="AN285" s="615" t="str">
        <f t="shared" si="690"/>
        <v/>
      </c>
      <c r="AO285" s="615" t="str">
        <f t="shared" si="690"/>
        <v/>
      </c>
      <c r="AP285" s="615" t="str">
        <f t="shared" si="690"/>
        <v/>
      </c>
      <c r="AQ285" s="615" t="str">
        <f t="shared" si="690"/>
        <v/>
      </c>
      <c r="AR285" s="615" t="str">
        <f t="shared" si="690"/>
        <v/>
      </c>
      <c r="AS285" s="615" t="str">
        <f t="shared" si="690"/>
        <v/>
      </c>
      <c r="AT285" s="615" t="str">
        <f t="shared" si="690"/>
        <v/>
      </c>
      <c r="AU285" s="615" t="str">
        <f t="shared" si="690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691">IF(BD279="","",(BD279-BD281-BD284)*BD280/BD$46/365/$G$1)</f>
        <v/>
      </c>
      <c r="BE285" s="1202" t="str">
        <f t="shared" si="691"/>
        <v/>
      </c>
      <c r="BF285" s="1202" t="str">
        <f t="shared" si="691"/>
        <v/>
      </c>
      <c r="BG285" s="1202" t="str">
        <f t="shared" si="691"/>
        <v/>
      </c>
      <c r="BH285" s="1202" t="str">
        <f t="shared" si="691"/>
        <v/>
      </c>
      <c r="BI285" s="1202" t="str">
        <f t="shared" si="691"/>
        <v/>
      </c>
      <c r="BJ285" s="1202" t="str">
        <f t="shared" si="691"/>
        <v/>
      </c>
      <c r="BK285" s="1202" t="str">
        <f t="shared" si="691"/>
        <v/>
      </c>
      <c r="BL285" s="1202" t="str">
        <f t="shared" si="691"/>
        <v/>
      </c>
      <c r="BM285" s="1202" t="str">
        <f t="shared" si="691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542"/>
        <v/>
      </c>
      <c r="CA285" s="607" t="str">
        <f t="shared" si="543"/>
        <v/>
      </c>
      <c r="CB285" s="607" t="str">
        <f t="shared" si="544"/>
        <v/>
      </c>
      <c r="CC285" s="673" t="str">
        <f t="shared" si="54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69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692"/>
        <v/>
      </c>
      <c r="CG285" s="992" t="str">
        <f t="shared" si="692"/>
        <v/>
      </c>
      <c r="CH285" s="993" t="str">
        <f t="shared" si="692"/>
        <v/>
      </c>
      <c r="CI285" s="993" t="str">
        <f t="shared" si="692"/>
        <v/>
      </c>
      <c r="CJ285" s="992" t="str">
        <f t="shared" si="692"/>
        <v/>
      </c>
      <c r="CK285" s="992" t="str">
        <f t="shared" si="692"/>
        <v/>
      </c>
      <c r="CL285" s="992" t="str">
        <f t="shared" si="692"/>
        <v/>
      </c>
      <c r="CM285" s="991" t="str">
        <f t="shared" si="692"/>
        <v/>
      </c>
      <c r="CN285" s="521" t="str">
        <f t="shared" si="556"/>
        <v/>
      </c>
      <c r="CO285" s="522" t="str">
        <f t="shared" si="557"/>
        <v/>
      </c>
      <c r="CP285" s="523" t="str">
        <f t="shared" si="558"/>
        <v/>
      </c>
      <c r="CQ285" s="523" t="str">
        <f t="shared" si="559"/>
        <v/>
      </c>
      <c r="CR285" s="523" t="str">
        <f t="shared" si="560"/>
        <v/>
      </c>
      <c r="CS285" s="523" t="str">
        <f t="shared" si="561"/>
        <v/>
      </c>
      <c r="CT285" s="523" t="str">
        <f t="shared" si="562"/>
        <v/>
      </c>
      <c r="CU285" s="524" t="str">
        <f t="shared" si="563"/>
        <v/>
      </c>
      <c r="CV285" s="524" t="str">
        <f t="shared" si="564"/>
        <v/>
      </c>
      <c r="CW285" s="524" t="str">
        <f t="shared" si="565"/>
        <v/>
      </c>
      <c r="CX285" s="523" t="str">
        <f t="shared" si="566"/>
        <v/>
      </c>
      <c r="CY285" s="523" t="str">
        <f t="shared" si="567"/>
        <v/>
      </c>
      <c r="CZ285" s="523" t="str">
        <f t="shared" si="568"/>
        <v/>
      </c>
      <c r="DA285" s="523" t="str">
        <f t="shared" si="569"/>
        <v/>
      </c>
      <c r="DB285" s="523" t="str">
        <f t="shared" si="570"/>
        <v/>
      </c>
      <c r="DC285" s="522" t="str">
        <f t="shared" si="571"/>
        <v/>
      </c>
      <c r="DD285" s="521" t="str">
        <f t="shared" si="572"/>
        <v/>
      </c>
      <c r="DE285" s="635">
        <f t="shared" si="638"/>
        <v>0</v>
      </c>
      <c r="DF285" s="95">
        <f t="shared" si="639"/>
        <v>0</v>
      </c>
      <c r="DG285" s="95">
        <f t="shared" si="640"/>
        <v>0</v>
      </c>
      <c r="DH285" s="95">
        <f t="shared" si="641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693">IF(DE286&lt;3,"",(SUM(B286:R286)-MIN(B286:R286)-MAX(B286:R286))/(DE286-2))</f>
        <v/>
      </c>
      <c r="CA286" s="582" t="str">
        <f t="shared" ref="CA286:CA300" si="694">IF(DF286&lt;3,"",(SUM(T286:AJ286)-MIN(T286:AJ286)-MAX(T286:AJ286))/(DF286-2))</f>
        <v/>
      </c>
      <c r="CB286" s="582" t="str">
        <f t="shared" ref="CB286:CB300" si="695">IF(DG286&lt;3,"",(SUM(AL286:BB286)-MIN(AL286:BB286)-MAX(AL286:BB286))/(DG286-2))</f>
        <v/>
      </c>
      <c r="CC286" s="670" t="str">
        <f t="shared" ref="CC286:CC300" si="696">IF(DH286&lt;3,"",(SUM(BD286:BT286)-MIN(BD286:BT286)-MAX(BD286:BT286))/(DH286-2))</f>
        <v/>
      </c>
      <c r="CD286" s="988" t="str">
        <f t="shared" ref="CD286:CD291" si="69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692"/>
        <v/>
      </c>
      <c r="CF286" s="989" t="str">
        <f t="shared" si="692"/>
        <v/>
      </c>
      <c r="CG286" s="989" t="str">
        <f t="shared" si="692"/>
        <v/>
      </c>
      <c r="CH286" s="990" t="str">
        <f t="shared" si="692"/>
        <v/>
      </c>
      <c r="CI286" s="990" t="str">
        <f t="shared" si="692"/>
        <v/>
      </c>
      <c r="CJ286" s="989" t="str">
        <f t="shared" si="692"/>
        <v/>
      </c>
      <c r="CK286" s="989" t="str">
        <f t="shared" si="692"/>
        <v/>
      </c>
      <c r="CL286" s="989" t="str">
        <f t="shared" si="692"/>
        <v/>
      </c>
      <c r="CM286" s="988" t="str">
        <f t="shared" si="692"/>
        <v/>
      </c>
      <c r="CN286" s="533" t="str">
        <f t="shared" si="556"/>
        <v/>
      </c>
      <c r="CO286" s="534" t="str">
        <f t="shared" si="557"/>
        <v/>
      </c>
      <c r="CP286" s="535" t="str">
        <f t="shared" si="558"/>
        <v/>
      </c>
      <c r="CQ286" s="535" t="str">
        <f t="shared" si="559"/>
        <v/>
      </c>
      <c r="CR286" s="535" t="str">
        <f t="shared" si="560"/>
        <v/>
      </c>
      <c r="CS286" s="535" t="str">
        <f t="shared" si="561"/>
        <v/>
      </c>
      <c r="CT286" s="535" t="str">
        <f t="shared" si="562"/>
        <v/>
      </c>
      <c r="CU286" s="536" t="str">
        <f t="shared" si="563"/>
        <v/>
      </c>
      <c r="CV286" s="536" t="str">
        <f t="shared" si="564"/>
        <v/>
      </c>
      <c r="CW286" s="536" t="str">
        <f t="shared" si="565"/>
        <v/>
      </c>
      <c r="CX286" s="535" t="str">
        <f t="shared" si="566"/>
        <v/>
      </c>
      <c r="CY286" s="535" t="str">
        <f t="shared" si="567"/>
        <v/>
      </c>
      <c r="CZ286" s="535" t="str">
        <f t="shared" si="568"/>
        <v/>
      </c>
      <c r="DA286" s="535" t="str">
        <f t="shared" si="569"/>
        <v/>
      </c>
      <c r="DB286" s="535" t="str">
        <f t="shared" si="570"/>
        <v/>
      </c>
      <c r="DC286" s="534" t="str">
        <f t="shared" si="571"/>
        <v/>
      </c>
      <c r="DD286" s="533" t="str">
        <f t="shared" si="572"/>
        <v/>
      </c>
      <c r="DE286" s="635">
        <f t="shared" si="638"/>
        <v>0</v>
      </c>
      <c r="DF286" s="95">
        <f t="shared" si="639"/>
        <v>0</v>
      </c>
      <c r="DG286" s="95">
        <f t="shared" si="640"/>
        <v>0</v>
      </c>
      <c r="DH286" s="95">
        <f t="shared" si="641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698">3360*$K$1</f>
        <v>14067.647999999999</v>
      </c>
      <c r="D287" s="683">
        <f t="shared" si="698"/>
        <v>14067.647999999999</v>
      </c>
      <c r="E287" s="683">
        <f t="shared" si="698"/>
        <v>14067.647999999999</v>
      </c>
      <c r="F287" s="683">
        <f t="shared" si="698"/>
        <v>14067.647999999999</v>
      </c>
      <c r="G287" s="683">
        <f t="shared" si="698"/>
        <v>14067.647999999999</v>
      </c>
      <c r="H287" s="683">
        <f t="shared" si="698"/>
        <v>14067.647999999999</v>
      </c>
      <c r="I287" s="683">
        <f t="shared" si="698"/>
        <v>14067.647999999999</v>
      </c>
      <c r="J287" s="683">
        <f t="shared" si="698"/>
        <v>14067.647999999999</v>
      </c>
      <c r="K287" s="683">
        <f t="shared" si="698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699">3360*$K$1</f>
        <v>14067.647999999999</v>
      </c>
      <c r="V287" s="683">
        <f t="shared" si="699"/>
        <v>14067.647999999999</v>
      </c>
      <c r="W287" s="683">
        <f t="shared" si="699"/>
        <v>14067.647999999999</v>
      </c>
      <c r="X287" s="683">
        <f t="shared" si="699"/>
        <v>14067.647999999999</v>
      </c>
      <c r="Y287" s="683">
        <f t="shared" si="699"/>
        <v>14067.647999999999</v>
      </c>
      <c r="Z287" s="683">
        <f t="shared" si="699"/>
        <v>14067.647999999999</v>
      </c>
      <c r="AA287" s="683">
        <f t="shared" si="699"/>
        <v>14067.647999999999</v>
      </c>
      <c r="AB287" s="683">
        <f t="shared" si="699"/>
        <v>14067.647999999999</v>
      </c>
      <c r="AC287" s="683">
        <f t="shared" si="699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00">3360*$K$1</f>
        <v>14067.647999999999</v>
      </c>
      <c r="AN287" s="683">
        <f t="shared" si="700"/>
        <v>14067.647999999999</v>
      </c>
      <c r="AO287" s="683">
        <f t="shared" si="700"/>
        <v>14067.647999999999</v>
      </c>
      <c r="AP287" s="683">
        <f t="shared" si="700"/>
        <v>14067.647999999999</v>
      </c>
      <c r="AQ287" s="683">
        <f t="shared" si="700"/>
        <v>14067.647999999999</v>
      </c>
      <c r="AR287" s="683">
        <f t="shared" si="700"/>
        <v>14067.647999999999</v>
      </c>
      <c r="AS287" s="683">
        <f t="shared" si="700"/>
        <v>14067.647999999999</v>
      </c>
      <c r="AT287" s="683">
        <f t="shared" si="700"/>
        <v>14067.647999999999</v>
      </c>
      <c r="AU287" s="683">
        <f t="shared" si="700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01">3360*$K$1</f>
        <v>14067.647999999999</v>
      </c>
      <c r="BF287" s="1225">
        <f t="shared" si="701"/>
        <v>14067.647999999999</v>
      </c>
      <c r="BG287" s="1225">
        <f t="shared" si="701"/>
        <v>14067.647999999999</v>
      </c>
      <c r="BH287" s="1225">
        <f t="shared" si="701"/>
        <v>14067.647999999999</v>
      </c>
      <c r="BI287" s="1225">
        <f t="shared" si="701"/>
        <v>14067.647999999999</v>
      </c>
      <c r="BJ287" s="1225">
        <f t="shared" si="701"/>
        <v>14067.647999999999</v>
      </c>
      <c r="BK287" s="1225">
        <f t="shared" si="701"/>
        <v>14067.647999999999</v>
      </c>
      <c r="BL287" s="1225">
        <f t="shared" si="701"/>
        <v>14067.647999999999</v>
      </c>
      <c r="BM287" s="1225">
        <f t="shared" si="701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>3360*$K$1</f>
        <v>14067.647999999999</v>
      </c>
      <c r="BW287" s="683">
        <f>3360*$K$1</f>
        <v>14067.647999999999</v>
      </c>
      <c r="BX287" s="683">
        <f>3360*$K$1</f>
        <v>14067.647999999999</v>
      </c>
      <c r="BY287" s="683">
        <f>3360*$K$1</f>
        <v>14067.647999999999</v>
      </c>
      <c r="BZ287" s="582">
        <f t="shared" si="693"/>
        <v>14067.647999999997</v>
      </c>
      <c r="CA287" s="582">
        <f t="shared" si="694"/>
        <v>14067.647999999997</v>
      </c>
      <c r="CB287" s="582">
        <f t="shared" si="695"/>
        <v>14067.647999999997</v>
      </c>
      <c r="CC287" s="670">
        <f t="shared" si="696"/>
        <v>14067.647999999997</v>
      </c>
      <c r="CD287" s="988">
        <f t="shared" si="697"/>
        <v>14067.647999999999</v>
      </c>
      <c r="CE287" s="989">
        <f t="shared" si="692"/>
        <v>14067.647999999999</v>
      </c>
      <c r="CF287" s="989">
        <f t="shared" si="692"/>
        <v>14067.647999999999</v>
      </c>
      <c r="CG287" s="989">
        <f t="shared" si="692"/>
        <v>14067.647999999999</v>
      </c>
      <c r="CH287" s="990">
        <f t="shared" si="692"/>
        <v>14067.647999999999</v>
      </c>
      <c r="CI287" s="990">
        <f t="shared" si="692"/>
        <v>14067.647999999999</v>
      </c>
      <c r="CJ287" s="989">
        <f t="shared" si="692"/>
        <v>14067.647999999999</v>
      </c>
      <c r="CK287" s="989">
        <f t="shared" si="692"/>
        <v>14067.647999999999</v>
      </c>
      <c r="CL287" s="989">
        <f t="shared" si="692"/>
        <v>14067.647999999999</v>
      </c>
      <c r="CM287" s="988">
        <f t="shared" si="692"/>
        <v>14067.647999999999</v>
      </c>
      <c r="CN287" s="533" t="str">
        <f t="shared" si="556"/>
        <v/>
      </c>
      <c r="CO287" s="534" t="str">
        <f t="shared" si="557"/>
        <v/>
      </c>
      <c r="CP287" s="535" t="str">
        <f t="shared" si="558"/>
        <v/>
      </c>
      <c r="CQ287" s="535" t="str">
        <f t="shared" si="559"/>
        <v/>
      </c>
      <c r="CR287" s="535">
        <f t="shared" si="560"/>
        <v>14067.647999999999</v>
      </c>
      <c r="CS287" s="535">
        <f t="shared" si="561"/>
        <v>14067.647999999999</v>
      </c>
      <c r="CT287" s="535">
        <f t="shared" si="562"/>
        <v>14067.647999999999</v>
      </c>
      <c r="CU287" s="536">
        <f t="shared" si="563"/>
        <v>14067.647999999999</v>
      </c>
      <c r="CV287" s="536">
        <f t="shared" si="564"/>
        <v>14067.647999999999</v>
      </c>
      <c r="CW287" s="536">
        <f t="shared" si="565"/>
        <v>14067.647999999999</v>
      </c>
      <c r="CX287" s="535">
        <f t="shared" si="566"/>
        <v>14067.647999999999</v>
      </c>
      <c r="CY287" s="535">
        <f t="shared" si="567"/>
        <v>14067.647999999999</v>
      </c>
      <c r="CZ287" s="535">
        <f t="shared" si="568"/>
        <v>14067.647999999999</v>
      </c>
      <c r="DA287" s="535">
        <f t="shared" si="569"/>
        <v>14067.647999999999</v>
      </c>
      <c r="DB287" s="535" t="str">
        <f t="shared" si="570"/>
        <v/>
      </c>
      <c r="DC287" s="534" t="str">
        <f t="shared" si="571"/>
        <v/>
      </c>
      <c r="DD287" s="533" t="str">
        <f t="shared" si="572"/>
        <v/>
      </c>
      <c r="DE287" s="635">
        <f t="shared" si="638"/>
        <v>10</v>
      </c>
      <c r="DF287" s="95">
        <f t="shared" si="639"/>
        <v>10</v>
      </c>
      <c r="DG287" s="95">
        <f t="shared" si="640"/>
        <v>10</v>
      </c>
      <c r="DH287" s="95">
        <f t="shared" si="641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693"/>
        <v/>
      </c>
      <c r="CA288" s="582" t="str">
        <f t="shared" si="694"/>
        <v/>
      </c>
      <c r="CB288" s="582" t="str">
        <f t="shared" si="695"/>
        <v/>
      </c>
      <c r="CC288" s="670" t="str">
        <f t="shared" si="696"/>
        <v/>
      </c>
      <c r="CD288" s="988" t="str">
        <f t="shared" si="697"/>
        <v/>
      </c>
      <c r="CE288" s="989" t="str">
        <f t="shared" si="692"/>
        <v/>
      </c>
      <c r="CF288" s="989" t="str">
        <f t="shared" si="692"/>
        <v/>
      </c>
      <c r="CG288" s="989" t="str">
        <f t="shared" si="692"/>
        <v/>
      </c>
      <c r="CH288" s="990" t="str">
        <f t="shared" si="692"/>
        <v/>
      </c>
      <c r="CI288" s="990" t="str">
        <f t="shared" si="692"/>
        <v/>
      </c>
      <c r="CJ288" s="989" t="str">
        <f t="shared" si="692"/>
        <v/>
      </c>
      <c r="CK288" s="989" t="str">
        <f t="shared" si="692"/>
        <v/>
      </c>
      <c r="CL288" s="989" t="str">
        <f t="shared" si="692"/>
        <v/>
      </c>
      <c r="CM288" s="988" t="str">
        <f t="shared" si="692"/>
        <v/>
      </c>
      <c r="CN288" s="533" t="str">
        <f t="shared" si="556"/>
        <v/>
      </c>
      <c r="CO288" s="534" t="str">
        <f t="shared" si="557"/>
        <v/>
      </c>
      <c r="CP288" s="535" t="str">
        <f t="shared" si="558"/>
        <v/>
      </c>
      <c r="CQ288" s="535" t="str">
        <f t="shared" si="559"/>
        <v/>
      </c>
      <c r="CR288" s="535" t="str">
        <f t="shared" si="560"/>
        <v/>
      </c>
      <c r="CS288" s="535" t="str">
        <f t="shared" si="561"/>
        <v/>
      </c>
      <c r="CT288" s="535" t="str">
        <f t="shared" si="562"/>
        <v/>
      </c>
      <c r="CU288" s="536" t="str">
        <f t="shared" si="563"/>
        <v/>
      </c>
      <c r="CV288" s="536" t="str">
        <f t="shared" si="564"/>
        <v/>
      </c>
      <c r="CW288" s="536" t="str">
        <f t="shared" si="565"/>
        <v/>
      </c>
      <c r="CX288" s="535" t="str">
        <f t="shared" si="566"/>
        <v/>
      </c>
      <c r="CY288" s="535" t="str">
        <f t="shared" si="567"/>
        <v/>
      </c>
      <c r="CZ288" s="535" t="str">
        <f t="shared" si="568"/>
        <v/>
      </c>
      <c r="DA288" s="535" t="str">
        <f t="shared" si="569"/>
        <v/>
      </c>
      <c r="DB288" s="535" t="str">
        <f t="shared" si="570"/>
        <v/>
      </c>
      <c r="DC288" s="534" t="str">
        <f t="shared" si="571"/>
        <v/>
      </c>
      <c r="DD288" s="533" t="str">
        <f t="shared" si="572"/>
        <v/>
      </c>
      <c r="DE288" s="635">
        <f t="shared" si="638"/>
        <v>0</v>
      </c>
      <c r="DF288" s="95">
        <f t="shared" si="639"/>
        <v>0</v>
      </c>
      <c r="DG288" s="95">
        <f t="shared" si="640"/>
        <v>0</v>
      </c>
      <c r="DH288" s="95">
        <f t="shared" si="641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693"/>
        <v/>
      </c>
      <c r="CA289" s="582" t="str">
        <f t="shared" si="694"/>
        <v/>
      </c>
      <c r="CB289" s="582" t="str">
        <f t="shared" si="695"/>
        <v/>
      </c>
      <c r="CC289" s="670" t="str">
        <f t="shared" si="696"/>
        <v/>
      </c>
      <c r="CD289" s="988" t="str">
        <f t="shared" si="697"/>
        <v/>
      </c>
      <c r="CE289" s="989" t="str">
        <f t="shared" si="692"/>
        <v/>
      </c>
      <c r="CF289" s="989" t="str">
        <f t="shared" si="692"/>
        <v/>
      </c>
      <c r="CG289" s="989" t="str">
        <f t="shared" si="692"/>
        <v/>
      </c>
      <c r="CH289" s="990" t="str">
        <f t="shared" si="692"/>
        <v/>
      </c>
      <c r="CI289" s="990" t="str">
        <f t="shared" si="692"/>
        <v/>
      </c>
      <c r="CJ289" s="989" t="str">
        <f t="shared" si="692"/>
        <v/>
      </c>
      <c r="CK289" s="989" t="str">
        <f t="shared" si="692"/>
        <v/>
      </c>
      <c r="CL289" s="989" t="str">
        <f t="shared" si="692"/>
        <v/>
      </c>
      <c r="CM289" s="988" t="str">
        <f t="shared" si="692"/>
        <v/>
      </c>
      <c r="CN289" s="533" t="str">
        <f t="shared" si="556"/>
        <v/>
      </c>
      <c r="CO289" s="534" t="str">
        <f t="shared" si="557"/>
        <v/>
      </c>
      <c r="CP289" s="535" t="str">
        <f t="shared" si="558"/>
        <v/>
      </c>
      <c r="CQ289" s="535" t="str">
        <f t="shared" si="559"/>
        <v/>
      </c>
      <c r="CR289" s="535" t="str">
        <f t="shared" si="560"/>
        <v/>
      </c>
      <c r="CS289" s="535" t="str">
        <f t="shared" si="561"/>
        <v/>
      </c>
      <c r="CT289" s="535" t="str">
        <f t="shared" si="562"/>
        <v/>
      </c>
      <c r="CU289" s="536" t="str">
        <f t="shared" si="563"/>
        <v/>
      </c>
      <c r="CV289" s="536" t="str">
        <f t="shared" si="564"/>
        <v/>
      </c>
      <c r="CW289" s="536" t="str">
        <f t="shared" si="565"/>
        <v/>
      </c>
      <c r="CX289" s="535" t="str">
        <f t="shared" si="566"/>
        <v/>
      </c>
      <c r="CY289" s="535" t="str">
        <f t="shared" si="567"/>
        <v/>
      </c>
      <c r="CZ289" s="535" t="str">
        <f t="shared" si="568"/>
        <v/>
      </c>
      <c r="DA289" s="535" t="str">
        <f t="shared" si="569"/>
        <v/>
      </c>
      <c r="DB289" s="535" t="str">
        <f t="shared" si="570"/>
        <v/>
      </c>
      <c r="DC289" s="534" t="str">
        <f t="shared" si="571"/>
        <v/>
      </c>
      <c r="DD289" s="533" t="str">
        <f t="shared" si="572"/>
        <v/>
      </c>
      <c r="DE289" s="635">
        <f t="shared" si="638"/>
        <v>0</v>
      </c>
      <c r="DF289" s="95">
        <f t="shared" si="639"/>
        <v>0</v>
      </c>
      <c r="DG289" s="95">
        <f t="shared" si="640"/>
        <v>0</v>
      </c>
      <c r="DH289" s="95">
        <f t="shared" si="641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02">IF(B288="","",B288*B289)</f>
        <v/>
      </c>
      <c r="C290" s="612" t="str">
        <f t="shared" si="702"/>
        <v/>
      </c>
      <c r="D290" s="612" t="str">
        <f t="shared" si="702"/>
        <v/>
      </c>
      <c r="E290" s="612" t="str">
        <f t="shared" si="702"/>
        <v/>
      </c>
      <c r="F290" s="612" t="str">
        <f t="shared" si="702"/>
        <v/>
      </c>
      <c r="G290" s="612" t="str">
        <f t="shared" si="702"/>
        <v/>
      </c>
      <c r="H290" s="612" t="str">
        <f t="shared" si="702"/>
        <v/>
      </c>
      <c r="I290" s="612" t="str">
        <f t="shared" si="702"/>
        <v/>
      </c>
      <c r="J290" s="612" t="str">
        <f t="shared" si="702"/>
        <v/>
      </c>
      <c r="K290" s="612" t="str">
        <f t="shared" si="702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03">IF(T288="","",T288*T289)</f>
        <v/>
      </c>
      <c r="U290" s="612" t="str">
        <f t="shared" si="703"/>
        <v/>
      </c>
      <c r="V290" s="612" t="str">
        <f t="shared" si="703"/>
        <v/>
      </c>
      <c r="W290" s="612" t="str">
        <f t="shared" si="703"/>
        <v/>
      </c>
      <c r="X290" s="612" t="str">
        <f t="shared" si="703"/>
        <v/>
      </c>
      <c r="Y290" s="612" t="str">
        <f t="shared" si="703"/>
        <v/>
      </c>
      <c r="Z290" s="612" t="str">
        <f t="shared" si="703"/>
        <v/>
      </c>
      <c r="AA290" s="612" t="str">
        <f t="shared" si="703"/>
        <v/>
      </c>
      <c r="AB290" s="612" t="str">
        <f t="shared" si="703"/>
        <v/>
      </c>
      <c r="AC290" s="612" t="str">
        <f t="shared" si="703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04">IF(AL288="","",AL288*AL289)</f>
        <v/>
      </c>
      <c r="AM290" s="612" t="str">
        <f t="shared" si="704"/>
        <v/>
      </c>
      <c r="AN290" s="612" t="str">
        <f t="shared" si="704"/>
        <v/>
      </c>
      <c r="AO290" s="612" t="str">
        <f t="shared" si="704"/>
        <v/>
      </c>
      <c r="AP290" s="612" t="str">
        <f t="shared" si="704"/>
        <v/>
      </c>
      <c r="AQ290" s="612" t="str">
        <f t="shared" si="704"/>
        <v/>
      </c>
      <c r="AR290" s="612" t="str">
        <f t="shared" si="704"/>
        <v/>
      </c>
      <c r="AS290" s="612" t="str">
        <f t="shared" si="704"/>
        <v/>
      </c>
      <c r="AT290" s="612" t="str">
        <f t="shared" si="704"/>
        <v/>
      </c>
      <c r="AU290" s="612" t="str">
        <f t="shared" si="704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05">IF(BD288="","",BD288*BD289)</f>
        <v/>
      </c>
      <c r="BE290" s="1201" t="str">
        <f t="shared" si="705"/>
        <v/>
      </c>
      <c r="BF290" s="1201" t="str">
        <f t="shared" si="705"/>
        <v/>
      </c>
      <c r="BG290" s="1201" t="str">
        <f t="shared" si="705"/>
        <v/>
      </c>
      <c r="BH290" s="1201" t="str">
        <f t="shared" si="705"/>
        <v/>
      </c>
      <c r="BI290" s="1201" t="str">
        <f t="shared" si="705"/>
        <v/>
      </c>
      <c r="BJ290" s="1201" t="str">
        <f t="shared" si="705"/>
        <v/>
      </c>
      <c r="BK290" s="1201" t="str">
        <f t="shared" si="705"/>
        <v/>
      </c>
      <c r="BL290" s="1201" t="str">
        <f t="shared" si="705"/>
        <v/>
      </c>
      <c r="BM290" s="1201" t="str">
        <f t="shared" si="705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693"/>
        <v/>
      </c>
      <c r="CA290" s="582" t="str">
        <f t="shared" si="694"/>
        <v/>
      </c>
      <c r="CB290" s="582" t="str">
        <f t="shared" si="695"/>
        <v/>
      </c>
      <c r="CC290" s="670" t="str">
        <f t="shared" si="696"/>
        <v/>
      </c>
      <c r="CD290" s="988" t="str">
        <f t="shared" si="697"/>
        <v/>
      </c>
      <c r="CE290" s="989" t="str">
        <f t="shared" si="692"/>
        <v/>
      </c>
      <c r="CF290" s="989" t="str">
        <f t="shared" si="692"/>
        <v/>
      </c>
      <c r="CG290" s="989" t="str">
        <f t="shared" si="692"/>
        <v/>
      </c>
      <c r="CH290" s="990" t="str">
        <f t="shared" si="692"/>
        <v/>
      </c>
      <c r="CI290" s="990" t="str">
        <f t="shared" si="692"/>
        <v/>
      </c>
      <c r="CJ290" s="989" t="str">
        <f t="shared" si="692"/>
        <v/>
      </c>
      <c r="CK290" s="989" t="str">
        <f t="shared" si="692"/>
        <v/>
      </c>
      <c r="CL290" s="989" t="str">
        <f t="shared" si="692"/>
        <v/>
      </c>
      <c r="CM290" s="988" t="str">
        <f t="shared" si="692"/>
        <v/>
      </c>
      <c r="CN290" s="533" t="str">
        <f t="shared" si="556"/>
        <v/>
      </c>
      <c r="CO290" s="534" t="str">
        <f t="shared" si="557"/>
        <v/>
      </c>
      <c r="CP290" s="535" t="str">
        <f t="shared" si="558"/>
        <v/>
      </c>
      <c r="CQ290" s="535" t="str">
        <f t="shared" si="559"/>
        <v/>
      </c>
      <c r="CR290" s="535" t="str">
        <f t="shared" si="560"/>
        <v/>
      </c>
      <c r="CS290" s="535" t="str">
        <f t="shared" si="561"/>
        <v/>
      </c>
      <c r="CT290" s="535" t="str">
        <f t="shared" si="562"/>
        <v/>
      </c>
      <c r="CU290" s="536" t="str">
        <f t="shared" si="563"/>
        <v/>
      </c>
      <c r="CV290" s="536" t="str">
        <f t="shared" si="564"/>
        <v/>
      </c>
      <c r="CW290" s="536" t="str">
        <f t="shared" si="565"/>
        <v/>
      </c>
      <c r="CX290" s="535" t="str">
        <f t="shared" si="566"/>
        <v/>
      </c>
      <c r="CY290" s="535" t="str">
        <f t="shared" si="567"/>
        <v/>
      </c>
      <c r="CZ290" s="535" t="str">
        <f t="shared" si="568"/>
        <v/>
      </c>
      <c r="DA290" s="535" t="str">
        <f t="shared" si="569"/>
        <v/>
      </c>
      <c r="DB290" s="535" t="str">
        <f t="shared" si="570"/>
        <v/>
      </c>
      <c r="DC290" s="534" t="str">
        <f t="shared" si="571"/>
        <v/>
      </c>
      <c r="DD290" s="533" t="str">
        <f t="shared" si="572"/>
        <v/>
      </c>
      <c r="DE290" s="635">
        <f t="shared" si="638"/>
        <v>0</v>
      </c>
      <c r="DF290" s="95">
        <f t="shared" si="639"/>
        <v>0</v>
      </c>
      <c r="DG290" s="95">
        <f t="shared" si="640"/>
        <v>0</v>
      </c>
      <c r="DH290" s="95">
        <f t="shared" si="641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693"/>
        <v/>
      </c>
      <c r="CA291" s="582" t="str">
        <f t="shared" si="694"/>
        <v/>
      </c>
      <c r="CB291" s="582" t="str">
        <f t="shared" si="695"/>
        <v/>
      </c>
      <c r="CC291" s="670" t="str">
        <f t="shared" si="696"/>
        <v/>
      </c>
      <c r="CD291" s="988" t="str">
        <f t="shared" si="697"/>
        <v/>
      </c>
      <c r="CE291" s="989" t="str">
        <f t="shared" si="692"/>
        <v/>
      </c>
      <c r="CF291" s="989" t="str">
        <f t="shared" si="692"/>
        <v/>
      </c>
      <c r="CG291" s="989" t="str">
        <f t="shared" si="692"/>
        <v/>
      </c>
      <c r="CH291" s="990" t="str">
        <f t="shared" si="692"/>
        <v/>
      </c>
      <c r="CI291" s="990" t="str">
        <f t="shared" si="692"/>
        <v/>
      </c>
      <c r="CJ291" s="989" t="str">
        <f t="shared" si="692"/>
        <v/>
      </c>
      <c r="CK291" s="989" t="str">
        <f t="shared" si="692"/>
        <v/>
      </c>
      <c r="CL291" s="989" t="str">
        <f t="shared" si="692"/>
        <v/>
      </c>
      <c r="CM291" s="988" t="str">
        <f t="shared" si="692"/>
        <v/>
      </c>
      <c r="CN291" s="533" t="str">
        <f t="shared" si="556"/>
        <v/>
      </c>
      <c r="CO291" s="534" t="str">
        <f t="shared" si="557"/>
        <v/>
      </c>
      <c r="CP291" s="535" t="str">
        <f t="shared" si="558"/>
        <v/>
      </c>
      <c r="CQ291" s="535" t="str">
        <f t="shared" si="559"/>
        <v/>
      </c>
      <c r="CR291" s="535" t="str">
        <f t="shared" si="560"/>
        <v/>
      </c>
      <c r="CS291" s="535" t="str">
        <f t="shared" si="561"/>
        <v/>
      </c>
      <c r="CT291" s="535" t="str">
        <f t="shared" si="562"/>
        <v/>
      </c>
      <c r="CU291" s="536" t="str">
        <f t="shared" si="563"/>
        <v/>
      </c>
      <c r="CV291" s="536" t="str">
        <f t="shared" si="564"/>
        <v/>
      </c>
      <c r="CW291" s="536" t="str">
        <f t="shared" si="565"/>
        <v/>
      </c>
      <c r="CX291" s="535" t="str">
        <f t="shared" si="566"/>
        <v/>
      </c>
      <c r="CY291" s="535" t="str">
        <f t="shared" si="567"/>
        <v/>
      </c>
      <c r="CZ291" s="535" t="str">
        <f t="shared" si="568"/>
        <v/>
      </c>
      <c r="DA291" s="535" t="str">
        <f t="shared" si="569"/>
        <v/>
      </c>
      <c r="DB291" s="535" t="str">
        <f t="shared" si="570"/>
        <v/>
      </c>
      <c r="DC291" s="534" t="str">
        <f t="shared" si="571"/>
        <v/>
      </c>
      <c r="DD291" s="533" t="str">
        <f t="shared" si="572"/>
        <v/>
      </c>
      <c r="DE291" s="635">
        <f t="shared" si="638"/>
        <v>0</v>
      </c>
      <c r="DF291" s="95">
        <f t="shared" si="639"/>
        <v>0</v>
      </c>
      <c r="DG291" s="95">
        <f t="shared" si="640"/>
        <v>0</v>
      </c>
      <c r="DH291" s="95">
        <f t="shared" si="641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06">IF(B286="","",(B286-B288-B291)*B287/B$46/365/$G$1)</f>
        <v/>
      </c>
      <c r="C292" s="615" t="str">
        <f t="shared" si="706"/>
        <v/>
      </c>
      <c r="D292" s="615" t="str">
        <f t="shared" si="706"/>
        <v/>
      </c>
      <c r="E292" s="615" t="str">
        <f t="shared" si="706"/>
        <v/>
      </c>
      <c r="F292" s="615" t="str">
        <f t="shared" si="706"/>
        <v/>
      </c>
      <c r="G292" s="615" t="str">
        <f t="shared" si="706"/>
        <v/>
      </c>
      <c r="H292" s="615" t="str">
        <f t="shared" si="706"/>
        <v/>
      </c>
      <c r="I292" s="615" t="str">
        <f t="shared" si="706"/>
        <v/>
      </c>
      <c r="J292" s="615" t="str">
        <f t="shared" si="706"/>
        <v/>
      </c>
      <c r="K292" s="615" t="str">
        <f t="shared" si="706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07">IF(T286="","",(T286-T288-T291)*T287/T$46/365/$G$1)</f>
        <v/>
      </c>
      <c r="U292" s="615" t="str">
        <f t="shared" si="707"/>
        <v/>
      </c>
      <c r="V292" s="615" t="str">
        <f t="shared" si="707"/>
        <v/>
      </c>
      <c r="W292" s="615" t="str">
        <f t="shared" si="707"/>
        <v/>
      </c>
      <c r="X292" s="615" t="str">
        <f t="shared" si="707"/>
        <v/>
      </c>
      <c r="Y292" s="615" t="str">
        <f t="shared" si="707"/>
        <v/>
      </c>
      <c r="Z292" s="615" t="str">
        <f t="shared" si="707"/>
        <v/>
      </c>
      <c r="AA292" s="615" t="str">
        <f t="shared" si="707"/>
        <v/>
      </c>
      <c r="AB292" s="615" t="str">
        <f t="shared" si="707"/>
        <v/>
      </c>
      <c r="AC292" s="615" t="str">
        <f t="shared" si="707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08">IF(AL286="","",(AL286-AL288-AL291)*AL287/AL$46/365/$G$1)</f>
        <v/>
      </c>
      <c r="AM292" s="615" t="str">
        <f t="shared" si="708"/>
        <v/>
      </c>
      <c r="AN292" s="615" t="str">
        <f t="shared" si="708"/>
        <v/>
      </c>
      <c r="AO292" s="615" t="str">
        <f t="shared" si="708"/>
        <v/>
      </c>
      <c r="AP292" s="615" t="str">
        <f t="shared" si="708"/>
        <v/>
      </c>
      <c r="AQ292" s="615" t="str">
        <f t="shared" si="708"/>
        <v/>
      </c>
      <c r="AR292" s="615" t="str">
        <f t="shared" si="708"/>
        <v/>
      </c>
      <c r="AS292" s="615" t="str">
        <f t="shared" si="708"/>
        <v/>
      </c>
      <c r="AT292" s="615" t="str">
        <f t="shared" si="708"/>
        <v/>
      </c>
      <c r="AU292" s="615" t="str">
        <f t="shared" si="708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09">IF(BD286="","",(BD286-BD288-BD291)*BD287/BD$46/365/$G$1)</f>
        <v/>
      </c>
      <c r="BE292" s="1202" t="str">
        <f t="shared" si="709"/>
        <v/>
      </c>
      <c r="BF292" s="1202" t="str">
        <f t="shared" si="709"/>
        <v/>
      </c>
      <c r="BG292" s="1202" t="str">
        <f t="shared" si="709"/>
        <v/>
      </c>
      <c r="BH292" s="1202" t="str">
        <f t="shared" si="709"/>
        <v/>
      </c>
      <c r="BI292" s="1202" t="str">
        <f t="shared" si="709"/>
        <v/>
      </c>
      <c r="BJ292" s="1202" t="str">
        <f t="shared" si="709"/>
        <v/>
      </c>
      <c r="BK292" s="1202" t="str">
        <f t="shared" si="709"/>
        <v/>
      </c>
      <c r="BL292" s="1202" t="str">
        <f t="shared" si="709"/>
        <v/>
      </c>
      <c r="BM292" s="1202" t="str">
        <f t="shared" si="709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693"/>
        <v/>
      </c>
      <c r="CA292" s="607" t="str">
        <f t="shared" si="694"/>
        <v/>
      </c>
      <c r="CB292" s="607" t="str">
        <f t="shared" si="695"/>
        <v/>
      </c>
      <c r="CC292" s="673" t="str">
        <f t="shared" si="696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1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10"/>
        <v/>
      </c>
      <c r="CG292" s="992" t="str">
        <f t="shared" si="710"/>
        <v/>
      </c>
      <c r="CH292" s="993" t="str">
        <f t="shared" si="710"/>
        <v/>
      </c>
      <c r="CI292" s="993" t="str">
        <f t="shared" si="710"/>
        <v/>
      </c>
      <c r="CJ292" s="992" t="str">
        <f t="shared" si="710"/>
        <v/>
      </c>
      <c r="CK292" s="992" t="str">
        <f t="shared" si="710"/>
        <v/>
      </c>
      <c r="CL292" s="992" t="str">
        <f t="shared" si="710"/>
        <v/>
      </c>
      <c r="CM292" s="991" t="str">
        <f t="shared" si="710"/>
        <v/>
      </c>
      <c r="CN292" s="521" t="str">
        <f t="shared" si="556"/>
        <v/>
      </c>
      <c r="CO292" s="522" t="str">
        <f t="shared" si="557"/>
        <v/>
      </c>
      <c r="CP292" s="523" t="str">
        <f t="shared" si="558"/>
        <v/>
      </c>
      <c r="CQ292" s="523" t="str">
        <f t="shared" si="559"/>
        <v/>
      </c>
      <c r="CR292" s="523" t="str">
        <f t="shared" si="560"/>
        <v/>
      </c>
      <c r="CS292" s="523" t="str">
        <f t="shared" si="561"/>
        <v/>
      </c>
      <c r="CT292" s="523" t="str">
        <f t="shared" si="562"/>
        <v/>
      </c>
      <c r="CU292" s="524" t="str">
        <f t="shared" si="563"/>
        <v/>
      </c>
      <c r="CV292" s="524" t="str">
        <f t="shared" si="564"/>
        <v/>
      </c>
      <c r="CW292" s="524" t="str">
        <f t="shared" si="565"/>
        <v/>
      </c>
      <c r="CX292" s="523" t="str">
        <f t="shared" si="566"/>
        <v/>
      </c>
      <c r="CY292" s="523" t="str">
        <f t="shared" si="567"/>
        <v/>
      </c>
      <c r="CZ292" s="523" t="str">
        <f t="shared" si="568"/>
        <v/>
      </c>
      <c r="DA292" s="523" t="str">
        <f t="shared" si="569"/>
        <v/>
      </c>
      <c r="DB292" s="523" t="str">
        <f t="shared" si="570"/>
        <v/>
      </c>
      <c r="DC292" s="522" t="str">
        <f t="shared" si="571"/>
        <v/>
      </c>
      <c r="DD292" s="521" t="str">
        <f t="shared" si="572"/>
        <v/>
      </c>
      <c r="DE292" s="635">
        <f t="shared" ref="DE292:DE300" si="711">COUNT(B292:R292)</f>
        <v>0</v>
      </c>
      <c r="DF292" s="95">
        <f t="shared" ref="DF292:DF300" si="712">COUNT(T292:AJ292)</f>
        <v>0</v>
      </c>
      <c r="DG292" s="95">
        <f t="shared" ref="DG292:DG300" si="713">COUNT(AL292:BB292)</f>
        <v>0</v>
      </c>
      <c r="DH292" s="95">
        <f t="shared" ref="DH292:DH300" si="714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693"/>
        <v/>
      </c>
      <c r="CA293" s="582" t="str">
        <f t="shared" si="694"/>
        <v/>
      </c>
      <c r="CB293" s="582" t="str">
        <f t="shared" si="695"/>
        <v/>
      </c>
      <c r="CC293" s="670" t="str">
        <f t="shared" si="696"/>
        <v/>
      </c>
      <c r="CD293" s="988" t="str">
        <f t="shared" ref="CD293:CD298" si="71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10"/>
        <v/>
      </c>
      <c r="CF293" s="989" t="str">
        <f t="shared" si="710"/>
        <v/>
      </c>
      <c r="CG293" s="989" t="str">
        <f t="shared" si="710"/>
        <v/>
      </c>
      <c r="CH293" s="990" t="str">
        <f t="shared" si="710"/>
        <v/>
      </c>
      <c r="CI293" s="990" t="str">
        <f t="shared" si="710"/>
        <v/>
      </c>
      <c r="CJ293" s="989" t="str">
        <f t="shared" si="710"/>
        <v/>
      </c>
      <c r="CK293" s="989" t="str">
        <f t="shared" si="710"/>
        <v/>
      </c>
      <c r="CL293" s="989" t="str">
        <f t="shared" si="710"/>
        <v/>
      </c>
      <c r="CM293" s="988" t="str">
        <f t="shared" si="710"/>
        <v/>
      </c>
      <c r="CN293" s="533" t="str">
        <f t="shared" si="556"/>
        <v/>
      </c>
      <c r="CO293" s="534" t="str">
        <f t="shared" si="557"/>
        <v/>
      </c>
      <c r="CP293" s="535" t="str">
        <f t="shared" si="558"/>
        <v/>
      </c>
      <c r="CQ293" s="535" t="str">
        <f t="shared" si="559"/>
        <v/>
      </c>
      <c r="CR293" s="535" t="str">
        <f t="shared" si="560"/>
        <v/>
      </c>
      <c r="CS293" s="535" t="str">
        <f t="shared" si="561"/>
        <v/>
      </c>
      <c r="CT293" s="535" t="str">
        <f t="shared" si="562"/>
        <v/>
      </c>
      <c r="CU293" s="536" t="str">
        <f t="shared" si="563"/>
        <v/>
      </c>
      <c r="CV293" s="536" t="str">
        <f t="shared" si="564"/>
        <v/>
      </c>
      <c r="CW293" s="536" t="str">
        <f t="shared" si="565"/>
        <v/>
      </c>
      <c r="CX293" s="535" t="str">
        <f t="shared" si="566"/>
        <v/>
      </c>
      <c r="CY293" s="535" t="str">
        <f t="shared" si="567"/>
        <v/>
      </c>
      <c r="CZ293" s="535" t="str">
        <f t="shared" si="568"/>
        <v/>
      </c>
      <c r="DA293" s="535" t="str">
        <f t="shared" si="569"/>
        <v/>
      </c>
      <c r="DB293" s="535" t="str">
        <f t="shared" si="570"/>
        <v/>
      </c>
      <c r="DC293" s="534" t="str">
        <f t="shared" si="571"/>
        <v/>
      </c>
      <c r="DD293" s="533" t="str">
        <f t="shared" si="572"/>
        <v/>
      </c>
      <c r="DE293" s="635">
        <f t="shared" si="711"/>
        <v>0</v>
      </c>
      <c r="DF293" s="95">
        <f t="shared" si="712"/>
        <v>0</v>
      </c>
      <c r="DG293" s="95">
        <f t="shared" si="713"/>
        <v>0</v>
      </c>
      <c r="DH293" s="95">
        <f t="shared" si="714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16">3440*$K$1</f>
        <v>14402.591999999999</v>
      </c>
      <c r="D294" s="683">
        <f t="shared" si="716"/>
        <v>14402.591999999999</v>
      </c>
      <c r="E294" s="683">
        <f t="shared" si="716"/>
        <v>14402.591999999999</v>
      </c>
      <c r="F294" s="683">
        <f t="shared" si="716"/>
        <v>14402.591999999999</v>
      </c>
      <c r="G294" s="683">
        <f t="shared" si="716"/>
        <v>14402.591999999999</v>
      </c>
      <c r="H294" s="683">
        <f t="shared" si="716"/>
        <v>14402.591999999999</v>
      </c>
      <c r="I294" s="683">
        <f t="shared" si="716"/>
        <v>14402.591999999999</v>
      </c>
      <c r="J294" s="683">
        <f t="shared" si="716"/>
        <v>14402.591999999999</v>
      </c>
      <c r="K294" s="683">
        <f t="shared" si="716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17">3440*$K$1</f>
        <v>14402.591999999999</v>
      </c>
      <c r="V294" s="683">
        <f t="shared" si="717"/>
        <v>14402.591999999999</v>
      </c>
      <c r="W294" s="683">
        <f t="shared" si="717"/>
        <v>14402.591999999999</v>
      </c>
      <c r="X294" s="683">
        <f t="shared" si="717"/>
        <v>14402.591999999999</v>
      </c>
      <c r="Y294" s="683">
        <f t="shared" si="717"/>
        <v>14402.591999999999</v>
      </c>
      <c r="Z294" s="683">
        <f t="shared" si="717"/>
        <v>14402.591999999999</v>
      </c>
      <c r="AA294" s="683">
        <f t="shared" si="717"/>
        <v>14402.591999999999</v>
      </c>
      <c r="AB294" s="683">
        <f t="shared" si="717"/>
        <v>14402.591999999999</v>
      </c>
      <c r="AC294" s="683">
        <f t="shared" si="717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18">3440*$K$1</f>
        <v>14402.591999999999</v>
      </c>
      <c r="AN294" s="683">
        <f t="shared" si="718"/>
        <v>14402.591999999999</v>
      </c>
      <c r="AO294" s="683">
        <f t="shared" si="718"/>
        <v>14402.591999999999</v>
      </c>
      <c r="AP294" s="683">
        <f t="shared" si="718"/>
        <v>14402.591999999999</v>
      </c>
      <c r="AQ294" s="683">
        <f t="shared" si="718"/>
        <v>14402.591999999999</v>
      </c>
      <c r="AR294" s="683">
        <f t="shared" si="718"/>
        <v>14402.591999999999</v>
      </c>
      <c r="AS294" s="683">
        <f t="shared" si="718"/>
        <v>14402.591999999999</v>
      </c>
      <c r="AT294" s="683">
        <f t="shared" si="718"/>
        <v>14402.591999999999</v>
      </c>
      <c r="AU294" s="683">
        <f t="shared" si="718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19">3440*$K$1</f>
        <v>14402.591999999999</v>
      </c>
      <c r="BF294" s="1225">
        <f t="shared" si="719"/>
        <v>14402.591999999999</v>
      </c>
      <c r="BG294" s="1225">
        <f t="shared" si="719"/>
        <v>14402.591999999999</v>
      </c>
      <c r="BH294" s="1225">
        <f t="shared" si="719"/>
        <v>14402.591999999999</v>
      </c>
      <c r="BI294" s="1225">
        <f t="shared" si="719"/>
        <v>14402.591999999999</v>
      </c>
      <c r="BJ294" s="1225">
        <f t="shared" si="719"/>
        <v>14402.591999999999</v>
      </c>
      <c r="BK294" s="1225">
        <f t="shared" si="719"/>
        <v>14402.591999999999</v>
      </c>
      <c r="BL294" s="1225">
        <f t="shared" si="719"/>
        <v>14402.591999999999</v>
      </c>
      <c r="BM294" s="1225">
        <f t="shared" si="719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>3440*$K$1</f>
        <v>14402.591999999999</v>
      </c>
      <c r="BW294" s="683">
        <f>3440*$K$1</f>
        <v>14402.591999999999</v>
      </c>
      <c r="BX294" s="683">
        <f>3440*$K$1</f>
        <v>14402.591999999999</v>
      </c>
      <c r="BY294" s="683">
        <f>3440*$K$1</f>
        <v>14402.591999999999</v>
      </c>
      <c r="BZ294" s="582">
        <f t="shared" si="693"/>
        <v>14402.592000000001</v>
      </c>
      <c r="CA294" s="582">
        <f t="shared" si="694"/>
        <v>14402.592000000001</v>
      </c>
      <c r="CB294" s="582">
        <f t="shared" si="695"/>
        <v>14402.592000000001</v>
      </c>
      <c r="CC294" s="670">
        <f t="shared" si="696"/>
        <v>14402.592000000001</v>
      </c>
      <c r="CD294" s="988">
        <f t="shared" si="715"/>
        <v>14402.591999999999</v>
      </c>
      <c r="CE294" s="989">
        <f t="shared" si="710"/>
        <v>14402.591999999999</v>
      </c>
      <c r="CF294" s="989">
        <f t="shared" si="710"/>
        <v>14402.591999999999</v>
      </c>
      <c r="CG294" s="989">
        <f t="shared" si="710"/>
        <v>14402.591999999999</v>
      </c>
      <c r="CH294" s="990">
        <f t="shared" si="710"/>
        <v>14402.591999999999</v>
      </c>
      <c r="CI294" s="990">
        <f t="shared" si="710"/>
        <v>14402.591999999999</v>
      </c>
      <c r="CJ294" s="989">
        <f t="shared" si="710"/>
        <v>14402.591999999999</v>
      </c>
      <c r="CK294" s="989">
        <f t="shared" si="710"/>
        <v>14402.591999999999</v>
      </c>
      <c r="CL294" s="989">
        <f t="shared" si="710"/>
        <v>14402.591999999999</v>
      </c>
      <c r="CM294" s="988">
        <f t="shared" si="710"/>
        <v>14402.591999999999</v>
      </c>
      <c r="CN294" s="533" t="str">
        <f t="shared" si="556"/>
        <v/>
      </c>
      <c r="CO294" s="534" t="str">
        <f t="shared" si="557"/>
        <v/>
      </c>
      <c r="CP294" s="535" t="str">
        <f t="shared" si="558"/>
        <v/>
      </c>
      <c r="CQ294" s="535" t="str">
        <f t="shared" si="559"/>
        <v/>
      </c>
      <c r="CR294" s="535">
        <f t="shared" si="560"/>
        <v>14402.591999999999</v>
      </c>
      <c r="CS294" s="535">
        <f t="shared" si="561"/>
        <v>14402.591999999999</v>
      </c>
      <c r="CT294" s="535">
        <f t="shared" si="562"/>
        <v>14402.591999999999</v>
      </c>
      <c r="CU294" s="536">
        <f t="shared" si="563"/>
        <v>14402.591999999999</v>
      </c>
      <c r="CV294" s="536">
        <f t="shared" si="564"/>
        <v>14402.591999999999</v>
      </c>
      <c r="CW294" s="536">
        <f t="shared" si="565"/>
        <v>14402.591999999999</v>
      </c>
      <c r="CX294" s="535">
        <f t="shared" si="566"/>
        <v>14402.591999999999</v>
      </c>
      <c r="CY294" s="535">
        <f t="shared" si="567"/>
        <v>14402.591999999999</v>
      </c>
      <c r="CZ294" s="535">
        <f t="shared" si="568"/>
        <v>14402.591999999999</v>
      </c>
      <c r="DA294" s="535">
        <f t="shared" si="569"/>
        <v>14402.591999999999</v>
      </c>
      <c r="DB294" s="535" t="str">
        <f t="shared" si="570"/>
        <v/>
      </c>
      <c r="DC294" s="534" t="str">
        <f t="shared" si="571"/>
        <v/>
      </c>
      <c r="DD294" s="533" t="str">
        <f t="shared" si="572"/>
        <v/>
      </c>
      <c r="DE294" s="635">
        <f t="shared" si="711"/>
        <v>10</v>
      </c>
      <c r="DF294" s="95">
        <f t="shared" si="712"/>
        <v>10</v>
      </c>
      <c r="DG294" s="95">
        <f t="shared" si="713"/>
        <v>10</v>
      </c>
      <c r="DH294" s="95">
        <f t="shared" si="714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693"/>
        <v/>
      </c>
      <c r="CA295" s="582" t="str">
        <f t="shared" si="694"/>
        <v/>
      </c>
      <c r="CB295" s="582" t="str">
        <f t="shared" si="695"/>
        <v/>
      </c>
      <c r="CC295" s="670" t="str">
        <f t="shared" si="696"/>
        <v/>
      </c>
      <c r="CD295" s="988" t="str">
        <f t="shared" si="715"/>
        <v/>
      </c>
      <c r="CE295" s="989" t="str">
        <f t="shared" si="710"/>
        <v/>
      </c>
      <c r="CF295" s="989" t="str">
        <f t="shared" si="710"/>
        <v/>
      </c>
      <c r="CG295" s="989" t="str">
        <f t="shared" si="710"/>
        <v/>
      </c>
      <c r="CH295" s="990" t="str">
        <f t="shared" si="710"/>
        <v/>
      </c>
      <c r="CI295" s="990" t="str">
        <f t="shared" si="710"/>
        <v/>
      </c>
      <c r="CJ295" s="989" t="str">
        <f t="shared" si="710"/>
        <v/>
      </c>
      <c r="CK295" s="989" t="str">
        <f t="shared" si="710"/>
        <v/>
      </c>
      <c r="CL295" s="989" t="str">
        <f t="shared" si="710"/>
        <v/>
      </c>
      <c r="CM295" s="988" t="str">
        <f t="shared" si="710"/>
        <v/>
      </c>
      <c r="CN295" s="533" t="str">
        <f t="shared" si="556"/>
        <v/>
      </c>
      <c r="CO295" s="534" t="str">
        <f t="shared" si="557"/>
        <v/>
      </c>
      <c r="CP295" s="535" t="str">
        <f t="shared" si="558"/>
        <v/>
      </c>
      <c r="CQ295" s="535" t="str">
        <f t="shared" si="559"/>
        <v/>
      </c>
      <c r="CR295" s="535" t="str">
        <f t="shared" si="560"/>
        <v/>
      </c>
      <c r="CS295" s="535" t="str">
        <f t="shared" si="561"/>
        <v/>
      </c>
      <c r="CT295" s="535" t="str">
        <f t="shared" si="562"/>
        <v/>
      </c>
      <c r="CU295" s="536" t="str">
        <f t="shared" si="563"/>
        <v/>
      </c>
      <c r="CV295" s="536" t="str">
        <f t="shared" si="564"/>
        <v/>
      </c>
      <c r="CW295" s="536" t="str">
        <f t="shared" si="565"/>
        <v/>
      </c>
      <c r="CX295" s="535" t="str">
        <f t="shared" si="566"/>
        <v/>
      </c>
      <c r="CY295" s="535" t="str">
        <f t="shared" si="567"/>
        <v/>
      </c>
      <c r="CZ295" s="535" t="str">
        <f t="shared" si="568"/>
        <v/>
      </c>
      <c r="DA295" s="535" t="str">
        <f t="shared" si="569"/>
        <v/>
      </c>
      <c r="DB295" s="535" t="str">
        <f t="shared" si="570"/>
        <v/>
      </c>
      <c r="DC295" s="534" t="str">
        <f t="shared" si="571"/>
        <v/>
      </c>
      <c r="DD295" s="533" t="str">
        <f t="shared" si="572"/>
        <v/>
      </c>
      <c r="DE295" s="635">
        <f t="shared" si="711"/>
        <v>0</v>
      </c>
      <c r="DF295" s="95">
        <f t="shared" si="712"/>
        <v>0</v>
      </c>
      <c r="DG295" s="95">
        <f t="shared" si="713"/>
        <v>0</v>
      </c>
      <c r="DH295" s="95">
        <f t="shared" si="714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693"/>
        <v/>
      </c>
      <c r="CA296" s="582" t="str">
        <f t="shared" si="694"/>
        <v/>
      </c>
      <c r="CB296" s="582" t="str">
        <f t="shared" si="695"/>
        <v/>
      </c>
      <c r="CC296" s="670" t="str">
        <f t="shared" si="696"/>
        <v/>
      </c>
      <c r="CD296" s="988" t="str">
        <f t="shared" si="715"/>
        <v/>
      </c>
      <c r="CE296" s="989" t="str">
        <f t="shared" si="710"/>
        <v/>
      </c>
      <c r="CF296" s="989" t="str">
        <f t="shared" si="710"/>
        <v/>
      </c>
      <c r="CG296" s="989" t="str">
        <f t="shared" si="710"/>
        <v/>
      </c>
      <c r="CH296" s="990" t="str">
        <f t="shared" si="710"/>
        <v/>
      </c>
      <c r="CI296" s="990" t="str">
        <f t="shared" si="710"/>
        <v/>
      </c>
      <c r="CJ296" s="989" t="str">
        <f t="shared" si="710"/>
        <v/>
      </c>
      <c r="CK296" s="989" t="str">
        <f t="shared" si="710"/>
        <v/>
      </c>
      <c r="CL296" s="989" t="str">
        <f t="shared" si="710"/>
        <v/>
      </c>
      <c r="CM296" s="988" t="str">
        <f t="shared" si="710"/>
        <v/>
      </c>
      <c r="CN296" s="533" t="str">
        <f t="shared" si="556"/>
        <v/>
      </c>
      <c r="CO296" s="534" t="str">
        <f t="shared" si="557"/>
        <v/>
      </c>
      <c r="CP296" s="535" t="str">
        <f t="shared" si="558"/>
        <v/>
      </c>
      <c r="CQ296" s="535" t="str">
        <f t="shared" si="559"/>
        <v/>
      </c>
      <c r="CR296" s="535" t="str">
        <f t="shared" si="560"/>
        <v/>
      </c>
      <c r="CS296" s="535" t="str">
        <f t="shared" si="561"/>
        <v/>
      </c>
      <c r="CT296" s="535" t="str">
        <f t="shared" si="562"/>
        <v/>
      </c>
      <c r="CU296" s="536" t="str">
        <f t="shared" si="563"/>
        <v/>
      </c>
      <c r="CV296" s="536" t="str">
        <f t="shared" si="564"/>
        <v/>
      </c>
      <c r="CW296" s="536" t="str">
        <f t="shared" si="565"/>
        <v/>
      </c>
      <c r="CX296" s="535" t="str">
        <f t="shared" si="566"/>
        <v/>
      </c>
      <c r="CY296" s="535" t="str">
        <f t="shared" si="567"/>
        <v/>
      </c>
      <c r="CZ296" s="535" t="str">
        <f t="shared" si="568"/>
        <v/>
      </c>
      <c r="DA296" s="535" t="str">
        <f t="shared" si="569"/>
        <v/>
      </c>
      <c r="DB296" s="535" t="str">
        <f t="shared" si="570"/>
        <v/>
      </c>
      <c r="DC296" s="534" t="str">
        <f t="shared" si="571"/>
        <v/>
      </c>
      <c r="DD296" s="533" t="str">
        <f t="shared" si="572"/>
        <v/>
      </c>
      <c r="DE296" s="635">
        <f t="shared" si="711"/>
        <v>0</v>
      </c>
      <c r="DF296" s="95">
        <f t="shared" si="712"/>
        <v>0</v>
      </c>
      <c r="DG296" s="95">
        <f t="shared" si="713"/>
        <v>0</v>
      </c>
      <c r="DH296" s="95">
        <f t="shared" si="714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20">IF(B295="","",B295*B296)</f>
        <v/>
      </c>
      <c r="C297" s="612" t="str">
        <f t="shared" si="720"/>
        <v/>
      </c>
      <c r="D297" s="612" t="str">
        <f t="shared" si="720"/>
        <v/>
      </c>
      <c r="E297" s="612" t="str">
        <f t="shared" si="720"/>
        <v/>
      </c>
      <c r="F297" s="612" t="str">
        <f t="shared" si="720"/>
        <v/>
      </c>
      <c r="G297" s="612" t="str">
        <f t="shared" si="720"/>
        <v/>
      </c>
      <c r="H297" s="612" t="str">
        <f t="shared" si="720"/>
        <v/>
      </c>
      <c r="I297" s="612" t="str">
        <f t="shared" si="720"/>
        <v/>
      </c>
      <c r="J297" s="612" t="str">
        <f t="shared" si="720"/>
        <v/>
      </c>
      <c r="K297" s="612" t="str">
        <f t="shared" si="720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21">IF(T295="","",T295*T296)</f>
        <v/>
      </c>
      <c r="U297" s="612" t="str">
        <f t="shared" si="721"/>
        <v/>
      </c>
      <c r="V297" s="612" t="str">
        <f t="shared" si="721"/>
        <v/>
      </c>
      <c r="W297" s="612" t="str">
        <f t="shared" si="721"/>
        <v/>
      </c>
      <c r="X297" s="612" t="str">
        <f t="shared" si="721"/>
        <v/>
      </c>
      <c r="Y297" s="612" t="str">
        <f t="shared" si="721"/>
        <v/>
      </c>
      <c r="Z297" s="612" t="str">
        <f t="shared" si="721"/>
        <v/>
      </c>
      <c r="AA297" s="612" t="str">
        <f t="shared" si="721"/>
        <v/>
      </c>
      <c r="AB297" s="612" t="str">
        <f t="shared" si="721"/>
        <v/>
      </c>
      <c r="AC297" s="612" t="str">
        <f t="shared" si="721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22">IF(AL295="","",AL295*AL296)</f>
        <v/>
      </c>
      <c r="AM297" s="612" t="str">
        <f t="shared" si="722"/>
        <v/>
      </c>
      <c r="AN297" s="612" t="str">
        <f t="shared" si="722"/>
        <v/>
      </c>
      <c r="AO297" s="612" t="str">
        <f t="shared" si="722"/>
        <v/>
      </c>
      <c r="AP297" s="612" t="str">
        <f t="shared" si="722"/>
        <v/>
      </c>
      <c r="AQ297" s="612" t="str">
        <f t="shared" si="722"/>
        <v/>
      </c>
      <c r="AR297" s="612" t="str">
        <f t="shared" si="722"/>
        <v/>
      </c>
      <c r="AS297" s="612" t="str">
        <f t="shared" si="722"/>
        <v/>
      </c>
      <c r="AT297" s="612" t="str">
        <f t="shared" si="722"/>
        <v/>
      </c>
      <c r="AU297" s="612" t="str">
        <f t="shared" si="722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723">IF(BD295="","",BD295*BD296)</f>
        <v/>
      </c>
      <c r="BE297" s="1201" t="str">
        <f t="shared" si="723"/>
        <v/>
      </c>
      <c r="BF297" s="1201" t="str">
        <f t="shared" si="723"/>
        <v/>
      </c>
      <c r="BG297" s="1201" t="str">
        <f t="shared" si="723"/>
        <v/>
      </c>
      <c r="BH297" s="1201" t="str">
        <f t="shared" si="723"/>
        <v/>
      </c>
      <c r="BI297" s="1201" t="str">
        <f t="shared" si="723"/>
        <v/>
      </c>
      <c r="BJ297" s="1201" t="str">
        <f t="shared" si="723"/>
        <v/>
      </c>
      <c r="BK297" s="1201" t="str">
        <f t="shared" si="723"/>
        <v/>
      </c>
      <c r="BL297" s="1201" t="str">
        <f t="shared" si="723"/>
        <v/>
      </c>
      <c r="BM297" s="1201" t="str">
        <f t="shared" si="723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693"/>
        <v/>
      </c>
      <c r="CA297" s="582" t="str">
        <f t="shared" si="694"/>
        <v/>
      </c>
      <c r="CB297" s="582" t="str">
        <f t="shared" si="695"/>
        <v/>
      </c>
      <c r="CC297" s="670" t="str">
        <f t="shared" si="696"/>
        <v/>
      </c>
      <c r="CD297" s="988" t="str">
        <f t="shared" si="715"/>
        <v/>
      </c>
      <c r="CE297" s="989" t="str">
        <f t="shared" si="710"/>
        <v/>
      </c>
      <c r="CF297" s="989" t="str">
        <f t="shared" si="710"/>
        <v/>
      </c>
      <c r="CG297" s="989" t="str">
        <f t="shared" si="710"/>
        <v/>
      </c>
      <c r="CH297" s="990" t="str">
        <f t="shared" si="710"/>
        <v/>
      </c>
      <c r="CI297" s="990" t="str">
        <f t="shared" si="710"/>
        <v/>
      </c>
      <c r="CJ297" s="989" t="str">
        <f t="shared" si="710"/>
        <v/>
      </c>
      <c r="CK297" s="989" t="str">
        <f t="shared" si="710"/>
        <v/>
      </c>
      <c r="CL297" s="989" t="str">
        <f t="shared" si="710"/>
        <v/>
      </c>
      <c r="CM297" s="988" t="str">
        <f t="shared" si="710"/>
        <v/>
      </c>
      <c r="CN297" s="533" t="str">
        <f t="shared" si="556"/>
        <v/>
      </c>
      <c r="CO297" s="534" t="str">
        <f t="shared" si="557"/>
        <v/>
      </c>
      <c r="CP297" s="535" t="str">
        <f t="shared" si="558"/>
        <v/>
      </c>
      <c r="CQ297" s="535" t="str">
        <f t="shared" si="559"/>
        <v/>
      </c>
      <c r="CR297" s="535" t="str">
        <f t="shared" si="560"/>
        <v/>
      </c>
      <c r="CS297" s="535" t="str">
        <f t="shared" si="561"/>
        <v/>
      </c>
      <c r="CT297" s="535" t="str">
        <f t="shared" si="562"/>
        <v/>
      </c>
      <c r="CU297" s="536" t="str">
        <f t="shared" si="563"/>
        <v/>
      </c>
      <c r="CV297" s="536" t="str">
        <f t="shared" si="564"/>
        <v/>
      </c>
      <c r="CW297" s="536" t="str">
        <f t="shared" si="565"/>
        <v/>
      </c>
      <c r="CX297" s="535" t="str">
        <f t="shared" si="566"/>
        <v/>
      </c>
      <c r="CY297" s="535" t="str">
        <f t="shared" si="567"/>
        <v/>
      </c>
      <c r="CZ297" s="535" t="str">
        <f t="shared" si="568"/>
        <v/>
      </c>
      <c r="DA297" s="535" t="str">
        <f t="shared" si="569"/>
        <v/>
      </c>
      <c r="DB297" s="535" t="str">
        <f t="shared" si="570"/>
        <v/>
      </c>
      <c r="DC297" s="534" t="str">
        <f t="shared" si="571"/>
        <v/>
      </c>
      <c r="DD297" s="533" t="str">
        <f t="shared" si="572"/>
        <v/>
      </c>
      <c r="DE297" s="635">
        <f t="shared" si="711"/>
        <v>0</v>
      </c>
      <c r="DF297" s="95">
        <f t="shared" si="712"/>
        <v>0</v>
      </c>
      <c r="DG297" s="95">
        <f t="shared" si="713"/>
        <v>0</v>
      </c>
      <c r="DH297" s="95">
        <f t="shared" si="714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693"/>
        <v/>
      </c>
      <c r="CA298" s="582" t="str">
        <f t="shared" si="694"/>
        <v/>
      </c>
      <c r="CB298" s="582" t="str">
        <f t="shared" si="695"/>
        <v/>
      </c>
      <c r="CC298" s="670" t="str">
        <f t="shared" si="696"/>
        <v/>
      </c>
      <c r="CD298" s="988" t="str">
        <f t="shared" si="715"/>
        <v/>
      </c>
      <c r="CE298" s="989" t="str">
        <f t="shared" si="710"/>
        <v/>
      </c>
      <c r="CF298" s="989" t="str">
        <f t="shared" si="710"/>
        <v/>
      </c>
      <c r="CG298" s="989" t="str">
        <f t="shared" si="710"/>
        <v/>
      </c>
      <c r="CH298" s="990" t="str">
        <f t="shared" si="710"/>
        <v/>
      </c>
      <c r="CI298" s="990" t="str">
        <f t="shared" si="710"/>
        <v/>
      </c>
      <c r="CJ298" s="989" t="str">
        <f t="shared" si="710"/>
        <v/>
      </c>
      <c r="CK298" s="989" t="str">
        <f t="shared" si="710"/>
        <v/>
      </c>
      <c r="CL298" s="989" t="str">
        <f t="shared" si="710"/>
        <v/>
      </c>
      <c r="CM298" s="988" t="str">
        <f t="shared" si="710"/>
        <v/>
      </c>
      <c r="CN298" s="533" t="str">
        <f t="shared" si="556"/>
        <v/>
      </c>
      <c r="CO298" s="534" t="str">
        <f t="shared" si="557"/>
        <v/>
      </c>
      <c r="CP298" s="535" t="str">
        <f t="shared" si="558"/>
        <v/>
      </c>
      <c r="CQ298" s="535" t="str">
        <f t="shared" si="559"/>
        <v/>
      </c>
      <c r="CR298" s="535" t="str">
        <f t="shared" si="560"/>
        <v/>
      </c>
      <c r="CS298" s="535" t="str">
        <f t="shared" si="561"/>
        <v/>
      </c>
      <c r="CT298" s="535" t="str">
        <f t="shared" si="562"/>
        <v/>
      </c>
      <c r="CU298" s="536" t="str">
        <f t="shared" si="563"/>
        <v/>
      </c>
      <c r="CV298" s="536" t="str">
        <f t="shared" si="564"/>
        <v/>
      </c>
      <c r="CW298" s="536" t="str">
        <f t="shared" si="565"/>
        <v/>
      </c>
      <c r="CX298" s="535" t="str">
        <f t="shared" si="566"/>
        <v/>
      </c>
      <c r="CY298" s="535" t="str">
        <f t="shared" si="567"/>
        <v/>
      </c>
      <c r="CZ298" s="535" t="str">
        <f t="shared" si="568"/>
        <v/>
      </c>
      <c r="DA298" s="535" t="str">
        <f t="shared" si="569"/>
        <v/>
      </c>
      <c r="DB298" s="535" t="str">
        <f t="shared" si="570"/>
        <v/>
      </c>
      <c r="DC298" s="534" t="str">
        <f t="shared" si="571"/>
        <v/>
      </c>
      <c r="DD298" s="533" t="str">
        <f t="shared" si="572"/>
        <v/>
      </c>
      <c r="DE298" s="635">
        <f t="shared" si="711"/>
        <v>0</v>
      </c>
      <c r="DF298" s="95">
        <f t="shared" si="712"/>
        <v>0</v>
      </c>
      <c r="DG298" s="95">
        <f t="shared" si="713"/>
        <v>0</v>
      </c>
      <c r="DH298" s="95">
        <f t="shared" si="714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724">IF(B293="","",(B293-B295-B298)*B294/B$46/365/$G$1)</f>
        <v/>
      </c>
      <c r="C299" s="615" t="str">
        <f t="shared" si="724"/>
        <v/>
      </c>
      <c r="D299" s="615" t="str">
        <f t="shared" si="724"/>
        <v/>
      </c>
      <c r="E299" s="615" t="str">
        <f t="shared" si="724"/>
        <v/>
      </c>
      <c r="F299" s="615" t="str">
        <f t="shared" si="724"/>
        <v/>
      </c>
      <c r="G299" s="615" t="str">
        <f t="shared" si="724"/>
        <v/>
      </c>
      <c r="H299" s="615" t="str">
        <f t="shared" si="724"/>
        <v/>
      </c>
      <c r="I299" s="615" t="str">
        <f t="shared" si="724"/>
        <v/>
      </c>
      <c r="J299" s="615" t="str">
        <f t="shared" si="724"/>
        <v/>
      </c>
      <c r="K299" s="615" t="str">
        <f t="shared" si="724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725">IF(T293="","",(T293-T295-T298)*T294/T$46/365/$G$1)</f>
        <v/>
      </c>
      <c r="U299" s="615" t="str">
        <f t="shared" si="725"/>
        <v/>
      </c>
      <c r="V299" s="615" t="str">
        <f t="shared" si="725"/>
        <v/>
      </c>
      <c r="W299" s="615" t="str">
        <f t="shared" si="725"/>
        <v/>
      </c>
      <c r="X299" s="615" t="str">
        <f t="shared" si="725"/>
        <v/>
      </c>
      <c r="Y299" s="615" t="str">
        <f t="shared" si="725"/>
        <v/>
      </c>
      <c r="Z299" s="615" t="str">
        <f t="shared" si="725"/>
        <v/>
      </c>
      <c r="AA299" s="615" t="str">
        <f t="shared" si="725"/>
        <v/>
      </c>
      <c r="AB299" s="615" t="str">
        <f t="shared" si="725"/>
        <v/>
      </c>
      <c r="AC299" s="615" t="str">
        <f t="shared" si="725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726">IF(AL293="","",(AL293-AL295-AL298)*AL294/AL$46/365/$G$1)</f>
        <v/>
      </c>
      <c r="AM299" s="615" t="str">
        <f t="shared" si="726"/>
        <v/>
      </c>
      <c r="AN299" s="615" t="str">
        <f t="shared" si="726"/>
        <v/>
      </c>
      <c r="AO299" s="615" t="str">
        <f t="shared" si="726"/>
        <v/>
      </c>
      <c r="AP299" s="615" t="str">
        <f t="shared" si="726"/>
        <v/>
      </c>
      <c r="AQ299" s="615" t="str">
        <f t="shared" si="726"/>
        <v/>
      </c>
      <c r="AR299" s="615" t="str">
        <f t="shared" si="726"/>
        <v/>
      </c>
      <c r="AS299" s="615" t="str">
        <f t="shared" si="726"/>
        <v/>
      </c>
      <c r="AT299" s="615" t="str">
        <f t="shared" si="726"/>
        <v/>
      </c>
      <c r="AU299" s="615" t="str">
        <f t="shared" si="726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727">IF(BD293="","",(BD293-BD295-BD298)*BD294/BD$46/365/$G$1)</f>
        <v/>
      </c>
      <c r="BE299" s="1202" t="str">
        <f t="shared" si="727"/>
        <v/>
      </c>
      <c r="BF299" s="1202" t="str">
        <f t="shared" si="727"/>
        <v/>
      </c>
      <c r="BG299" s="1202" t="str">
        <f t="shared" si="727"/>
        <v/>
      </c>
      <c r="BH299" s="1202" t="str">
        <f t="shared" si="727"/>
        <v/>
      </c>
      <c r="BI299" s="1202" t="str">
        <f t="shared" si="727"/>
        <v/>
      </c>
      <c r="BJ299" s="1202" t="str">
        <f t="shared" si="727"/>
        <v/>
      </c>
      <c r="BK299" s="1202" t="str">
        <f t="shared" si="727"/>
        <v/>
      </c>
      <c r="BL299" s="1202" t="str">
        <f t="shared" si="727"/>
        <v/>
      </c>
      <c r="BM299" s="1202" t="str">
        <f t="shared" si="727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693"/>
        <v/>
      </c>
      <c r="CA299" s="607" t="str">
        <f t="shared" si="694"/>
        <v/>
      </c>
      <c r="CB299" s="607" t="str">
        <f t="shared" si="695"/>
        <v/>
      </c>
      <c r="CC299" s="673" t="str">
        <f t="shared" si="696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72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728"/>
        <v/>
      </c>
      <c r="CG299" s="992" t="str">
        <f t="shared" si="728"/>
        <v/>
      </c>
      <c r="CH299" s="993" t="str">
        <f t="shared" si="728"/>
        <v/>
      </c>
      <c r="CI299" s="993" t="str">
        <f t="shared" si="728"/>
        <v/>
      </c>
      <c r="CJ299" s="992" t="str">
        <f t="shared" si="728"/>
        <v/>
      </c>
      <c r="CK299" s="992" t="str">
        <f t="shared" si="728"/>
        <v/>
      </c>
      <c r="CL299" s="992" t="str">
        <f t="shared" si="728"/>
        <v/>
      </c>
      <c r="CM299" s="991" t="str">
        <f t="shared" si="728"/>
        <v/>
      </c>
      <c r="CN299" s="521" t="str">
        <f t="shared" si="556"/>
        <v/>
      </c>
      <c r="CO299" s="522" t="str">
        <f t="shared" si="557"/>
        <v/>
      </c>
      <c r="CP299" s="523" t="str">
        <f t="shared" si="558"/>
        <v/>
      </c>
      <c r="CQ299" s="523" t="str">
        <f t="shared" si="559"/>
        <v/>
      </c>
      <c r="CR299" s="523" t="str">
        <f t="shared" si="560"/>
        <v/>
      </c>
      <c r="CS299" s="523" t="str">
        <f t="shared" si="561"/>
        <v/>
      </c>
      <c r="CT299" s="523" t="str">
        <f t="shared" si="562"/>
        <v/>
      </c>
      <c r="CU299" s="524" t="str">
        <f t="shared" si="563"/>
        <v/>
      </c>
      <c r="CV299" s="524" t="str">
        <f t="shared" si="564"/>
        <v/>
      </c>
      <c r="CW299" s="524" t="str">
        <f t="shared" si="565"/>
        <v/>
      </c>
      <c r="CX299" s="523" t="str">
        <f t="shared" si="566"/>
        <v/>
      </c>
      <c r="CY299" s="523" t="str">
        <f t="shared" si="567"/>
        <v/>
      </c>
      <c r="CZ299" s="523" t="str">
        <f t="shared" si="568"/>
        <v/>
      </c>
      <c r="DA299" s="523" t="str">
        <f t="shared" si="569"/>
        <v/>
      </c>
      <c r="DB299" s="523" t="str">
        <f t="shared" si="570"/>
        <v/>
      </c>
      <c r="DC299" s="522" t="str">
        <f t="shared" si="571"/>
        <v/>
      </c>
      <c r="DD299" s="521" t="str">
        <f t="shared" si="572"/>
        <v/>
      </c>
      <c r="DE299" s="635">
        <f t="shared" si="711"/>
        <v>0</v>
      </c>
      <c r="DF299" s="95">
        <f t="shared" si="712"/>
        <v>0</v>
      </c>
      <c r="DG299" s="95">
        <f t="shared" si="713"/>
        <v>0</v>
      </c>
      <c r="DH299" s="95">
        <f t="shared" si="714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693"/>
        <v/>
      </c>
      <c r="CA300" s="582" t="str">
        <f t="shared" si="694"/>
        <v/>
      </c>
      <c r="CB300" s="582" t="str">
        <f t="shared" si="695"/>
        <v/>
      </c>
      <c r="CC300" s="670" t="str">
        <f t="shared" si="696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728"/>
        <v/>
      </c>
      <c r="CF300" s="989" t="str">
        <f t="shared" si="728"/>
        <v/>
      </c>
      <c r="CG300" s="989" t="str">
        <f t="shared" si="728"/>
        <v/>
      </c>
      <c r="CH300" s="990" t="str">
        <f t="shared" si="728"/>
        <v/>
      </c>
      <c r="CI300" s="990" t="str">
        <f t="shared" si="728"/>
        <v/>
      </c>
      <c r="CJ300" s="989" t="str">
        <f t="shared" si="728"/>
        <v/>
      </c>
      <c r="CK300" s="989" t="str">
        <f t="shared" si="728"/>
        <v/>
      </c>
      <c r="CL300" s="989" t="str">
        <f t="shared" si="728"/>
        <v/>
      </c>
      <c r="CM300" s="988" t="str">
        <f t="shared" si="728"/>
        <v/>
      </c>
      <c r="CN300" s="533" t="str">
        <f t="shared" si="556"/>
        <v/>
      </c>
      <c r="CO300" s="534" t="str">
        <f t="shared" si="557"/>
        <v/>
      </c>
      <c r="CP300" s="535" t="str">
        <f t="shared" si="558"/>
        <v/>
      </c>
      <c r="CQ300" s="535" t="str">
        <f t="shared" si="559"/>
        <v/>
      </c>
      <c r="CR300" s="535" t="str">
        <f t="shared" si="560"/>
        <v/>
      </c>
      <c r="CS300" s="535" t="str">
        <f t="shared" si="561"/>
        <v/>
      </c>
      <c r="CT300" s="535" t="str">
        <f t="shared" si="562"/>
        <v/>
      </c>
      <c r="CU300" s="536" t="str">
        <f t="shared" si="563"/>
        <v/>
      </c>
      <c r="CV300" s="536" t="str">
        <f t="shared" si="564"/>
        <v/>
      </c>
      <c r="CW300" s="536" t="str">
        <f t="shared" si="565"/>
        <v/>
      </c>
      <c r="CX300" s="535" t="str">
        <f t="shared" si="566"/>
        <v/>
      </c>
      <c r="CY300" s="535" t="str">
        <f t="shared" si="567"/>
        <v/>
      </c>
      <c r="CZ300" s="535" t="str">
        <f t="shared" si="568"/>
        <v/>
      </c>
      <c r="DA300" s="535" t="str">
        <f t="shared" si="569"/>
        <v/>
      </c>
      <c r="DB300" s="535" t="str">
        <f t="shared" si="570"/>
        <v/>
      </c>
      <c r="DC300" s="534" t="str">
        <f t="shared" si="571"/>
        <v/>
      </c>
      <c r="DD300" s="533" t="str">
        <f t="shared" si="572"/>
        <v/>
      </c>
      <c r="DE300" s="635">
        <f t="shared" si="711"/>
        <v>0</v>
      </c>
      <c r="DF300" s="95">
        <f t="shared" si="712"/>
        <v>0</v>
      </c>
      <c r="DG300" s="95">
        <f t="shared" si="713"/>
        <v>0</v>
      </c>
      <c r="DH300" s="95">
        <f t="shared" si="714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729">IF(DE302&lt;3,"",(SUM(B302:R302)-MIN(B302:R302)-MAX(B302:R302))/(DE302-2))</f>
        <v/>
      </c>
      <c r="CA302" s="582" t="str">
        <f t="shared" ref="CA302:CA310" si="730">IF(DF302&lt;3,"",(SUM(T302:AJ302)-MIN(T302:AJ302)-MAX(T302:AJ302))/(DF302-2))</f>
        <v/>
      </c>
      <c r="CB302" s="582" t="str">
        <f t="shared" ref="CB302:CB310" si="731">IF(DG302&lt;3,"",(SUM(AL302:BB302)-MIN(AL302:BB302)-MAX(AL302:BB302))/(DG302-2))</f>
        <v/>
      </c>
      <c r="CC302" s="670" t="str">
        <f t="shared" ref="CC302:CC310" si="732">IF(DH302&lt;3,"",(SUM(BD302:BT302)-MIN(BD302:BT302)-MAX(BD302:BT302))/(DH302-2))</f>
        <v/>
      </c>
      <c r="CD302" s="988" t="str">
        <f t="shared" ref="CD302:CM308" si="73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733"/>
        <v/>
      </c>
      <c r="CF302" s="989" t="str">
        <f t="shared" si="733"/>
        <v/>
      </c>
      <c r="CG302" s="989" t="str">
        <f t="shared" si="733"/>
        <v/>
      </c>
      <c r="CH302" s="990" t="str">
        <f t="shared" si="733"/>
        <v/>
      </c>
      <c r="CI302" s="990" t="str">
        <f t="shared" si="733"/>
        <v/>
      </c>
      <c r="CJ302" s="989" t="str">
        <f t="shared" si="733"/>
        <v/>
      </c>
      <c r="CK302" s="989" t="str">
        <f t="shared" si="733"/>
        <v/>
      </c>
      <c r="CL302" s="989" t="str">
        <f t="shared" si="733"/>
        <v/>
      </c>
      <c r="CM302" s="988" t="str">
        <f t="shared" si="733"/>
        <v/>
      </c>
      <c r="CN302" s="533" t="str">
        <f t="shared" ref="CN302:CN310" si="734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735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73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73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73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74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4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74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74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4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4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74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74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74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4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5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751">COUNT(B302:R302)</f>
        <v>0</v>
      </c>
      <c r="DF302" s="95">
        <f t="shared" ref="DF302:DF310" si="752">COUNT(T302:AJ302)</f>
        <v>0</v>
      </c>
      <c r="DG302" s="95">
        <f t="shared" ref="DG302:DG310" si="753">COUNT(AL302:BB302)</f>
        <v>0</v>
      </c>
      <c r="DH302" s="95">
        <f t="shared" ref="DH302:DH310" si="754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755">IF(B300="","",B300*B302)</f>
        <v/>
      </c>
      <c r="C303" s="612" t="str">
        <f t="shared" si="755"/>
        <v/>
      </c>
      <c r="D303" s="612" t="str">
        <f t="shared" si="755"/>
        <v/>
      </c>
      <c r="E303" s="612" t="str">
        <f t="shared" si="755"/>
        <v/>
      </c>
      <c r="F303" s="612" t="str">
        <f t="shared" si="755"/>
        <v/>
      </c>
      <c r="G303" s="612" t="str">
        <f t="shared" si="755"/>
        <v/>
      </c>
      <c r="H303" s="612" t="str">
        <f t="shared" si="755"/>
        <v/>
      </c>
      <c r="I303" s="612" t="str">
        <f t="shared" si="755"/>
        <v/>
      </c>
      <c r="J303" s="612" t="str">
        <f t="shared" si="755"/>
        <v/>
      </c>
      <c r="K303" s="612" t="str">
        <f t="shared" si="755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756">IF(T300="","",T300*T302)</f>
        <v/>
      </c>
      <c r="U303" s="612" t="str">
        <f t="shared" si="756"/>
        <v/>
      </c>
      <c r="V303" s="612" t="str">
        <f t="shared" si="756"/>
        <v/>
      </c>
      <c r="W303" s="612" t="str">
        <f t="shared" si="756"/>
        <v/>
      </c>
      <c r="X303" s="612" t="str">
        <f t="shared" si="756"/>
        <v/>
      </c>
      <c r="Y303" s="612" t="str">
        <f t="shared" si="756"/>
        <v/>
      </c>
      <c r="Z303" s="612" t="str">
        <f t="shared" si="756"/>
        <v/>
      </c>
      <c r="AA303" s="612" t="str">
        <f t="shared" si="756"/>
        <v/>
      </c>
      <c r="AB303" s="612" t="str">
        <f t="shared" si="756"/>
        <v/>
      </c>
      <c r="AC303" s="612" t="str">
        <f t="shared" si="756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757">IF(AL300="","",AL300*AL302)</f>
        <v/>
      </c>
      <c r="AM303" s="612" t="str">
        <f t="shared" si="757"/>
        <v/>
      </c>
      <c r="AN303" s="612" t="str">
        <f t="shared" si="757"/>
        <v/>
      </c>
      <c r="AO303" s="612" t="str">
        <f t="shared" si="757"/>
        <v/>
      </c>
      <c r="AP303" s="612" t="str">
        <f t="shared" si="757"/>
        <v/>
      </c>
      <c r="AQ303" s="612" t="str">
        <f t="shared" si="757"/>
        <v/>
      </c>
      <c r="AR303" s="612" t="str">
        <f t="shared" si="757"/>
        <v/>
      </c>
      <c r="AS303" s="612" t="str">
        <f t="shared" si="757"/>
        <v/>
      </c>
      <c r="AT303" s="612" t="str">
        <f t="shared" si="757"/>
        <v/>
      </c>
      <c r="AU303" s="612" t="str">
        <f t="shared" si="757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758">IF(BD300="","",BD300*BD302)</f>
        <v/>
      </c>
      <c r="BE303" s="1201" t="str">
        <f t="shared" si="758"/>
        <v/>
      </c>
      <c r="BF303" s="1201" t="str">
        <f t="shared" si="758"/>
        <v/>
      </c>
      <c r="BG303" s="1201" t="str">
        <f t="shared" si="758"/>
        <v/>
      </c>
      <c r="BH303" s="1201" t="str">
        <f t="shared" si="758"/>
        <v/>
      </c>
      <c r="BI303" s="1201" t="str">
        <f t="shared" si="758"/>
        <v/>
      </c>
      <c r="BJ303" s="1201" t="str">
        <f t="shared" si="758"/>
        <v/>
      </c>
      <c r="BK303" s="1201" t="str">
        <f t="shared" si="758"/>
        <v/>
      </c>
      <c r="BL303" s="1201" t="str">
        <f t="shared" si="758"/>
        <v/>
      </c>
      <c r="BM303" s="1201" t="str">
        <f t="shared" si="758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729"/>
        <v/>
      </c>
      <c r="CA303" s="582" t="str">
        <f t="shared" si="730"/>
        <v/>
      </c>
      <c r="CB303" s="582" t="str">
        <f t="shared" si="731"/>
        <v/>
      </c>
      <c r="CC303" s="670" t="str">
        <f t="shared" si="732"/>
        <v/>
      </c>
      <c r="CD303" s="988" t="str">
        <f t="shared" si="733"/>
        <v/>
      </c>
      <c r="CE303" s="989" t="str">
        <f t="shared" si="733"/>
        <v/>
      </c>
      <c r="CF303" s="989" t="str">
        <f t="shared" si="733"/>
        <v/>
      </c>
      <c r="CG303" s="989" t="str">
        <f t="shared" si="733"/>
        <v/>
      </c>
      <c r="CH303" s="990" t="str">
        <f t="shared" si="733"/>
        <v/>
      </c>
      <c r="CI303" s="990" t="str">
        <f t="shared" si="733"/>
        <v/>
      </c>
      <c r="CJ303" s="989" t="str">
        <f t="shared" si="733"/>
        <v/>
      </c>
      <c r="CK303" s="989" t="str">
        <f t="shared" si="733"/>
        <v/>
      </c>
      <c r="CL303" s="989" t="str">
        <f t="shared" si="733"/>
        <v/>
      </c>
      <c r="CM303" s="988" t="str">
        <f t="shared" si="733"/>
        <v/>
      </c>
      <c r="CN303" s="533" t="str">
        <f t="shared" si="734"/>
        <v/>
      </c>
      <c r="CO303" s="534" t="str">
        <f t="shared" si="735"/>
        <v/>
      </c>
      <c r="CP303" s="535" t="str">
        <f t="shared" si="736"/>
        <v/>
      </c>
      <c r="CQ303" s="535" t="str">
        <f t="shared" si="737"/>
        <v/>
      </c>
      <c r="CR303" s="535" t="str">
        <f t="shared" si="738"/>
        <v/>
      </c>
      <c r="CS303" s="535" t="str">
        <f t="shared" si="739"/>
        <v/>
      </c>
      <c r="CT303" s="535" t="str">
        <f t="shared" si="740"/>
        <v/>
      </c>
      <c r="CU303" s="536" t="str">
        <f t="shared" si="741"/>
        <v/>
      </c>
      <c r="CV303" s="536" t="str">
        <f t="shared" si="742"/>
        <v/>
      </c>
      <c r="CW303" s="536" t="str">
        <f t="shared" si="743"/>
        <v/>
      </c>
      <c r="CX303" s="535" t="str">
        <f t="shared" si="744"/>
        <v/>
      </c>
      <c r="CY303" s="535" t="str">
        <f t="shared" si="745"/>
        <v/>
      </c>
      <c r="CZ303" s="535" t="str">
        <f t="shared" si="746"/>
        <v/>
      </c>
      <c r="DA303" s="535" t="str">
        <f t="shared" si="747"/>
        <v/>
      </c>
      <c r="DB303" s="535" t="str">
        <f t="shared" si="748"/>
        <v/>
      </c>
      <c r="DC303" s="534" t="str">
        <f t="shared" si="749"/>
        <v/>
      </c>
      <c r="DD303" s="533" t="str">
        <f t="shared" si="750"/>
        <v/>
      </c>
      <c r="DE303" s="635">
        <f t="shared" si="751"/>
        <v>0</v>
      </c>
      <c r="DF303" s="95">
        <f t="shared" si="752"/>
        <v>0</v>
      </c>
      <c r="DG303" s="95">
        <f t="shared" si="753"/>
        <v>0</v>
      </c>
      <c r="DH303" s="95">
        <f t="shared" si="754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759">1530*$K$1</f>
        <v>6405.8040000000001</v>
      </c>
      <c r="D304" s="683">
        <f t="shared" si="759"/>
        <v>6405.8040000000001</v>
      </c>
      <c r="E304" s="683">
        <f t="shared" si="759"/>
        <v>6405.8040000000001</v>
      </c>
      <c r="F304" s="683">
        <f t="shared" si="759"/>
        <v>6405.8040000000001</v>
      </c>
      <c r="G304" s="683">
        <f t="shared" si="759"/>
        <v>6405.8040000000001</v>
      </c>
      <c r="H304" s="683">
        <f t="shared" si="759"/>
        <v>6405.8040000000001</v>
      </c>
      <c r="I304" s="683">
        <f t="shared" si="759"/>
        <v>6405.8040000000001</v>
      </c>
      <c r="J304" s="683">
        <f t="shared" si="759"/>
        <v>6405.8040000000001</v>
      </c>
      <c r="K304" s="683">
        <f t="shared" si="759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760">1530*$K$1</f>
        <v>6405.8040000000001</v>
      </c>
      <c r="V304" s="683">
        <f t="shared" si="760"/>
        <v>6405.8040000000001</v>
      </c>
      <c r="W304" s="683">
        <f t="shared" si="760"/>
        <v>6405.8040000000001</v>
      </c>
      <c r="X304" s="683">
        <f t="shared" si="760"/>
        <v>6405.8040000000001</v>
      </c>
      <c r="Y304" s="683">
        <f t="shared" si="760"/>
        <v>6405.8040000000001</v>
      </c>
      <c r="Z304" s="683">
        <f t="shared" si="760"/>
        <v>6405.8040000000001</v>
      </c>
      <c r="AA304" s="683">
        <f t="shared" si="760"/>
        <v>6405.8040000000001</v>
      </c>
      <c r="AB304" s="683">
        <f t="shared" si="760"/>
        <v>6405.8040000000001</v>
      </c>
      <c r="AC304" s="683">
        <f t="shared" si="760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761">1530*$K$1</f>
        <v>6405.8040000000001</v>
      </c>
      <c r="AN304" s="683">
        <f t="shared" si="761"/>
        <v>6405.8040000000001</v>
      </c>
      <c r="AO304" s="683">
        <f t="shared" si="761"/>
        <v>6405.8040000000001</v>
      </c>
      <c r="AP304" s="683">
        <f t="shared" si="761"/>
        <v>6405.8040000000001</v>
      </c>
      <c r="AQ304" s="683">
        <f t="shared" si="761"/>
        <v>6405.8040000000001</v>
      </c>
      <c r="AR304" s="683">
        <f t="shared" si="761"/>
        <v>6405.8040000000001</v>
      </c>
      <c r="AS304" s="683">
        <f t="shared" si="761"/>
        <v>6405.8040000000001</v>
      </c>
      <c r="AT304" s="683">
        <f t="shared" si="761"/>
        <v>6405.8040000000001</v>
      </c>
      <c r="AU304" s="683">
        <f t="shared" si="761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762">1530*$K$1</f>
        <v>6405.8040000000001</v>
      </c>
      <c r="BF304" s="1225">
        <f t="shared" si="762"/>
        <v>6405.8040000000001</v>
      </c>
      <c r="BG304" s="1225">
        <f t="shared" si="762"/>
        <v>6405.8040000000001</v>
      </c>
      <c r="BH304" s="1225">
        <f t="shared" si="762"/>
        <v>6405.8040000000001</v>
      </c>
      <c r="BI304" s="1225">
        <f t="shared" si="762"/>
        <v>6405.8040000000001</v>
      </c>
      <c r="BJ304" s="1225">
        <f t="shared" si="762"/>
        <v>6405.8040000000001</v>
      </c>
      <c r="BK304" s="1225">
        <f t="shared" si="762"/>
        <v>6405.8040000000001</v>
      </c>
      <c r="BL304" s="1225">
        <f t="shared" si="762"/>
        <v>6405.8040000000001</v>
      </c>
      <c r="BM304" s="1225">
        <f t="shared" si="762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>1530*$K$1</f>
        <v>6405.8040000000001</v>
      </c>
      <c r="BW304" s="683">
        <f>1530*$K$1</f>
        <v>6405.8040000000001</v>
      </c>
      <c r="BX304" s="683">
        <f>1530*$K$1</f>
        <v>6405.8040000000001</v>
      </c>
      <c r="BY304" s="683">
        <f>1530*$K$1</f>
        <v>6405.8040000000001</v>
      </c>
      <c r="BZ304" s="582">
        <f t="shared" si="729"/>
        <v>6405.8040000000001</v>
      </c>
      <c r="CA304" s="582">
        <f t="shared" si="730"/>
        <v>6405.8040000000001</v>
      </c>
      <c r="CB304" s="582">
        <f t="shared" si="731"/>
        <v>6405.8040000000001</v>
      </c>
      <c r="CC304" s="670">
        <f t="shared" si="732"/>
        <v>6405.8040000000001</v>
      </c>
      <c r="CD304" s="988">
        <f t="shared" si="733"/>
        <v>6405.8040000000001</v>
      </c>
      <c r="CE304" s="989">
        <f t="shared" si="733"/>
        <v>6405.8040000000001</v>
      </c>
      <c r="CF304" s="989">
        <f t="shared" si="733"/>
        <v>6405.8040000000001</v>
      </c>
      <c r="CG304" s="989">
        <f t="shared" si="733"/>
        <v>6405.8040000000001</v>
      </c>
      <c r="CH304" s="990">
        <f t="shared" si="733"/>
        <v>6405.8040000000001</v>
      </c>
      <c r="CI304" s="990">
        <f t="shared" si="733"/>
        <v>6405.8040000000001</v>
      </c>
      <c r="CJ304" s="989">
        <f t="shared" si="733"/>
        <v>6405.8040000000001</v>
      </c>
      <c r="CK304" s="989">
        <f t="shared" si="733"/>
        <v>6405.8040000000001</v>
      </c>
      <c r="CL304" s="989">
        <f t="shared" si="733"/>
        <v>6405.8040000000001</v>
      </c>
      <c r="CM304" s="988">
        <f t="shared" si="733"/>
        <v>6405.8040000000001</v>
      </c>
      <c r="CN304" s="533" t="str">
        <f t="shared" si="734"/>
        <v/>
      </c>
      <c r="CO304" s="534" t="str">
        <f t="shared" si="735"/>
        <v/>
      </c>
      <c r="CP304" s="535" t="str">
        <f t="shared" si="736"/>
        <v/>
      </c>
      <c r="CQ304" s="535" t="str">
        <f t="shared" si="737"/>
        <v/>
      </c>
      <c r="CR304" s="535">
        <f t="shared" si="738"/>
        <v>6405.8040000000001</v>
      </c>
      <c r="CS304" s="535">
        <f t="shared" si="739"/>
        <v>6405.8040000000001</v>
      </c>
      <c r="CT304" s="535">
        <f t="shared" si="740"/>
        <v>6405.8040000000001</v>
      </c>
      <c r="CU304" s="536">
        <f t="shared" si="741"/>
        <v>6405.8040000000001</v>
      </c>
      <c r="CV304" s="536">
        <f t="shared" si="742"/>
        <v>6405.8040000000001</v>
      </c>
      <c r="CW304" s="536">
        <f t="shared" si="743"/>
        <v>6405.8040000000001</v>
      </c>
      <c r="CX304" s="535">
        <f t="shared" si="744"/>
        <v>6405.8040000000001</v>
      </c>
      <c r="CY304" s="535">
        <f t="shared" si="745"/>
        <v>6405.8040000000001</v>
      </c>
      <c r="CZ304" s="535">
        <f t="shared" si="746"/>
        <v>6405.8040000000001</v>
      </c>
      <c r="DA304" s="535">
        <f t="shared" si="747"/>
        <v>6405.8040000000001</v>
      </c>
      <c r="DB304" s="535" t="str">
        <f t="shared" si="748"/>
        <v/>
      </c>
      <c r="DC304" s="534" t="str">
        <f t="shared" si="749"/>
        <v/>
      </c>
      <c r="DD304" s="533" t="str">
        <f t="shared" si="750"/>
        <v/>
      </c>
      <c r="DE304" s="635">
        <f t="shared" si="751"/>
        <v>10</v>
      </c>
      <c r="DF304" s="95">
        <f t="shared" si="752"/>
        <v>10</v>
      </c>
      <c r="DG304" s="95">
        <f t="shared" si="753"/>
        <v>10</v>
      </c>
      <c r="DH304" s="95">
        <f t="shared" si="754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729"/>
        <v/>
      </c>
      <c r="CA305" s="582" t="str">
        <f t="shared" si="730"/>
        <v/>
      </c>
      <c r="CB305" s="582" t="str">
        <f t="shared" si="731"/>
        <v/>
      </c>
      <c r="CC305" s="670" t="str">
        <f t="shared" si="732"/>
        <v/>
      </c>
      <c r="CD305" s="988" t="str">
        <f t="shared" si="733"/>
        <v/>
      </c>
      <c r="CE305" s="989" t="str">
        <f t="shared" si="733"/>
        <v/>
      </c>
      <c r="CF305" s="989" t="str">
        <f t="shared" si="733"/>
        <v/>
      </c>
      <c r="CG305" s="989" t="str">
        <f t="shared" si="733"/>
        <v/>
      </c>
      <c r="CH305" s="990" t="str">
        <f t="shared" si="733"/>
        <v/>
      </c>
      <c r="CI305" s="990" t="str">
        <f t="shared" si="733"/>
        <v/>
      </c>
      <c r="CJ305" s="989" t="str">
        <f t="shared" si="733"/>
        <v/>
      </c>
      <c r="CK305" s="989" t="str">
        <f t="shared" si="733"/>
        <v/>
      </c>
      <c r="CL305" s="989" t="str">
        <f t="shared" si="733"/>
        <v/>
      </c>
      <c r="CM305" s="988" t="str">
        <f t="shared" si="733"/>
        <v/>
      </c>
      <c r="CN305" s="533" t="str">
        <f t="shared" si="734"/>
        <v/>
      </c>
      <c r="CO305" s="534" t="str">
        <f t="shared" si="735"/>
        <v/>
      </c>
      <c r="CP305" s="535" t="str">
        <f t="shared" si="736"/>
        <v/>
      </c>
      <c r="CQ305" s="535" t="str">
        <f t="shared" si="737"/>
        <v/>
      </c>
      <c r="CR305" s="535" t="str">
        <f t="shared" si="738"/>
        <v/>
      </c>
      <c r="CS305" s="535" t="str">
        <f t="shared" si="739"/>
        <v/>
      </c>
      <c r="CT305" s="535" t="str">
        <f t="shared" si="740"/>
        <v/>
      </c>
      <c r="CU305" s="536" t="str">
        <f t="shared" si="741"/>
        <v/>
      </c>
      <c r="CV305" s="536" t="str">
        <f t="shared" si="742"/>
        <v/>
      </c>
      <c r="CW305" s="536" t="str">
        <f t="shared" si="743"/>
        <v/>
      </c>
      <c r="CX305" s="535" t="str">
        <f t="shared" si="744"/>
        <v/>
      </c>
      <c r="CY305" s="535" t="str">
        <f t="shared" si="745"/>
        <v/>
      </c>
      <c r="CZ305" s="535" t="str">
        <f t="shared" si="746"/>
        <v/>
      </c>
      <c r="DA305" s="535" t="str">
        <f t="shared" si="747"/>
        <v/>
      </c>
      <c r="DB305" s="535" t="str">
        <f t="shared" si="748"/>
        <v/>
      </c>
      <c r="DC305" s="534" t="str">
        <f t="shared" si="749"/>
        <v/>
      </c>
      <c r="DD305" s="533" t="str">
        <f t="shared" si="750"/>
        <v/>
      </c>
      <c r="DE305" s="635">
        <f t="shared" si="751"/>
        <v>0</v>
      </c>
      <c r="DF305" s="95">
        <f t="shared" si="752"/>
        <v>0</v>
      </c>
      <c r="DG305" s="95">
        <f t="shared" si="753"/>
        <v>0</v>
      </c>
      <c r="DH305" s="95">
        <f t="shared" si="754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729"/>
        <v/>
      </c>
      <c r="CA306" s="582" t="str">
        <f t="shared" si="730"/>
        <v/>
      </c>
      <c r="CB306" s="582" t="str">
        <f t="shared" si="731"/>
        <v/>
      </c>
      <c r="CC306" s="670" t="str">
        <f t="shared" si="732"/>
        <v/>
      </c>
      <c r="CD306" s="988" t="str">
        <f t="shared" si="733"/>
        <v/>
      </c>
      <c r="CE306" s="989" t="str">
        <f t="shared" si="733"/>
        <v/>
      </c>
      <c r="CF306" s="989" t="str">
        <f t="shared" si="733"/>
        <v/>
      </c>
      <c r="CG306" s="989" t="str">
        <f t="shared" si="733"/>
        <v/>
      </c>
      <c r="CH306" s="990" t="str">
        <f t="shared" si="733"/>
        <v/>
      </c>
      <c r="CI306" s="990" t="str">
        <f t="shared" si="733"/>
        <v/>
      </c>
      <c r="CJ306" s="989" t="str">
        <f t="shared" si="733"/>
        <v/>
      </c>
      <c r="CK306" s="989" t="str">
        <f t="shared" si="733"/>
        <v/>
      </c>
      <c r="CL306" s="989" t="str">
        <f t="shared" si="733"/>
        <v/>
      </c>
      <c r="CM306" s="988" t="str">
        <f t="shared" si="733"/>
        <v/>
      </c>
      <c r="CN306" s="533" t="str">
        <f t="shared" si="734"/>
        <v/>
      </c>
      <c r="CO306" s="534" t="str">
        <f t="shared" si="735"/>
        <v/>
      </c>
      <c r="CP306" s="535" t="str">
        <f t="shared" si="736"/>
        <v/>
      </c>
      <c r="CQ306" s="535" t="str">
        <f t="shared" si="737"/>
        <v/>
      </c>
      <c r="CR306" s="535" t="str">
        <f t="shared" si="738"/>
        <v/>
      </c>
      <c r="CS306" s="535" t="str">
        <f t="shared" si="739"/>
        <v/>
      </c>
      <c r="CT306" s="535" t="str">
        <f t="shared" si="740"/>
        <v/>
      </c>
      <c r="CU306" s="536" t="str">
        <f t="shared" si="741"/>
        <v/>
      </c>
      <c r="CV306" s="536" t="str">
        <f t="shared" si="742"/>
        <v/>
      </c>
      <c r="CW306" s="536" t="str">
        <f t="shared" si="743"/>
        <v/>
      </c>
      <c r="CX306" s="535" t="str">
        <f t="shared" si="744"/>
        <v/>
      </c>
      <c r="CY306" s="535" t="str">
        <f t="shared" si="745"/>
        <v/>
      </c>
      <c r="CZ306" s="535" t="str">
        <f t="shared" si="746"/>
        <v/>
      </c>
      <c r="DA306" s="535" t="str">
        <f t="shared" si="747"/>
        <v/>
      </c>
      <c r="DB306" s="535" t="str">
        <f t="shared" si="748"/>
        <v/>
      </c>
      <c r="DC306" s="534" t="str">
        <f t="shared" si="749"/>
        <v/>
      </c>
      <c r="DD306" s="533" t="str">
        <f t="shared" si="750"/>
        <v/>
      </c>
      <c r="DE306" s="635">
        <f t="shared" si="751"/>
        <v>0</v>
      </c>
      <c r="DF306" s="95">
        <f t="shared" si="752"/>
        <v>0</v>
      </c>
      <c r="DG306" s="95">
        <f t="shared" si="753"/>
        <v>0</v>
      </c>
      <c r="DH306" s="95">
        <f t="shared" si="754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763">IF(B305="","",B305*B306)</f>
        <v/>
      </c>
      <c r="C307" s="612" t="str">
        <f t="shared" si="763"/>
        <v/>
      </c>
      <c r="D307" s="612" t="str">
        <f t="shared" si="763"/>
        <v/>
      </c>
      <c r="E307" s="612" t="str">
        <f t="shared" si="763"/>
        <v/>
      </c>
      <c r="F307" s="612" t="str">
        <f t="shared" si="763"/>
        <v/>
      </c>
      <c r="G307" s="612" t="str">
        <f t="shared" si="763"/>
        <v/>
      </c>
      <c r="H307" s="612" t="str">
        <f t="shared" si="763"/>
        <v/>
      </c>
      <c r="I307" s="612" t="str">
        <f t="shared" si="763"/>
        <v/>
      </c>
      <c r="J307" s="612" t="str">
        <f t="shared" si="763"/>
        <v/>
      </c>
      <c r="K307" s="612" t="str">
        <f t="shared" si="76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764">IF(T305="","",T305*T306)</f>
        <v/>
      </c>
      <c r="U307" s="612" t="str">
        <f t="shared" si="764"/>
        <v/>
      </c>
      <c r="V307" s="612" t="str">
        <f t="shared" si="764"/>
        <v/>
      </c>
      <c r="W307" s="612" t="str">
        <f t="shared" si="764"/>
        <v/>
      </c>
      <c r="X307" s="612" t="str">
        <f t="shared" si="764"/>
        <v/>
      </c>
      <c r="Y307" s="612" t="str">
        <f t="shared" si="764"/>
        <v/>
      </c>
      <c r="Z307" s="612" t="str">
        <f t="shared" si="764"/>
        <v/>
      </c>
      <c r="AA307" s="612" t="str">
        <f t="shared" si="764"/>
        <v/>
      </c>
      <c r="AB307" s="612" t="str">
        <f t="shared" si="764"/>
        <v/>
      </c>
      <c r="AC307" s="612" t="str">
        <f t="shared" si="76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765">IF(AL305="","",AL305*AL306)</f>
        <v/>
      </c>
      <c r="AM307" s="612" t="str">
        <f t="shared" si="765"/>
        <v/>
      </c>
      <c r="AN307" s="612" t="str">
        <f t="shared" si="765"/>
        <v/>
      </c>
      <c r="AO307" s="612" t="str">
        <f t="shared" si="765"/>
        <v/>
      </c>
      <c r="AP307" s="612" t="str">
        <f t="shared" si="765"/>
        <v/>
      </c>
      <c r="AQ307" s="612" t="str">
        <f t="shared" si="765"/>
        <v/>
      </c>
      <c r="AR307" s="612" t="str">
        <f t="shared" si="765"/>
        <v/>
      </c>
      <c r="AS307" s="612" t="str">
        <f t="shared" si="765"/>
        <v/>
      </c>
      <c r="AT307" s="612" t="str">
        <f t="shared" si="765"/>
        <v/>
      </c>
      <c r="AU307" s="612" t="str">
        <f t="shared" si="76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766">IF(BD305="","",BD305*BD306)</f>
        <v/>
      </c>
      <c r="BE307" s="1201" t="str">
        <f t="shared" si="766"/>
        <v/>
      </c>
      <c r="BF307" s="1201" t="str">
        <f t="shared" si="766"/>
        <v/>
      </c>
      <c r="BG307" s="1201" t="str">
        <f t="shared" si="766"/>
        <v/>
      </c>
      <c r="BH307" s="1201" t="str">
        <f t="shared" si="766"/>
        <v/>
      </c>
      <c r="BI307" s="1201" t="str">
        <f t="shared" si="766"/>
        <v/>
      </c>
      <c r="BJ307" s="1201" t="str">
        <f t="shared" si="766"/>
        <v/>
      </c>
      <c r="BK307" s="1201" t="str">
        <f t="shared" si="766"/>
        <v/>
      </c>
      <c r="BL307" s="1201" t="str">
        <f t="shared" si="766"/>
        <v/>
      </c>
      <c r="BM307" s="1201" t="str">
        <f t="shared" si="76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729"/>
        <v/>
      </c>
      <c r="CA307" s="582" t="str">
        <f t="shared" si="730"/>
        <v/>
      </c>
      <c r="CB307" s="582" t="str">
        <f t="shared" si="731"/>
        <v/>
      </c>
      <c r="CC307" s="670" t="str">
        <f t="shared" si="732"/>
        <v/>
      </c>
      <c r="CD307" s="988" t="str">
        <f t="shared" si="733"/>
        <v/>
      </c>
      <c r="CE307" s="989" t="str">
        <f t="shared" si="733"/>
        <v/>
      </c>
      <c r="CF307" s="989" t="str">
        <f t="shared" si="733"/>
        <v/>
      </c>
      <c r="CG307" s="989" t="str">
        <f t="shared" si="733"/>
        <v/>
      </c>
      <c r="CH307" s="990" t="str">
        <f t="shared" si="733"/>
        <v/>
      </c>
      <c r="CI307" s="990" t="str">
        <f t="shared" si="733"/>
        <v/>
      </c>
      <c r="CJ307" s="989" t="str">
        <f t="shared" si="733"/>
        <v/>
      </c>
      <c r="CK307" s="989" t="str">
        <f t="shared" si="733"/>
        <v/>
      </c>
      <c r="CL307" s="989" t="str">
        <f t="shared" si="733"/>
        <v/>
      </c>
      <c r="CM307" s="988" t="str">
        <f t="shared" si="733"/>
        <v/>
      </c>
      <c r="CN307" s="533" t="str">
        <f t="shared" si="734"/>
        <v/>
      </c>
      <c r="CO307" s="534" t="str">
        <f t="shared" si="735"/>
        <v/>
      </c>
      <c r="CP307" s="535" t="str">
        <f t="shared" si="736"/>
        <v/>
      </c>
      <c r="CQ307" s="535" t="str">
        <f t="shared" si="737"/>
        <v/>
      </c>
      <c r="CR307" s="535" t="str">
        <f t="shared" si="738"/>
        <v/>
      </c>
      <c r="CS307" s="535" t="str">
        <f t="shared" si="739"/>
        <v/>
      </c>
      <c r="CT307" s="535" t="str">
        <f t="shared" si="740"/>
        <v/>
      </c>
      <c r="CU307" s="536" t="str">
        <f t="shared" si="741"/>
        <v/>
      </c>
      <c r="CV307" s="536" t="str">
        <f t="shared" si="742"/>
        <v/>
      </c>
      <c r="CW307" s="536" t="str">
        <f t="shared" si="743"/>
        <v/>
      </c>
      <c r="CX307" s="535" t="str">
        <f t="shared" si="744"/>
        <v/>
      </c>
      <c r="CY307" s="535" t="str">
        <f t="shared" si="745"/>
        <v/>
      </c>
      <c r="CZ307" s="535" t="str">
        <f t="shared" si="746"/>
        <v/>
      </c>
      <c r="DA307" s="535" t="str">
        <f t="shared" si="747"/>
        <v/>
      </c>
      <c r="DB307" s="535" t="str">
        <f t="shared" si="748"/>
        <v/>
      </c>
      <c r="DC307" s="534" t="str">
        <f t="shared" si="749"/>
        <v/>
      </c>
      <c r="DD307" s="533" t="str">
        <f t="shared" si="750"/>
        <v/>
      </c>
      <c r="DE307" s="635">
        <f t="shared" si="751"/>
        <v>0</v>
      </c>
      <c r="DF307" s="95">
        <f t="shared" si="752"/>
        <v>0</v>
      </c>
      <c r="DG307" s="95">
        <f t="shared" si="753"/>
        <v>0</v>
      </c>
      <c r="DH307" s="95">
        <f t="shared" si="754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729"/>
        <v/>
      </c>
      <c r="CA308" s="582" t="str">
        <f t="shared" si="730"/>
        <v/>
      </c>
      <c r="CB308" s="582" t="str">
        <f t="shared" si="731"/>
        <v/>
      </c>
      <c r="CC308" s="670" t="str">
        <f t="shared" si="732"/>
        <v/>
      </c>
      <c r="CD308" s="988" t="str">
        <f t="shared" si="733"/>
        <v/>
      </c>
      <c r="CE308" s="989" t="str">
        <f t="shared" si="733"/>
        <v/>
      </c>
      <c r="CF308" s="989" t="str">
        <f t="shared" si="733"/>
        <v/>
      </c>
      <c r="CG308" s="989" t="str">
        <f t="shared" si="733"/>
        <v/>
      </c>
      <c r="CH308" s="990" t="str">
        <f t="shared" si="733"/>
        <v/>
      </c>
      <c r="CI308" s="990" t="str">
        <f t="shared" si="733"/>
        <v/>
      </c>
      <c r="CJ308" s="989" t="str">
        <f t="shared" si="733"/>
        <v/>
      </c>
      <c r="CK308" s="989" t="str">
        <f t="shared" si="733"/>
        <v/>
      </c>
      <c r="CL308" s="989" t="str">
        <f t="shared" si="733"/>
        <v/>
      </c>
      <c r="CM308" s="988" t="str">
        <f t="shared" si="733"/>
        <v/>
      </c>
      <c r="CN308" s="533" t="str">
        <f t="shared" si="734"/>
        <v/>
      </c>
      <c r="CO308" s="534" t="str">
        <f t="shared" si="735"/>
        <v/>
      </c>
      <c r="CP308" s="535" t="str">
        <f t="shared" si="736"/>
        <v/>
      </c>
      <c r="CQ308" s="535" t="str">
        <f t="shared" si="737"/>
        <v/>
      </c>
      <c r="CR308" s="535" t="str">
        <f t="shared" si="738"/>
        <v/>
      </c>
      <c r="CS308" s="535" t="str">
        <f t="shared" si="739"/>
        <v/>
      </c>
      <c r="CT308" s="535" t="str">
        <f t="shared" si="740"/>
        <v/>
      </c>
      <c r="CU308" s="536" t="str">
        <f t="shared" si="741"/>
        <v/>
      </c>
      <c r="CV308" s="536" t="str">
        <f t="shared" si="742"/>
        <v/>
      </c>
      <c r="CW308" s="536" t="str">
        <f t="shared" si="743"/>
        <v/>
      </c>
      <c r="CX308" s="535" t="str">
        <f t="shared" si="744"/>
        <v/>
      </c>
      <c r="CY308" s="535" t="str">
        <f t="shared" si="745"/>
        <v/>
      </c>
      <c r="CZ308" s="535" t="str">
        <f t="shared" si="746"/>
        <v/>
      </c>
      <c r="DA308" s="535" t="str">
        <f t="shared" si="747"/>
        <v/>
      </c>
      <c r="DB308" s="535" t="str">
        <f t="shared" si="748"/>
        <v/>
      </c>
      <c r="DC308" s="534" t="str">
        <f t="shared" si="749"/>
        <v/>
      </c>
      <c r="DD308" s="533" t="str">
        <f t="shared" si="750"/>
        <v/>
      </c>
      <c r="DE308" s="635">
        <f t="shared" si="751"/>
        <v>0</v>
      </c>
      <c r="DF308" s="95">
        <f t="shared" si="752"/>
        <v>0</v>
      </c>
      <c r="DG308" s="95">
        <f t="shared" si="753"/>
        <v>0</v>
      </c>
      <c r="DH308" s="95">
        <f t="shared" si="754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767">IF(B303="","",(B303-B305-B308)*B304/B$46/365/$G$1)</f>
        <v/>
      </c>
      <c r="C309" s="615" t="str">
        <f t="shared" si="767"/>
        <v/>
      </c>
      <c r="D309" s="615" t="str">
        <f t="shared" si="767"/>
        <v/>
      </c>
      <c r="E309" s="615" t="str">
        <f t="shared" si="767"/>
        <v/>
      </c>
      <c r="F309" s="615" t="str">
        <f t="shared" si="767"/>
        <v/>
      </c>
      <c r="G309" s="615" t="str">
        <f t="shared" si="767"/>
        <v/>
      </c>
      <c r="H309" s="615" t="str">
        <f t="shared" si="767"/>
        <v/>
      </c>
      <c r="I309" s="615" t="str">
        <f t="shared" si="767"/>
        <v/>
      </c>
      <c r="J309" s="615" t="str">
        <f t="shared" si="767"/>
        <v/>
      </c>
      <c r="K309" s="615" t="str">
        <f t="shared" si="76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768">IF(T303="","",(T303-T305-T308)*T304/T$46/365/$G$1)</f>
        <v/>
      </c>
      <c r="U309" s="615" t="str">
        <f t="shared" si="768"/>
        <v/>
      </c>
      <c r="V309" s="615" t="str">
        <f t="shared" si="768"/>
        <v/>
      </c>
      <c r="W309" s="615" t="str">
        <f t="shared" si="768"/>
        <v/>
      </c>
      <c r="X309" s="615" t="str">
        <f t="shared" si="768"/>
        <v/>
      </c>
      <c r="Y309" s="615" t="str">
        <f t="shared" si="768"/>
        <v/>
      </c>
      <c r="Z309" s="615" t="str">
        <f t="shared" si="768"/>
        <v/>
      </c>
      <c r="AA309" s="615" t="str">
        <f t="shared" si="768"/>
        <v/>
      </c>
      <c r="AB309" s="615" t="str">
        <f t="shared" si="768"/>
        <v/>
      </c>
      <c r="AC309" s="615" t="str">
        <f t="shared" si="76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769">IF(AL303="","",(AL303-AL305-AL308)*AL304/AL$46/365/$G$1)</f>
        <v/>
      </c>
      <c r="AM309" s="615" t="str">
        <f t="shared" si="769"/>
        <v/>
      </c>
      <c r="AN309" s="615" t="str">
        <f t="shared" si="769"/>
        <v/>
      </c>
      <c r="AO309" s="615" t="str">
        <f t="shared" si="769"/>
        <v/>
      </c>
      <c r="AP309" s="615" t="str">
        <f t="shared" si="769"/>
        <v/>
      </c>
      <c r="AQ309" s="615" t="str">
        <f t="shared" si="769"/>
        <v/>
      </c>
      <c r="AR309" s="615" t="str">
        <f t="shared" si="769"/>
        <v/>
      </c>
      <c r="AS309" s="615" t="str">
        <f t="shared" si="769"/>
        <v/>
      </c>
      <c r="AT309" s="615" t="str">
        <f t="shared" si="769"/>
        <v/>
      </c>
      <c r="AU309" s="615" t="str">
        <f t="shared" si="76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770">IF(BD303="","",(BD303-BD305-BD308)*BD304/BD$46/365/$G$1)</f>
        <v/>
      </c>
      <c r="BE309" s="1202" t="str">
        <f t="shared" si="770"/>
        <v/>
      </c>
      <c r="BF309" s="1202" t="str">
        <f t="shared" si="770"/>
        <v/>
      </c>
      <c r="BG309" s="1202" t="str">
        <f t="shared" si="770"/>
        <v/>
      </c>
      <c r="BH309" s="1202" t="str">
        <f t="shared" si="770"/>
        <v/>
      </c>
      <c r="BI309" s="1202" t="str">
        <f t="shared" si="770"/>
        <v/>
      </c>
      <c r="BJ309" s="1202" t="str">
        <f t="shared" si="770"/>
        <v/>
      </c>
      <c r="BK309" s="1202" t="str">
        <f t="shared" si="770"/>
        <v/>
      </c>
      <c r="BL309" s="1202" t="str">
        <f t="shared" si="770"/>
        <v/>
      </c>
      <c r="BM309" s="1202" t="str">
        <f t="shared" si="77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729"/>
        <v/>
      </c>
      <c r="CA309" s="607" t="str">
        <f t="shared" si="730"/>
        <v/>
      </c>
      <c r="CB309" s="607" t="str">
        <f t="shared" si="731"/>
        <v/>
      </c>
      <c r="CC309" s="673" t="str">
        <f t="shared" si="732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77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771"/>
        <v/>
      </c>
      <c r="CG309" s="992" t="str">
        <f t="shared" si="771"/>
        <v/>
      </c>
      <c r="CH309" s="993" t="str">
        <f t="shared" si="771"/>
        <v/>
      </c>
      <c r="CI309" s="993" t="str">
        <f t="shared" si="771"/>
        <v/>
      </c>
      <c r="CJ309" s="992" t="str">
        <f t="shared" si="771"/>
        <v/>
      </c>
      <c r="CK309" s="992" t="str">
        <f t="shared" si="771"/>
        <v/>
      </c>
      <c r="CL309" s="992" t="str">
        <f t="shared" si="771"/>
        <v/>
      </c>
      <c r="CM309" s="991" t="str">
        <f t="shared" si="771"/>
        <v/>
      </c>
      <c r="CN309" s="521" t="str">
        <f t="shared" si="734"/>
        <v/>
      </c>
      <c r="CO309" s="522" t="str">
        <f t="shared" si="735"/>
        <v/>
      </c>
      <c r="CP309" s="523" t="str">
        <f t="shared" si="736"/>
        <v/>
      </c>
      <c r="CQ309" s="523" t="str">
        <f t="shared" si="737"/>
        <v/>
      </c>
      <c r="CR309" s="523" t="str">
        <f t="shared" si="738"/>
        <v/>
      </c>
      <c r="CS309" s="523" t="str">
        <f t="shared" si="739"/>
        <v/>
      </c>
      <c r="CT309" s="523" t="str">
        <f t="shared" si="740"/>
        <v/>
      </c>
      <c r="CU309" s="524" t="str">
        <f t="shared" si="741"/>
        <v/>
      </c>
      <c r="CV309" s="524" t="str">
        <f t="shared" si="742"/>
        <v/>
      </c>
      <c r="CW309" s="524" t="str">
        <f t="shared" si="743"/>
        <v/>
      </c>
      <c r="CX309" s="523" t="str">
        <f t="shared" si="744"/>
        <v/>
      </c>
      <c r="CY309" s="523" t="str">
        <f t="shared" si="745"/>
        <v/>
      </c>
      <c r="CZ309" s="523" t="str">
        <f t="shared" si="746"/>
        <v/>
      </c>
      <c r="DA309" s="523" t="str">
        <f t="shared" si="747"/>
        <v/>
      </c>
      <c r="DB309" s="523" t="str">
        <f t="shared" si="748"/>
        <v/>
      </c>
      <c r="DC309" s="522" t="str">
        <f t="shared" si="749"/>
        <v/>
      </c>
      <c r="DD309" s="521" t="str">
        <f t="shared" si="750"/>
        <v/>
      </c>
      <c r="DE309" s="635">
        <f t="shared" si="751"/>
        <v>0</v>
      </c>
      <c r="DF309" s="95">
        <f t="shared" si="752"/>
        <v>0</v>
      </c>
      <c r="DG309" s="95">
        <f t="shared" si="753"/>
        <v>0</v>
      </c>
      <c r="DH309" s="95">
        <f t="shared" si="754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729"/>
        <v/>
      </c>
      <c r="CA310" s="582" t="str">
        <f t="shared" si="730"/>
        <v/>
      </c>
      <c r="CB310" s="582" t="str">
        <f t="shared" si="731"/>
        <v/>
      </c>
      <c r="CC310" s="670" t="str">
        <f t="shared" si="732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771"/>
        <v/>
      </c>
      <c r="CF310" s="989" t="str">
        <f t="shared" si="771"/>
        <v/>
      </c>
      <c r="CG310" s="989" t="str">
        <f t="shared" si="771"/>
        <v/>
      </c>
      <c r="CH310" s="990" t="str">
        <f t="shared" si="771"/>
        <v/>
      </c>
      <c r="CI310" s="990" t="str">
        <f t="shared" si="771"/>
        <v/>
      </c>
      <c r="CJ310" s="989" t="str">
        <f t="shared" si="771"/>
        <v/>
      </c>
      <c r="CK310" s="989" t="str">
        <f t="shared" si="771"/>
        <v/>
      </c>
      <c r="CL310" s="989" t="str">
        <f t="shared" si="771"/>
        <v/>
      </c>
      <c r="CM310" s="988" t="str">
        <f t="shared" si="771"/>
        <v/>
      </c>
      <c r="CN310" s="533" t="str">
        <f t="shared" si="734"/>
        <v/>
      </c>
      <c r="CO310" s="534" t="str">
        <f t="shared" si="735"/>
        <v/>
      </c>
      <c r="CP310" s="535" t="str">
        <f t="shared" si="736"/>
        <v/>
      </c>
      <c r="CQ310" s="535" t="str">
        <f t="shared" si="737"/>
        <v/>
      </c>
      <c r="CR310" s="535" t="str">
        <f t="shared" si="738"/>
        <v/>
      </c>
      <c r="CS310" s="535" t="str">
        <f t="shared" si="739"/>
        <v/>
      </c>
      <c r="CT310" s="535" t="str">
        <f t="shared" si="740"/>
        <v/>
      </c>
      <c r="CU310" s="536" t="str">
        <f t="shared" si="741"/>
        <v/>
      </c>
      <c r="CV310" s="536" t="str">
        <f t="shared" si="742"/>
        <v/>
      </c>
      <c r="CW310" s="536" t="str">
        <f t="shared" si="743"/>
        <v/>
      </c>
      <c r="CX310" s="535" t="str">
        <f t="shared" si="744"/>
        <v/>
      </c>
      <c r="CY310" s="535" t="str">
        <f t="shared" si="745"/>
        <v/>
      </c>
      <c r="CZ310" s="535" t="str">
        <f t="shared" si="746"/>
        <v/>
      </c>
      <c r="DA310" s="535" t="str">
        <f t="shared" si="747"/>
        <v/>
      </c>
      <c r="DB310" s="535" t="str">
        <f t="shared" si="748"/>
        <v/>
      </c>
      <c r="DC310" s="534" t="str">
        <f t="shared" si="749"/>
        <v/>
      </c>
      <c r="DD310" s="533" t="str">
        <f t="shared" si="750"/>
        <v/>
      </c>
      <c r="DE310" s="635">
        <f t="shared" si="751"/>
        <v>0</v>
      </c>
      <c r="DF310" s="95">
        <f t="shared" si="752"/>
        <v>0</v>
      </c>
      <c r="DG310" s="95">
        <f t="shared" si="753"/>
        <v>0</v>
      </c>
      <c r="DH310" s="95">
        <f t="shared" si="754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772">IF(DE312&lt;3,"",(SUM(B312:R312)-MIN(B312:R312)-MAX(B312:R312))/(DE312-2))</f>
        <v/>
      </c>
      <c r="CA312" s="582" t="str">
        <f t="shared" ref="CA312:CA320" si="773">IF(DF312&lt;3,"",(SUM(T312:AJ312)-MIN(T312:AJ312)-MAX(T312:AJ312))/(DF312-2))</f>
        <v/>
      </c>
      <c r="CB312" s="582" t="str">
        <f t="shared" ref="CB312:CB320" si="774">IF(DG312&lt;3,"",(SUM(AL312:BB312)-MIN(AL312:BB312)-MAX(AL312:BB312))/(DG312-2))</f>
        <v/>
      </c>
      <c r="CC312" s="670" t="str">
        <f t="shared" ref="CC312:CC320" si="775">IF(DH312&lt;3,"",(SUM(BD312:BT312)-MIN(BD312:BT312)-MAX(BD312:BT312))/(DH312-2))</f>
        <v/>
      </c>
      <c r="CD312" s="988" t="str">
        <f t="shared" ref="CD312:CM318" si="77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776"/>
        <v/>
      </c>
      <c r="CF312" s="989" t="str">
        <f t="shared" si="776"/>
        <v/>
      </c>
      <c r="CG312" s="989" t="str">
        <f t="shared" si="776"/>
        <v/>
      </c>
      <c r="CH312" s="990" t="str">
        <f t="shared" si="776"/>
        <v/>
      </c>
      <c r="CI312" s="990" t="str">
        <f t="shared" si="776"/>
        <v/>
      </c>
      <c r="CJ312" s="989" t="str">
        <f t="shared" si="776"/>
        <v/>
      </c>
      <c r="CK312" s="989" t="str">
        <f t="shared" si="776"/>
        <v/>
      </c>
      <c r="CL312" s="989" t="str">
        <f t="shared" si="776"/>
        <v/>
      </c>
      <c r="CM312" s="988" t="str">
        <f t="shared" si="776"/>
        <v/>
      </c>
      <c r="CN312" s="533" t="str">
        <f t="shared" ref="CN312:CN320" si="77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77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78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78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78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78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78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78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78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78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78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79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79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79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79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794">COUNT(B312:R312)</f>
        <v>0</v>
      </c>
      <c r="DF312" s="95">
        <f t="shared" ref="DF312:DF320" si="795">COUNT(T312:AJ312)</f>
        <v>0</v>
      </c>
      <c r="DG312" s="95">
        <f t="shared" ref="DG312:DG320" si="796">COUNT(AL312:BB312)</f>
        <v>0</v>
      </c>
      <c r="DH312" s="95">
        <f t="shared" ref="DH312:DH320" si="79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798">IF(B310="","",B310*B312)</f>
        <v/>
      </c>
      <c r="C313" s="612" t="str">
        <f t="shared" si="798"/>
        <v/>
      </c>
      <c r="D313" s="612" t="str">
        <f t="shared" si="798"/>
        <v/>
      </c>
      <c r="E313" s="612" t="str">
        <f t="shared" si="798"/>
        <v/>
      </c>
      <c r="F313" s="612" t="str">
        <f t="shared" si="798"/>
        <v/>
      </c>
      <c r="G313" s="612" t="str">
        <f t="shared" si="798"/>
        <v/>
      </c>
      <c r="H313" s="612" t="str">
        <f t="shared" si="798"/>
        <v/>
      </c>
      <c r="I313" s="612" t="str">
        <f t="shared" si="798"/>
        <v/>
      </c>
      <c r="J313" s="612" t="str">
        <f t="shared" si="798"/>
        <v/>
      </c>
      <c r="K313" s="612" t="str">
        <f t="shared" si="79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799">IF(T310="","",T310*T312)</f>
        <v/>
      </c>
      <c r="U313" s="612" t="str">
        <f t="shared" si="799"/>
        <v/>
      </c>
      <c r="V313" s="612" t="str">
        <f t="shared" si="799"/>
        <v/>
      </c>
      <c r="W313" s="612" t="str">
        <f t="shared" si="799"/>
        <v/>
      </c>
      <c r="X313" s="612" t="str">
        <f t="shared" si="799"/>
        <v/>
      </c>
      <c r="Y313" s="612" t="str">
        <f t="shared" si="799"/>
        <v/>
      </c>
      <c r="Z313" s="612" t="str">
        <f t="shared" si="799"/>
        <v/>
      </c>
      <c r="AA313" s="612" t="str">
        <f t="shared" si="799"/>
        <v/>
      </c>
      <c r="AB313" s="612" t="str">
        <f t="shared" si="799"/>
        <v/>
      </c>
      <c r="AC313" s="612" t="str">
        <f t="shared" si="79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00">IF(AL310="","",AL310*AL312)</f>
        <v/>
      </c>
      <c r="AM313" s="612" t="str">
        <f t="shared" si="800"/>
        <v/>
      </c>
      <c r="AN313" s="612" t="str">
        <f t="shared" si="800"/>
        <v/>
      </c>
      <c r="AO313" s="612" t="str">
        <f t="shared" si="800"/>
        <v/>
      </c>
      <c r="AP313" s="612" t="str">
        <f t="shared" si="800"/>
        <v/>
      </c>
      <c r="AQ313" s="612" t="str">
        <f t="shared" si="800"/>
        <v/>
      </c>
      <c r="AR313" s="612" t="str">
        <f t="shared" si="800"/>
        <v/>
      </c>
      <c r="AS313" s="612" t="str">
        <f t="shared" si="800"/>
        <v/>
      </c>
      <c r="AT313" s="612" t="str">
        <f t="shared" si="800"/>
        <v/>
      </c>
      <c r="AU313" s="612" t="str">
        <f t="shared" si="80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01">IF(BD310="","",BD310*BD312)</f>
        <v/>
      </c>
      <c r="BE313" s="1201" t="str">
        <f t="shared" si="801"/>
        <v/>
      </c>
      <c r="BF313" s="1201" t="str">
        <f t="shared" si="801"/>
        <v/>
      </c>
      <c r="BG313" s="1201" t="str">
        <f t="shared" si="801"/>
        <v/>
      </c>
      <c r="BH313" s="1201" t="str">
        <f t="shared" si="801"/>
        <v/>
      </c>
      <c r="BI313" s="1201" t="str">
        <f t="shared" si="801"/>
        <v/>
      </c>
      <c r="BJ313" s="1201" t="str">
        <f t="shared" si="801"/>
        <v/>
      </c>
      <c r="BK313" s="1201" t="str">
        <f t="shared" si="801"/>
        <v/>
      </c>
      <c r="BL313" s="1201" t="str">
        <f t="shared" si="801"/>
        <v/>
      </c>
      <c r="BM313" s="1201" t="str">
        <f t="shared" si="80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772"/>
        <v/>
      </c>
      <c r="CA313" s="582" t="str">
        <f t="shared" si="773"/>
        <v/>
      </c>
      <c r="CB313" s="582" t="str">
        <f t="shared" si="774"/>
        <v/>
      </c>
      <c r="CC313" s="670" t="str">
        <f t="shared" si="775"/>
        <v/>
      </c>
      <c r="CD313" s="988" t="str">
        <f t="shared" si="776"/>
        <v/>
      </c>
      <c r="CE313" s="989" t="str">
        <f t="shared" si="776"/>
        <v/>
      </c>
      <c r="CF313" s="989" t="str">
        <f t="shared" si="776"/>
        <v/>
      </c>
      <c r="CG313" s="989" t="str">
        <f t="shared" si="776"/>
        <v/>
      </c>
      <c r="CH313" s="990" t="str">
        <f t="shared" si="776"/>
        <v/>
      </c>
      <c r="CI313" s="990" t="str">
        <f t="shared" si="776"/>
        <v/>
      </c>
      <c r="CJ313" s="989" t="str">
        <f t="shared" si="776"/>
        <v/>
      </c>
      <c r="CK313" s="989" t="str">
        <f t="shared" si="776"/>
        <v/>
      </c>
      <c r="CL313" s="989" t="str">
        <f t="shared" si="776"/>
        <v/>
      </c>
      <c r="CM313" s="988" t="str">
        <f t="shared" si="776"/>
        <v/>
      </c>
      <c r="CN313" s="533" t="str">
        <f t="shared" si="777"/>
        <v/>
      </c>
      <c r="CO313" s="534" t="str">
        <f t="shared" si="778"/>
        <v/>
      </c>
      <c r="CP313" s="535" t="str">
        <f t="shared" si="779"/>
        <v/>
      </c>
      <c r="CQ313" s="535" t="str">
        <f t="shared" si="780"/>
        <v/>
      </c>
      <c r="CR313" s="535" t="str">
        <f t="shared" si="781"/>
        <v/>
      </c>
      <c r="CS313" s="535" t="str">
        <f t="shared" si="782"/>
        <v/>
      </c>
      <c r="CT313" s="535" t="str">
        <f t="shared" si="783"/>
        <v/>
      </c>
      <c r="CU313" s="536" t="str">
        <f t="shared" si="784"/>
        <v/>
      </c>
      <c r="CV313" s="536" t="str">
        <f t="shared" si="785"/>
        <v/>
      </c>
      <c r="CW313" s="536" t="str">
        <f t="shared" si="786"/>
        <v/>
      </c>
      <c r="CX313" s="535" t="str">
        <f t="shared" si="787"/>
        <v/>
      </c>
      <c r="CY313" s="535" t="str">
        <f t="shared" si="788"/>
        <v/>
      </c>
      <c r="CZ313" s="535" t="str">
        <f t="shared" si="789"/>
        <v/>
      </c>
      <c r="DA313" s="535" t="str">
        <f t="shared" si="790"/>
        <v/>
      </c>
      <c r="DB313" s="535" t="str">
        <f t="shared" si="791"/>
        <v/>
      </c>
      <c r="DC313" s="534" t="str">
        <f t="shared" si="792"/>
        <v/>
      </c>
      <c r="DD313" s="533" t="str">
        <f t="shared" si="793"/>
        <v/>
      </c>
      <c r="DE313" s="635">
        <f t="shared" si="794"/>
        <v>0</v>
      </c>
      <c r="DF313" s="95">
        <f t="shared" si="795"/>
        <v>0</v>
      </c>
      <c r="DG313" s="95">
        <f t="shared" si="796"/>
        <v>0</v>
      </c>
      <c r="DH313" s="95">
        <f t="shared" si="79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02">230*$K$1</f>
        <v>962.96399999999994</v>
      </c>
      <c r="D314" s="683">
        <f t="shared" si="802"/>
        <v>962.96399999999994</v>
      </c>
      <c r="E314" s="683">
        <f t="shared" si="802"/>
        <v>962.96399999999994</v>
      </c>
      <c r="F314" s="683">
        <f t="shared" si="802"/>
        <v>962.96399999999994</v>
      </c>
      <c r="G314" s="683">
        <f t="shared" si="802"/>
        <v>962.96399999999994</v>
      </c>
      <c r="H314" s="683">
        <f t="shared" si="802"/>
        <v>962.96399999999994</v>
      </c>
      <c r="I314" s="683">
        <f t="shared" si="802"/>
        <v>962.96399999999994</v>
      </c>
      <c r="J314" s="683">
        <f t="shared" si="802"/>
        <v>962.96399999999994</v>
      </c>
      <c r="K314" s="683">
        <f t="shared" si="80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03">230*$K$1</f>
        <v>962.96399999999994</v>
      </c>
      <c r="V314" s="683">
        <f t="shared" si="803"/>
        <v>962.96399999999994</v>
      </c>
      <c r="W314" s="683">
        <f t="shared" si="803"/>
        <v>962.96399999999994</v>
      </c>
      <c r="X314" s="683">
        <f t="shared" si="803"/>
        <v>962.96399999999994</v>
      </c>
      <c r="Y314" s="683">
        <f t="shared" si="803"/>
        <v>962.96399999999994</v>
      </c>
      <c r="Z314" s="683">
        <f t="shared" si="803"/>
        <v>962.96399999999994</v>
      </c>
      <c r="AA314" s="683">
        <f t="shared" si="803"/>
        <v>962.96399999999994</v>
      </c>
      <c r="AB314" s="683">
        <f t="shared" si="803"/>
        <v>962.96399999999994</v>
      </c>
      <c r="AC314" s="683">
        <f t="shared" si="80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04">230*$K$1</f>
        <v>962.96399999999994</v>
      </c>
      <c r="AN314" s="683">
        <f t="shared" si="804"/>
        <v>962.96399999999994</v>
      </c>
      <c r="AO314" s="683">
        <f t="shared" si="804"/>
        <v>962.96399999999994</v>
      </c>
      <c r="AP314" s="683">
        <f t="shared" si="804"/>
        <v>962.96399999999994</v>
      </c>
      <c r="AQ314" s="683">
        <f t="shared" si="804"/>
        <v>962.96399999999994</v>
      </c>
      <c r="AR314" s="683">
        <f t="shared" si="804"/>
        <v>962.96399999999994</v>
      </c>
      <c r="AS314" s="683">
        <f t="shared" si="804"/>
        <v>962.96399999999994</v>
      </c>
      <c r="AT314" s="683">
        <f t="shared" si="804"/>
        <v>962.96399999999994</v>
      </c>
      <c r="AU314" s="683">
        <f t="shared" si="80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05">230*$K$1</f>
        <v>962.96399999999994</v>
      </c>
      <c r="BF314" s="1225">
        <f t="shared" si="805"/>
        <v>962.96399999999994</v>
      </c>
      <c r="BG314" s="1225">
        <f t="shared" si="805"/>
        <v>962.96399999999994</v>
      </c>
      <c r="BH314" s="1225">
        <f t="shared" si="805"/>
        <v>962.96399999999994</v>
      </c>
      <c r="BI314" s="1225">
        <f t="shared" si="805"/>
        <v>962.96399999999994</v>
      </c>
      <c r="BJ314" s="1225">
        <f t="shared" si="805"/>
        <v>962.96399999999994</v>
      </c>
      <c r="BK314" s="1225">
        <f t="shared" si="805"/>
        <v>962.96399999999994</v>
      </c>
      <c r="BL314" s="1225">
        <f t="shared" si="805"/>
        <v>962.96399999999994</v>
      </c>
      <c r="BM314" s="1225">
        <f t="shared" si="80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>230*$K$1</f>
        <v>962.96399999999994</v>
      </c>
      <c r="BW314" s="683">
        <f>230*$K$1</f>
        <v>962.96399999999994</v>
      </c>
      <c r="BX314" s="683">
        <f>230*$K$1</f>
        <v>962.96399999999994</v>
      </c>
      <c r="BY314" s="683">
        <f>230*$K$1</f>
        <v>962.96399999999994</v>
      </c>
      <c r="BZ314" s="582">
        <f t="shared" si="772"/>
        <v>962.96399999999994</v>
      </c>
      <c r="CA314" s="582">
        <f t="shared" si="773"/>
        <v>962.96399999999994</v>
      </c>
      <c r="CB314" s="582">
        <f t="shared" si="774"/>
        <v>962.96399999999994</v>
      </c>
      <c r="CC314" s="670">
        <f t="shared" si="775"/>
        <v>962.96399999999994</v>
      </c>
      <c r="CD314" s="988">
        <f t="shared" si="776"/>
        <v>962.96399999999994</v>
      </c>
      <c r="CE314" s="989">
        <f t="shared" si="776"/>
        <v>962.96399999999994</v>
      </c>
      <c r="CF314" s="989">
        <f t="shared" si="776"/>
        <v>962.96399999999994</v>
      </c>
      <c r="CG314" s="989">
        <f t="shared" si="776"/>
        <v>962.96399999999994</v>
      </c>
      <c r="CH314" s="990">
        <f t="shared" si="776"/>
        <v>962.96399999999994</v>
      </c>
      <c r="CI314" s="990">
        <f t="shared" si="776"/>
        <v>962.96399999999994</v>
      </c>
      <c r="CJ314" s="989">
        <f t="shared" si="776"/>
        <v>962.96399999999994</v>
      </c>
      <c r="CK314" s="989">
        <f t="shared" si="776"/>
        <v>962.96399999999994</v>
      </c>
      <c r="CL314" s="989">
        <f t="shared" si="776"/>
        <v>962.96399999999994</v>
      </c>
      <c r="CM314" s="988">
        <f t="shared" si="776"/>
        <v>962.96399999999994</v>
      </c>
      <c r="CN314" s="533" t="str">
        <f t="shared" si="777"/>
        <v/>
      </c>
      <c r="CO314" s="534" t="str">
        <f t="shared" si="778"/>
        <v/>
      </c>
      <c r="CP314" s="535" t="str">
        <f t="shared" si="779"/>
        <v/>
      </c>
      <c r="CQ314" s="535" t="str">
        <f t="shared" si="780"/>
        <v/>
      </c>
      <c r="CR314" s="535">
        <f t="shared" si="781"/>
        <v>962.96399999999994</v>
      </c>
      <c r="CS314" s="535">
        <f t="shared" si="782"/>
        <v>962.96399999999994</v>
      </c>
      <c r="CT314" s="535">
        <f t="shared" si="783"/>
        <v>962.96399999999994</v>
      </c>
      <c r="CU314" s="536">
        <f t="shared" si="784"/>
        <v>962.96399999999994</v>
      </c>
      <c r="CV314" s="536">
        <f t="shared" si="785"/>
        <v>962.96399999999994</v>
      </c>
      <c r="CW314" s="536">
        <f t="shared" si="786"/>
        <v>962.96399999999994</v>
      </c>
      <c r="CX314" s="535">
        <f t="shared" si="787"/>
        <v>962.96399999999994</v>
      </c>
      <c r="CY314" s="535">
        <f t="shared" si="788"/>
        <v>962.96399999999994</v>
      </c>
      <c r="CZ314" s="535">
        <f t="shared" si="789"/>
        <v>962.96399999999994</v>
      </c>
      <c r="DA314" s="535">
        <f t="shared" si="790"/>
        <v>962.96399999999994</v>
      </c>
      <c r="DB314" s="535" t="str">
        <f t="shared" si="791"/>
        <v/>
      </c>
      <c r="DC314" s="534" t="str">
        <f t="shared" si="792"/>
        <v/>
      </c>
      <c r="DD314" s="533" t="str">
        <f t="shared" si="793"/>
        <v/>
      </c>
      <c r="DE314" s="635">
        <f t="shared" si="794"/>
        <v>10</v>
      </c>
      <c r="DF314" s="95">
        <f t="shared" si="795"/>
        <v>10</v>
      </c>
      <c r="DG314" s="95">
        <f t="shared" si="796"/>
        <v>10</v>
      </c>
      <c r="DH314" s="95">
        <f t="shared" si="79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772"/>
        <v/>
      </c>
      <c r="CA315" s="582" t="str">
        <f t="shared" si="773"/>
        <v/>
      </c>
      <c r="CB315" s="582" t="str">
        <f t="shared" si="774"/>
        <v/>
      </c>
      <c r="CC315" s="670" t="str">
        <f t="shared" si="775"/>
        <v/>
      </c>
      <c r="CD315" s="988" t="str">
        <f t="shared" si="776"/>
        <v/>
      </c>
      <c r="CE315" s="989" t="str">
        <f t="shared" si="776"/>
        <v/>
      </c>
      <c r="CF315" s="989" t="str">
        <f t="shared" si="776"/>
        <v/>
      </c>
      <c r="CG315" s="989" t="str">
        <f t="shared" si="776"/>
        <v/>
      </c>
      <c r="CH315" s="990" t="str">
        <f t="shared" si="776"/>
        <v/>
      </c>
      <c r="CI315" s="990" t="str">
        <f t="shared" si="776"/>
        <v/>
      </c>
      <c r="CJ315" s="989" t="str">
        <f t="shared" si="776"/>
        <v/>
      </c>
      <c r="CK315" s="989" t="str">
        <f t="shared" si="776"/>
        <v/>
      </c>
      <c r="CL315" s="989" t="str">
        <f t="shared" si="776"/>
        <v/>
      </c>
      <c r="CM315" s="988" t="str">
        <f t="shared" si="776"/>
        <v/>
      </c>
      <c r="CN315" s="533" t="str">
        <f t="shared" si="777"/>
        <v/>
      </c>
      <c r="CO315" s="534" t="str">
        <f t="shared" si="778"/>
        <v/>
      </c>
      <c r="CP315" s="535" t="str">
        <f t="shared" si="779"/>
        <v/>
      </c>
      <c r="CQ315" s="535" t="str">
        <f t="shared" si="780"/>
        <v/>
      </c>
      <c r="CR315" s="535" t="str">
        <f t="shared" si="781"/>
        <v/>
      </c>
      <c r="CS315" s="535" t="str">
        <f t="shared" si="782"/>
        <v/>
      </c>
      <c r="CT315" s="535" t="str">
        <f t="shared" si="783"/>
        <v/>
      </c>
      <c r="CU315" s="536" t="str">
        <f t="shared" si="784"/>
        <v/>
      </c>
      <c r="CV315" s="536" t="str">
        <f t="shared" si="785"/>
        <v/>
      </c>
      <c r="CW315" s="536" t="str">
        <f t="shared" si="786"/>
        <v/>
      </c>
      <c r="CX315" s="535" t="str">
        <f t="shared" si="787"/>
        <v/>
      </c>
      <c r="CY315" s="535" t="str">
        <f t="shared" si="788"/>
        <v/>
      </c>
      <c r="CZ315" s="535" t="str">
        <f t="shared" si="789"/>
        <v/>
      </c>
      <c r="DA315" s="535" t="str">
        <f t="shared" si="790"/>
        <v/>
      </c>
      <c r="DB315" s="535" t="str">
        <f t="shared" si="791"/>
        <v/>
      </c>
      <c r="DC315" s="534" t="str">
        <f t="shared" si="792"/>
        <v/>
      </c>
      <c r="DD315" s="533" t="str">
        <f t="shared" si="793"/>
        <v/>
      </c>
      <c r="DE315" s="635">
        <f t="shared" si="794"/>
        <v>0</v>
      </c>
      <c r="DF315" s="95">
        <f t="shared" si="795"/>
        <v>0</v>
      </c>
      <c r="DG315" s="95">
        <f t="shared" si="796"/>
        <v>0</v>
      </c>
      <c r="DH315" s="95">
        <f t="shared" si="79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772"/>
        <v/>
      </c>
      <c r="CA316" s="582" t="str">
        <f t="shared" si="773"/>
        <v/>
      </c>
      <c r="CB316" s="582" t="str">
        <f t="shared" si="774"/>
        <v/>
      </c>
      <c r="CC316" s="670" t="str">
        <f t="shared" si="775"/>
        <v/>
      </c>
      <c r="CD316" s="988" t="str">
        <f t="shared" si="776"/>
        <v/>
      </c>
      <c r="CE316" s="989" t="str">
        <f t="shared" si="776"/>
        <v/>
      </c>
      <c r="CF316" s="989" t="str">
        <f t="shared" si="776"/>
        <v/>
      </c>
      <c r="CG316" s="989" t="str">
        <f t="shared" si="776"/>
        <v/>
      </c>
      <c r="CH316" s="990" t="str">
        <f t="shared" si="776"/>
        <v/>
      </c>
      <c r="CI316" s="990" t="str">
        <f t="shared" si="776"/>
        <v/>
      </c>
      <c r="CJ316" s="989" t="str">
        <f t="shared" si="776"/>
        <v/>
      </c>
      <c r="CK316" s="989" t="str">
        <f t="shared" si="776"/>
        <v/>
      </c>
      <c r="CL316" s="989" t="str">
        <f t="shared" si="776"/>
        <v/>
      </c>
      <c r="CM316" s="988" t="str">
        <f t="shared" si="776"/>
        <v/>
      </c>
      <c r="CN316" s="533" t="str">
        <f t="shared" si="777"/>
        <v/>
      </c>
      <c r="CO316" s="534" t="str">
        <f t="shared" si="778"/>
        <v/>
      </c>
      <c r="CP316" s="535" t="str">
        <f t="shared" si="779"/>
        <v/>
      </c>
      <c r="CQ316" s="535" t="str">
        <f t="shared" si="780"/>
        <v/>
      </c>
      <c r="CR316" s="535" t="str">
        <f t="shared" si="781"/>
        <v/>
      </c>
      <c r="CS316" s="535" t="str">
        <f t="shared" si="782"/>
        <v/>
      </c>
      <c r="CT316" s="535" t="str">
        <f t="shared" si="783"/>
        <v/>
      </c>
      <c r="CU316" s="536" t="str">
        <f t="shared" si="784"/>
        <v/>
      </c>
      <c r="CV316" s="536" t="str">
        <f t="shared" si="785"/>
        <v/>
      </c>
      <c r="CW316" s="536" t="str">
        <f t="shared" si="786"/>
        <v/>
      </c>
      <c r="CX316" s="535" t="str">
        <f t="shared" si="787"/>
        <v/>
      </c>
      <c r="CY316" s="535" t="str">
        <f t="shared" si="788"/>
        <v/>
      </c>
      <c r="CZ316" s="535" t="str">
        <f t="shared" si="789"/>
        <v/>
      </c>
      <c r="DA316" s="535" t="str">
        <f t="shared" si="790"/>
        <v/>
      </c>
      <c r="DB316" s="535" t="str">
        <f t="shared" si="791"/>
        <v/>
      </c>
      <c r="DC316" s="534" t="str">
        <f t="shared" si="792"/>
        <v/>
      </c>
      <c r="DD316" s="533" t="str">
        <f t="shared" si="793"/>
        <v/>
      </c>
      <c r="DE316" s="635">
        <f t="shared" si="794"/>
        <v>0</v>
      </c>
      <c r="DF316" s="95">
        <f t="shared" si="795"/>
        <v>0</v>
      </c>
      <c r="DG316" s="95">
        <f t="shared" si="796"/>
        <v>0</v>
      </c>
      <c r="DH316" s="95">
        <f t="shared" si="79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06">IF(B315="","",B315*B316)</f>
        <v/>
      </c>
      <c r="C317" s="612" t="str">
        <f t="shared" si="806"/>
        <v/>
      </c>
      <c r="D317" s="612" t="str">
        <f t="shared" si="806"/>
        <v/>
      </c>
      <c r="E317" s="612" t="str">
        <f t="shared" si="806"/>
        <v/>
      </c>
      <c r="F317" s="612" t="str">
        <f t="shared" si="806"/>
        <v/>
      </c>
      <c r="G317" s="612" t="str">
        <f t="shared" si="806"/>
        <v/>
      </c>
      <c r="H317" s="612" t="str">
        <f t="shared" si="806"/>
        <v/>
      </c>
      <c r="I317" s="612" t="str">
        <f t="shared" si="806"/>
        <v/>
      </c>
      <c r="J317" s="612" t="str">
        <f t="shared" si="806"/>
        <v/>
      </c>
      <c r="K317" s="612" t="str">
        <f t="shared" si="806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07">IF(T315="","",T315*T316)</f>
        <v/>
      </c>
      <c r="U317" s="612" t="str">
        <f t="shared" si="807"/>
        <v/>
      </c>
      <c r="V317" s="612" t="str">
        <f t="shared" si="807"/>
        <v/>
      </c>
      <c r="W317" s="612" t="str">
        <f t="shared" si="807"/>
        <v/>
      </c>
      <c r="X317" s="612" t="str">
        <f t="shared" si="807"/>
        <v/>
      </c>
      <c r="Y317" s="612" t="str">
        <f t="shared" si="807"/>
        <v/>
      </c>
      <c r="Z317" s="612" t="str">
        <f t="shared" si="807"/>
        <v/>
      </c>
      <c r="AA317" s="612" t="str">
        <f t="shared" si="807"/>
        <v/>
      </c>
      <c r="AB317" s="612" t="str">
        <f t="shared" si="807"/>
        <v/>
      </c>
      <c r="AC317" s="612" t="str">
        <f t="shared" si="807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08">IF(AL315="","",AL315*AL316)</f>
        <v/>
      </c>
      <c r="AM317" s="612" t="str">
        <f t="shared" si="808"/>
        <v/>
      </c>
      <c r="AN317" s="612" t="str">
        <f t="shared" si="808"/>
        <v/>
      </c>
      <c r="AO317" s="612" t="str">
        <f t="shared" si="808"/>
        <v/>
      </c>
      <c r="AP317" s="612" t="str">
        <f t="shared" si="808"/>
        <v/>
      </c>
      <c r="AQ317" s="612" t="str">
        <f t="shared" si="808"/>
        <v/>
      </c>
      <c r="AR317" s="612" t="str">
        <f t="shared" si="808"/>
        <v/>
      </c>
      <c r="AS317" s="612" t="str">
        <f t="shared" si="808"/>
        <v/>
      </c>
      <c r="AT317" s="612" t="str">
        <f t="shared" si="808"/>
        <v/>
      </c>
      <c r="AU317" s="612" t="str">
        <f t="shared" si="808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09">IF(BD315="","",BD315*BD316)</f>
        <v/>
      </c>
      <c r="BE317" s="1201" t="str">
        <f t="shared" si="809"/>
        <v/>
      </c>
      <c r="BF317" s="1201" t="str">
        <f t="shared" si="809"/>
        <v/>
      </c>
      <c r="BG317" s="1201" t="str">
        <f t="shared" si="809"/>
        <v/>
      </c>
      <c r="BH317" s="1201" t="str">
        <f t="shared" si="809"/>
        <v/>
      </c>
      <c r="BI317" s="1201" t="str">
        <f t="shared" si="809"/>
        <v/>
      </c>
      <c r="BJ317" s="1201" t="str">
        <f t="shared" si="809"/>
        <v/>
      </c>
      <c r="BK317" s="1201" t="str">
        <f t="shared" si="809"/>
        <v/>
      </c>
      <c r="BL317" s="1201" t="str">
        <f t="shared" si="809"/>
        <v/>
      </c>
      <c r="BM317" s="1201" t="str">
        <f t="shared" si="809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772"/>
        <v/>
      </c>
      <c r="CA317" s="582" t="str">
        <f t="shared" si="773"/>
        <v/>
      </c>
      <c r="CB317" s="582" t="str">
        <f t="shared" si="774"/>
        <v/>
      </c>
      <c r="CC317" s="670" t="str">
        <f t="shared" si="775"/>
        <v/>
      </c>
      <c r="CD317" s="988" t="str">
        <f t="shared" si="776"/>
        <v/>
      </c>
      <c r="CE317" s="989" t="str">
        <f t="shared" si="776"/>
        <v/>
      </c>
      <c r="CF317" s="989" t="str">
        <f t="shared" si="776"/>
        <v/>
      </c>
      <c r="CG317" s="989" t="str">
        <f t="shared" si="776"/>
        <v/>
      </c>
      <c r="CH317" s="990" t="str">
        <f t="shared" si="776"/>
        <v/>
      </c>
      <c r="CI317" s="990" t="str">
        <f t="shared" si="776"/>
        <v/>
      </c>
      <c r="CJ317" s="989" t="str">
        <f t="shared" si="776"/>
        <v/>
      </c>
      <c r="CK317" s="989" t="str">
        <f t="shared" si="776"/>
        <v/>
      </c>
      <c r="CL317" s="989" t="str">
        <f t="shared" si="776"/>
        <v/>
      </c>
      <c r="CM317" s="988" t="str">
        <f t="shared" si="776"/>
        <v/>
      </c>
      <c r="CN317" s="533" t="str">
        <f t="shared" si="777"/>
        <v/>
      </c>
      <c r="CO317" s="534" t="str">
        <f t="shared" si="778"/>
        <v/>
      </c>
      <c r="CP317" s="535" t="str">
        <f t="shared" si="779"/>
        <v/>
      </c>
      <c r="CQ317" s="535" t="str">
        <f t="shared" si="780"/>
        <v/>
      </c>
      <c r="CR317" s="535" t="str">
        <f t="shared" si="781"/>
        <v/>
      </c>
      <c r="CS317" s="535" t="str">
        <f t="shared" si="782"/>
        <v/>
      </c>
      <c r="CT317" s="535" t="str">
        <f t="shared" si="783"/>
        <v/>
      </c>
      <c r="CU317" s="536" t="str">
        <f t="shared" si="784"/>
        <v/>
      </c>
      <c r="CV317" s="536" t="str">
        <f t="shared" si="785"/>
        <v/>
      </c>
      <c r="CW317" s="536" t="str">
        <f t="shared" si="786"/>
        <v/>
      </c>
      <c r="CX317" s="535" t="str">
        <f t="shared" si="787"/>
        <v/>
      </c>
      <c r="CY317" s="535" t="str">
        <f t="shared" si="788"/>
        <v/>
      </c>
      <c r="CZ317" s="535" t="str">
        <f t="shared" si="789"/>
        <v/>
      </c>
      <c r="DA317" s="535" t="str">
        <f t="shared" si="790"/>
        <v/>
      </c>
      <c r="DB317" s="535" t="str">
        <f t="shared" si="791"/>
        <v/>
      </c>
      <c r="DC317" s="534" t="str">
        <f t="shared" si="792"/>
        <v/>
      </c>
      <c r="DD317" s="533" t="str">
        <f t="shared" si="793"/>
        <v/>
      </c>
      <c r="DE317" s="635">
        <f t="shared" si="794"/>
        <v>0</v>
      </c>
      <c r="DF317" s="95">
        <f t="shared" si="795"/>
        <v>0</v>
      </c>
      <c r="DG317" s="95">
        <f t="shared" si="796"/>
        <v>0</v>
      </c>
      <c r="DH317" s="95">
        <f t="shared" si="79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772"/>
        <v/>
      </c>
      <c r="CA318" s="582" t="str">
        <f t="shared" si="773"/>
        <v/>
      </c>
      <c r="CB318" s="582" t="str">
        <f t="shared" si="774"/>
        <v/>
      </c>
      <c r="CC318" s="670" t="str">
        <f t="shared" si="775"/>
        <v/>
      </c>
      <c r="CD318" s="988" t="str">
        <f t="shared" si="776"/>
        <v/>
      </c>
      <c r="CE318" s="989" t="str">
        <f t="shared" si="776"/>
        <v/>
      </c>
      <c r="CF318" s="989" t="str">
        <f t="shared" si="776"/>
        <v/>
      </c>
      <c r="CG318" s="989" t="str">
        <f t="shared" si="776"/>
        <v/>
      </c>
      <c r="CH318" s="990" t="str">
        <f t="shared" si="776"/>
        <v/>
      </c>
      <c r="CI318" s="990" t="str">
        <f t="shared" si="776"/>
        <v/>
      </c>
      <c r="CJ318" s="989" t="str">
        <f t="shared" si="776"/>
        <v/>
      </c>
      <c r="CK318" s="989" t="str">
        <f t="shared" si="776"/>
        <v/>
      </c>
      <c r="CL318" s="989" t="str">
        <f t="shared" si="776"/>
        <v/>
      </c>
      <c r="CM318" s="988" t="str">
        <f t="shared" si="776"/>
        <v/>
      </c>
      <c r="CN318" s="533" t="str">
        <f t="shared" si="777"/>
        <v/>
      </c>
      <c r="CO318" s="534" t="str">
        <f t="shared" si="778"/>
        <v/>
      </c>
      <c r="CP318" s="535" t="str">
        <f t="shared" si="779"/>
        <v/>
      </c>
      <c r="CQ318" s="535" t="str">
        <f t="shared" si="780"/>
        <v/>
      </c>
      <c r="CR318" s="535" t="str">
        <f t="shared" si="781"/>
        <v/>
      </c>
      <c r="CS318" s="535" t="str">
        <f t="shared" si="782"/>
        <v/>
      </c>
      <c r="CT318" s="535" t="str">
        <f t="shared" si="783"/>
        <v/>
      </c>
      <c r="CU318" s="536" t="str">
        <f t="shared" si="784"/>
        <v/>
      </c>
      <c r="CV318" s="536" t="str">
        <f t="shared" si="785"/>
        <v/>
      </c>
      <c r="CW318" s="536" t="str">
        <f t="shared" si="786"/>
        <v/>
      </c>
      <c r="CX318" s="535" t="str">
        <f t="shared" si="787"/>
        <v/>
      </c>
      <c r="CY318" s="535" t="str">
        <f t="shared" si="788"/>
        <v/>
      </c>
      <c r="CZ318" s="535" t="str">
        <f t="shared" si="789"/>
        <v/>
      </c>
      <c r="DA318" s="535" t="str">
        <f t="shared" si="790"/>
        <v/>
      </c>
      <c r="DB318" s="535" t="str">
        <f t="shared" si="791"/>
        <v/>
      </c>
      <c r="DC318" s="534" t="str">
        <f t="shared" si="792"/>
        <v/>
      </c>
      <c r="DD318" s="533" t="str">
        <f t="shared" si="793"/>
        <v/>
      </c>
      <c r="DE318" s="635">
        <f t="shared" si="794"/>
        <v>0</v>
      </c>
      <c r="DF318" s="95">
        <f t="shared" si="795"/>
        <v>0</v>
      </c>
      <c r="DG318" s="95">
        <f t="shared" si="796"/>
        <v>0</v>
      </c>
      <c r="DH318" s="95">
        <f t="shared" si="79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10">IF(B313="","",(B313-B315-B318)*B314/B$46/365/$G$1)</f>
        <v/>
      </c>
      <c r="C319" s="615" t="str">
        <f t="shared" si="810"/>
        <v/>
      </c>
      <c r="D319" s="615" t="str">
        <f t="shared" si="810"/>
        <v/>
      </c>
      <c r="E319" s="615" t="str">
        <f t="shared" si="810"/>
        <v/>
      </c>
      <c r="F319" s="615" t="str">
        <f t="shared" si="810"/>
        <v/>
      </c>
      <c r="G319" s="615" t="str">
        <f t="shared" si="810"/>
        <v/>
      </c>
      <c r="H319" s="615" t="str">
        <f t="shared" si="810"/>
        <v/>
      </c>
      <c r="I319" s="615" t="str">
        <f t="shared" si="810"/>
        <v/>
      </c>
      <c r="J319" s="615" t="str">
        <f t="shared" si="810"/>
        <v/>
      </c>
      <c r="K319" s="615" t="str">
        <f t="shared" si="810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11">IF(T313="","",(T313-T315-T318)*T314/T$46/365/$G$1)</f>
        <v/>
      </c>
      <c r="U319" s="615" t="str">
        <f t="shared" si="811"/>
        <v/>
      </c>
      <c r="V319" s="615" t="str">
        <f t="shared" si="811"/>
        <v/>
      </c>
      <c r="W319" s="615" t="str">
        <f t="shared" si="811"/>
        <v/>
      </c>
      <c r="X319" s="615" t="str">
        <f t="shared" si="811"/>
        <v/>
      </c>
      <c r="Y319" s="615" t="str">
        <f t="shared" si="811"/>
        <v/>
      </c>
      <c r="Z319" s="615" t="str">
        <f t="shared" si="811"/>
        <v/>
      </c>
      <c r="AA319" s="615" t="str">
        <f t="shared" si="811"/>
        <v/>
      </c>
      <c r="AB319" s="615" t="str">
        <f t="shared" si="811"/>
        <v/>
      </c>
      <c r="AC319" s="615" t="str">
        <f t="shared" si="811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12">IF(AL313="","",(AL313-AL315-AL318)*AL314/AL$46/365/$G$1)</f>
        <v/>
      </c>
      <c r="AM319" s="615" t="str">
        <f t="shared" si="812"/>
        <v/>
      </c>
      <c r="AN319" s="615" t="str">
        <f t="shared" si="812"/>
        <v/>
      </c>
      <c r="AO319" s="615" t="str">
        <f t="shared" si="812"/>
        <v/>
      </c>
      <c r="AP319" s="615" t="str">
        <f t="shared" si="812"/>
        <v/>
      </c>
      <c r="AQ319" s="615" t="str">
        <f t="shared" si="812"/>
        <v/>
      </c>
      <c r="AR319" s="615" t="str">
        <f t="shared" si="812"/>
        <v/>
      </c>
      <c r="AS319" s="615" t="str">
        <f t="shared" si="812"/>
        <v/>
      </c>
      <c r="AT319" s="615" t="str">
        <f t="shared" si="812"/>
        <v/>
      </c>
      <c r="AU319" s="615" t="str">
        <f t="shared" si="812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13">IF(BD313="","",(BD313-BD315-BD318)*BD314/BD$46/365/$G$1)</f>
        <v/>
      </c>
      <c r="BE319" s="1202" t="str">
        <f t="shared" si="813"/>
        <v/>
      </c>
      <c r="BF319" s="1202" t="str">
        <f t="shared" si="813"/>
        <v/>
      </c>
      <c r="BG319" s="1202" t="str">
        <f t="shared" si="813"/>
        <v/>
      </c>
      <c r="BH319" s="1202" t="str">
        <f t="shared" si="813"/>
        <v/>
      </c>
      <c r="BI319" s="1202" t="str">
        <f t="shared" si="813"/>
        <v/>
      </c>
      <c r="BJ319" s="1202" t="str">
        <f t="shared" si="813"/>
        <v/>
      </c>
      <c r="BK319" s="1202" t="str">
        <f t="shared" si="813"/>
        <v/>
      </c>
      <c r="BL319" s="1202" t="str">
        <f t="shared" si="813"/>
        <v/>
      </c>
      <c r="BM319" s="1202" t="str">
        <f t="shared" si="813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772"/>
        <v/>
      </c>
      <c r="CA319" s="607" t="str">
        <f t="shared" si="773"/>
        <v/>
      </c>
      <c r="CB319" s="607" t="str">
        <f t="shared" si="774"/>
        <v/>
      </c>
      <c r="CC319" s="673" t="str">
        <f t="shared" si="77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1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14"/>
        <v/>
      </c>
      <c r="CG319" s="992" t="str">
        <f t="shared" si="814"/>
        <v/>
      </c>
      <c r="CH319" s="993" t="str">
        <f t="shared" si="814"/>
        <v/>
      </c>
      <c r="CI319" s="993" t="str">
        <f t="shared" si="814"/>
        <v/>
      </c>
      <c r="CJ319" s="992" t="str">
        <f t="shared" si="814"/>
        <v/>
      </c>
      <c r="CK319" s="992" t="str">
        <f t="shared" si="814"/>
        <v/>
      </c>
      <c r="CL319" s="992" t="str">
        <f t="shared" si="814"/>
        <v/>
      </c>
      <c r="CM319" s="991" t="str">
        <f t="shared" si="814"/>
        <v/>
      </c>
      <c r="CN319" s="521" t="str">
        <f t="shared" si="777"/>
        <v/>
      </c>
      <c r="CO319" s="522" t="str">
        <f t="shared" si="778"/>
        <v/>
      </c>
      <c r="CP319" s="523" t="str">
        <f t="shared" si="779"/>
        <v/>
      </c>
      <c r="CQ319" s="523" t="str">
        <f t="shared" si="780"/>
        <v/>
      </c>
      <c r="CR319" s="523" t="str">
        <f t="shared" si="781"/>
        <v/>
      </c>
      <c r="CS319" s="523" t="str">
        <f t="shared" si="782"/>
        <v/>
      </c>
      <c r="CT319" s="523" t="str">
        <f t="shared" si="783"/>
        <v/>
      </c>
      <c r="CU319" s="524" t="str">
        <f t="shared" si="784"/>
        <v/>
      </c>
      <c r="CV319" s="524" t="str">
        <f t="shared" si="785"/>
        <v/>
      </c>
      <c r="CW319" s="524" t="str">
        <f t="shared" si="786"/>
        <v/>
      </c>
      <c r="CX319" s="523" t="str">
        <f t="shared" si="787"/>
        <v/>
      </c>
      <c r="CY319" s="523" t="str">
        <f t="shared" si="788"/>
        <v/>
      </c>
      <c r="CZ319" s="523" t="str">
        <f t="shared" si="789"/>
        <v/>
      </c>
      <c r="DA319" s="523" t="str">
        <f t="shared" si="790"/>
        <v/>
      </c>
      <c r="DB319" s="523" t="str">
        <f t="shared" si="791"/>
        <v/>
      </c>
      <c r="DC319" s="522" t="str">
        <f t="shared" si="792"/>
        <v/>
      </c>
      <c r="DD319" s="521" t="str">
        <f t="shared" si="793"/>
        <v/>
      </c>
      <c r="DE319" s="635">
        <f t="shared" si="794"/>
        <v>0</v>
      </c>
      <c r="DF319" s="95">
        <f t="shared" si="795"/>
        <v>0</v>
      </c>
      <c r="DG319" s="95">
        <f t="shared" si="796"/>
        <v>0</v>
      </c>
      <c r="DH319" s="95">
        <f t="shared" si="79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772"/>
        <v/>
      </c>
      <c r="CA320" s="582" t="str">
        <f t="shared" si="773"/>
        <v/>
      </c>
      <c r="CB320" s="582" t="str">
        <f t="shared" si="774"/>
        <v/>
      </c>
      <c r="CC320" s="670" t="str">
        <f t="shared" si="77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14"/>
        <v/>
      </c>
      <c r="CF320" s="989" t="str">
        <f t="shared" si="814"/>
        <v/>
      </c>
      <c r="CG320" s="989" t="str">
        <f t="shared" si="814"/>
        <v/>
      </c>
      <c r="CH320" s="990" t="str">
        <f t="shared" si="814"/>
        <v/>
      </c>
      <c r="CI320" s="990" t="str">
        <f t="shared" si="814"/>
        <v/>
      </c>
      <c r="CJ320" s="989" t="str">
        <f t="shared" si="814"/>
        <v/>
      </c>
      <c r="CK320" s="989" t="str">
        <f t="shared" si="814"/>
        <v/>
      </c>
      <c r="CL320" s="989" t="str">
        <f t="shared" si="814"/>
        <v/>
      </c>
      <c r="CM320" s="988" t="str">
        <f t="shared" si="814"/>
        <v/>
      </c>
      <c r="CN320" s="533" t="str">
        <f t="shared" si="777"/>
        <v/>
      </c>
      <c r="CO320" s="534" t="str">
        <f t="shared" si="778"/>
        <v/>
      </c>
      <c r="CP320" s="535" t="str">
        <f t="shared" si="779"/>
        <v/>
      </c>
      <c r="CQ320" s="535" t="str">
        <f t="shared" si="780"/>
        <v/>
      </c>
      <c r="CR320" s="535" t="str">
        <f t="shared" si="781"/>
        <v/>
      </c>
      <c r="CS320" s="535" t="str">
        <f t="shared" si="782"/>
        <v/>
      </c>
      <c r="CT320" s="535" t="str">
        <f t="shared" si="783"/>
        <v/>
      </c>
      <c r="CU320" s="536" t="str">
        <f t="shared" si="784"/>
        <v/>
      </c>
      <c r="CV320" s="536" t="str">
        <f t="shared" si="785"/>
        <v/>
      </c>
      <c r="CW320" s="536" t="str">
        <f t="shared" si="786"/>
        <v/>
      </c>
      <c r="CX320" s="535" t="str">
        <f t="shared" si="787"/>
        <v/>
      </c>
      <c r="CY320" s="535" t="str">
        <f t="shared" si="788"/>
        <v/>
      </c>
      <c r="CZ320" s="535" t="str">
        <f t="shared" si="789"/>
        <v/>
      </c>
      <c r="DA320" s="535" t="str">
        <f t="shared" si="790"/>
        <v/>
      </c>
      <c r="DB320" s="535" t="str">
        <f t="shared" si="791"/>
        <v/>
      </c>
      <c r="DC320" s="534" t="str">
        <f t="shared" si="792"/>
        <v/>
      </c>
      <c r="DD320" s="533" t="str">
        <f t="shared" si="793"/>
        <v/>
      </c>
      <c r="DE320" s="635">
        <f t="shared" si="794"/>
        <v>0</v>
      </c>
      <c r="DF320" s="95">
        <f t="shared" si="795"/>
        <v>0</v>
      </c>
      <c r="DG320" s="95">
        <f t="shared" si="796"/>
        <v>0</v>
      </c>
      <c r="DH320" s="95">
        <f t="shared" si="79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15">IF(DE322&lt;3,"",(SUM(B322:R322)-MIN(B322:R322)-MAX(B322:R322))/(DE322-2))</f>
        <v/>
      </c>
      <c r="CA322" s="582" t="str">
        <f t="shared" ref="CA322:CA330" si="816">IF(DF322&lt;3,"",(SUM(T322:AJ322)-MIN(T322:AJ322)-MAX(T322:AJ322))/(DF322-2))</f>
        <v/>
      </c>
      <c r="CB322" s="582" t="str">
        <f t="shared" ref="CB322:CB330" si="817">IF(DG322&lt;3,"",(SUM(AL322:BB322)-MIN(AL322:BB322)-MAX(AL322:BB322))/(DG322-2))</f>
        <v/>
      </c>
      <c r="CC322" s="670" t="str">
        <f t="shared" ref="CC322:CC330" si="818">IF(DH322&lt;3,"",(SUM(BD322:BT322)-MIN(BD322:BT322)-MAX(BD322:BT322))/(DH322-2))</f>
        <v/>
      </c>
      <c r="CD322" s="988" t="str">
        <f t="shared" ref="CD322:CM328" si="81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19"/>
        <v/>
      </c>
      <c r="CF322" s="989" t="str">
        <f t="shared" si="819"/>
        <v/>
      </c>
      <c r="CG322" s="989" t="str">
        <f t="shared" si="819"/>
        <v/>
      </c>
      <c r="CH322" s="990" t="str">
        <f t="shared" si="819"/>
        <v/>
      </c>
      <c r="CI322" s="990" t="str">
        <f t="shared" si="819"/>
        <v/>
      </c>
      <c r="CJ322" s="989" t="str">
        <f t="shared" si="819"/>
        <v/>
      </c>
      <c r="CK322" s="989" t="str">
        <f t="shared" si="819"/>
        <v/>
      </c>
      <c r="CL322" s="989" t="str">
        <f t="shared" si="819"/>
        <v/>
      </c>
      <c r="CM322" s="988" t="str">
        <f t="shared" si="819"/>
        <v/>
      </c>
      <c r="CN322" s="533" t="str">
        <f t="shared" ref="CN322:CN330" si="820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82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2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82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82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82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82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82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82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83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83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83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83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83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3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3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837">COUNT(B322:R322)</f>
        <v>0</v>
      </c>
      <c r="DF322" s="95">
        <f t="shared" ref="DF322:DF330" si="838">COUNT(T322:AJ322)</f>
        <v>0</v>
      </c>
      <c r="DG322" s="95">
        <f t="shared" ref="DG322:DG330" si="839">COUNT(AL322:BB322)</f>
        <v>0</v>
      </c>
      <c r="DH322" s="95">
        <f t="shared" ref="DH322:DH330" si="840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841">IF(B320="","",B320*B322)</f>
        <v/>
      </c>
      <c r="C323" s="612" t="str">
        <f t="shared" si="841"/>
        <v/>
      </c>
      <c r="D323" s="612" t="str">
        <f t="shared" si="841"/>
        <v/>
      </c>
      <c r="E323" s="612" t="str">
        <f t="shared" si="841"/>
        <v/>
      </c>
      <c r="F323" s="612" t="str">
        <f t="shared" si="841"/>
        <v/>
      </c>
      <c r="G323" s="612" t="str">
        <f t="shared" si="841"/>
        <v/>
      </c>
      <c r="H323" s="612" t="str">
        <f t="shared" si="841"/>
        <v/>
      </c>
      <c r="I323" s="612" t="str">
        <f t="shared" si="841"/>
        <v/>
      </c>
      <c r="J323" s="612" t="str">
        <f t="shared" si="841"/>
        <v/>
      </c>
      <c r="K323" s="612" t="str">
        <f t="shared" si="841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842">IF(T320="","",T320*T322)</f>
        <v/>
      </c>
      <c r="U323" s="612" t="str">
        <f t="shared" si="842"/>
        <v/>
      </c>
      <c r="V323" s="612" t="str">
        <f t="shared" si="842"/>
        <v/>
      </c>
      <c r="W323" s="612" t="str">
        <f t="shared" si="842"/>
        <v/>
      </c>
      <c r="X323" s="612" t="str">
        <f t="shared" si="842"/>
        <v/>
      </c>
      <c r="Y323" s="612" t="str">
        <f t="shared" si="842"/>
        <v/>
      </c>
      <c r="Z323" s="612" t="str">
        <f t="shared" si="842"/>
        <v/>
      </c>
      <c r="AA323" s="612" t="str">
        <f t="shared" si="842"/>
        <v/>
      </c>
      <c r="AB323" s="612" t="str">
        <f t="shared" si="842"/>
        <v/>
      </c>
      <c r="AC323" s="612" t="str">
        <f t="shared" si="842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843">IF(AL320="","",AL320*AL322)</f>
        <v/>
      </c>
      <c r="AM323" s="612" t="str">
        <f t="shared" si="843"/>
        <v/>
      </c>
      <c r="AN323" s="612" t="str">
        <f t="shared" si="843"/>
        <v/>
      </c>
      <c r="AO323" s="612" t="str">
        <f t="shared" si="843"/>
        <v/>
      </c>
      <c r="AP323" s="612" t="str">
        <f t="shared" si="843"/>
        <v/>
      </c>
      <c r="AQ323" s="612" t="str">
        <f t="shared" si="843"/>
        <v/>
      </c>
      <c r="AR323" s="612" t="str">
        <f t="shared" si="843"/>
        <v/>
      </c>
      <c r="AS323" s="612" t="str">
        <f t="shared" si="843"/>
        <v/>
      </c>
      <c r="AT323" s="612" t="str">
        <f t="shared" si="843"/>
        <v/>
      </c>
      <c r="AU323" s="612" t="str">
        <f t="shared" si="843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844">IF(BD320="","",BD320*BD322)</f>
        <v/>
      </c>
      <c r="BE323" s="1201" t="str">
        <f t="shared" si="844"/>
        <v/>
      </c>
      <c r="BF323" s="1201" t="str">
        <f t="shared" si="844"/>
        <v/>
      </c>
      <c r="BG323" s="1201" t="str">
        <f t="shared" si="844"/>
        <v/>
      </c>
      <c r="BH323" s="1201" t="str">
        <f t="shared" si="844"/>
        <v/>
      </c>
      <c r="BI323" s="1201" t="str">
        <f t="shared" si="844"/>
        <v/>
      </c>
      <c r="BJ323" s="1201" t="str">
        <f t="shared" si="844"/>
        <v/>
      </c>
      <c r="BK323" s="1201" t="str">
        <f t="shared" si="844"/>
        <v/>
      </c>
      <c r="BL323" s="1201" t="str">
        <f t="shared" si="844"/>
        <v/>
      </c>
      <c r="BM323" s="1201" t="str">
        <f t="shared" si="844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15"/>
        <v/>
      </c>
      <c r="CA323" s="582" t="str">
        <f t="shared" si="816"/>
        <v/>
      </c>
      <c r="CB323" s="582" t="str">
        <f t="shared" si="817"/>
        <v/>
      </c>
      <c r="CC323" s="670" t="str">
        <f t="shared" si="818"/>
        <v/>
      </c>
      <c r="CD323" s="988" t="str">
        <f t="shared" si="819"/>
        <v/>
      </c>
      <c r="CE323" s="989" t="str">
        <f t="shared" si="819"/>
        <v/>
      </c>
      <c r="CF323" s="989" t="str">
        <f t="shared" si="819"/>
        <v/>
      </c>
      <c r="CG323" s="989" t="str">
        <f t="shared" si="819"/>
        <v/>
      </c>
      <c r="CH323" s="990" t="str">
        <f t="shared" si="819"/>
        <v/>
      </c>
      <c r="CI323" s="990" t="str">
        <f t="shared" si="819"/>
        <v/>
      </c>
      <c r="CJ323" s="989" t="str">
        <f t="shared" si="819"/>
        <v/>
      </c>
      <c r="CK323" s="989" t="str">
        <f t="shared" si="819"/>
        <v/>
      </c>
      <c r="CL323" s="989" t="str">
        <f t="shared" si="819"/>
        <v/>
      </c>
      <c r="CM323" s="988" t="str">
        <f t="shared" si="819"/>
        <v/>
      </c>
      <c r="CN323" s="533" t="str">
        <f t="shared" si="820"/>
        <v/>
      </c>
      <c r="CO323" s="534" t="str">
        <f t="shared" si="821"/>
        <v/>
      </c>
      <c r="CP323" s="535" t="str">
        <f t="shared" si="822"/>
        <v/>
      </c>
      <c r="CQ323" s="535" t="str">
        <f t="shared" si="823"/>
        <v/>
      </c>
      <c r="CR323" s="535" t="str">
        <f t="shared" si="824"/>
        <v/>
      </c>
      <c r="CS323" s="535" t="str">
        <f t="shared" si="825"/>
        <v/>
      </c>
      <c r="CT323" s="535" t="str">
        <f t="shared" si="826"/>
        <v/>
      </c>
      <c r="CU323" s="536" t="str">
        <f t="shared" si="827"/>
        <v/>
      </c>
      <c r="CV323" s="536" t="str">
        <f t="shared" si="828"/>
        <v/>
      </c>
      <c r="CW323" s="536" t="str">
        <f t="shared" si="829"/>
        <v/>
      </c>
      <c r="CX323" s="535" t="str">
        <f t="shared" si="830"/>
        <v/>
      </c>
      <c r="CY323" s="535" t="str">
        <f t="shared" si="831"/>
        <v/>
      </c>
      <c r="CZ323" s="535" t="str">
        <f t="shared" si="832"/>
        <v/>
      </c>
      <c r="DA323" s="535" t="str">
        <f t="shared" si="833"/>
        <v/>
      </c>
      <c r="DB323" s="535" t="str">
        <f t="shared" si="834"/>
        <v/>
      </c>
      <c r="DC323" s="534" t="str">
        <f t="shared" si="835"/>
        <v/>
      </c>
      <c r="DD323" s="533" t="str">
        <f t="shared" si="836"/>
        <v/>
      </c>
      <c r="DE323" s="635">
        <f t="shared" si="837"/>
        <v>0</v>
      </c>
      <c r="DF323" s="95">
        <f t="shared" si="838"/>
        <v>0</v>
      </c>
      <c r="DG323" s="95">
        <f t="shared" si="839"/>
        <v>0</v>
      </c>
      <c r="DH323" s="95">
        <f t="shared" si="840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845">750*$K$1</f>
        <v>3140.1</v>
      </c>
      <c r="D324" s="683">
        <f t="shared" si="845"/>
        <v>3140.1</v>
      </c>
      <c r="E324" s="683">
        <f t="shared" si="845"/>
        <v>3140.1</v>
      </c>
      <c r="F324" s="683">
        <f t="shared" si="845"/>
        <v>3140.1</v>
      </c>
      <c r="G324" s="683">
        <f t="shared" si="845"/>
        <v>3140.1</v>
      </c>
      <c r="H324" s="683">
        <f t="shared" si="845"/>
        <v>3140.1</v>
      </c>
      <c r="I324" s="683">
        <f t="shared" si="845"/>
        <v>3140.1</v>
      </c>
      <c r="J324" s="683">
        <f t="shared" si="845"/>
        <v>3140.1</v>
      </c>
      <c r="K324" s="683">
        <f t="shared" si="845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846">750*$K$1</f>
        <v>3140.1</v>
      </c>
      <c r="V324" s="683">
        <f t="shared" si="846"/>
        <v>3140.1</v>
      </c>
      <c r="W324" s="683">
        <f t="shared" si="846"/>
        <v>3140.1</v>
      </c>
      <c r="X324" s="683">
        <f t="shared" si="846"/>
        <v>3140.1</v>
      </c>
      <c r="Y324" s="683">
        <f t="shared" si="846"/>
        <v>3140.1</v>
      </c>
      <c r="Z324" s="683">
        <f t="shared" si="846"/>
        <v>3140.1</v>
      </c>
      <c r="AA324" s="683">
        <f t="shared" si="846"/>
        <v>3140.1</v>
      </c>
      <c r="AB324" s="683">
        <f t="shared" si="846"/>
        <v>3140.1</v>
      </c>
      <c r="AC324" s="683">
        <f t="shared" si="846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847">750*$K$1</f>
        <v>3140.1</v>
      </c>
      <c r="AN324" s="683">
        <f t="shared" si="847"/>
        <v>3140.1</v>
      </c>
      <c r="AO324" s="683">
        <f t="shared" si="847"/>
        <v>3140.1</v>
      </c>
      <c r="AP324" s="683">
        <f t="shared" si="847"/>
        <v>3140.1</v>
      </c>
      <c r="AQ324" s="683">
        <f t="shared" si="847"/>
        <v>3140.1</v>
      </c>
      <c r="AR324" s="683">
        <f t="shared" si="847"/>
        <v>3140.1</v>
      </c>
      <c r="AS324" s="683">
        <f t="shared" si="847"/>
        <v>3140.1</v>
      </c>
      <c r="AT324" s="683">
        <f t="shared" si="847"/>
        <v>3140.1</v>
      </c>
      <c r="AU324" s="683">
        <f t="shared" si="847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848">750*$K$1</f>
        <v>3140.1</v>
      </c>
      <c r="BF324" s="1225">
        <f t="shared" si="848"/>
        <v>3140.1</v>
      </c>
      <c r="BG324" s="1225">
        <f t="shared" si="848"/>
        <v>3140.1</v>
      </c>
      <c r="BH324" s="1225">
        <f t="shared" si="848"/>
        <v>3140.1</v>
      </c>
      <c r="BI324" s="1225">
        <f t="shared" si="848"/>
        <v>3140.1</v>
      </c>
      <c r="BJ324" s="1225">
        <f t="shared" si="848"/>
        <v>3140.1</v>
      </c>
      <c r="BK324" s="1225">
        <f t="shared" si="848"/>
        <v>3140.1</v>
      </c>
      <c r="BL324" s="1225">
        <f t="shared" si="848"/>
        <v>3140.1</v>
      </c>
      <c r="BM324" s="1225">
        <f t="shared" si="848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>750*$K$1</f>
        <v>3140.1</v>
      </c>
      <c r="BW324" s="683">
        <f>750*$K$1</f>
        <v>3140.1</v>
      </c>
      <c r="BX324" s="683">
        <f>750*$K$1</f>
        <v>3140.1</v>
      </c>
      <c r="BY324" s="683">
        <f>750*$K$1</f>
        <v>3140.1</v>
      </c>
      <c r="BZ324" s="582">
        <f t="shared" si="815"/>
        <v>3140.0999999999995</v>
      </c>
      <c r="CA324" s="582">
        <f t="shared" si="816"/>
        <v>3140.0999999999995</v>
      </c>
      <c r="CB324" s="582">
        <f t="shared" si="817"/>
        <v>3140.0999999999995</v>
      </c>
      <c r="CC324" s="670">
        <f t="shared" si="818"/>
        <v>3140.0999999999995</v>
      </c>
      <c r="CD324" s="988">
        <f t="shared" si="819"/>
        <v>3140.1</v>
      </c>
      <c r="CE324" s="989">
        <f t="shared" si="819"/>
        <v>3140.1</v>
      </c>
      <c r="CF324" s="989">
        <f t="shared" si="819"/>
        <v>3140.1</v>
      </c>
      <c r="CG324" s="989">
        <f t="shared" si="819"/>
        <v>3140.1</v>
      </c>
      <c r="CH324" s="990">
        <f t="shared" si="819"/>
        <v>3140.1</v>
      </c>
      <c r="CI324" s="990">
        <f t="shared" si="819"/>
        <v>3140.1</v>
      </c>
      <c r="CJ324" s="989">
        <f t="shared" si="819"/>
        <v>3140.1</v>
      </c>
      <c r="CK324" s="989">
        <f t="shared" si="819"/>
        <v>3140.1</v>
      </c>
      <c r="CL324" s="989">
        <f t="shared" si="819"/>
        <v>3140.1</v>
      </c>
      <c r="CM324" s="988">
        <f t="shared" si="819"/>
        <v>3140.1</v>
      </c>
      <c r="CN324" s="533" t="str">
        <f t="shared" si="820"/>
        <v/>
      </c>
      <c r="CO324" s="534" t="str">
        <f t="shared" si="821"/>
        <v/>
      </c>
      <c r="CP324" s="535" t="str">
        <f t="shared" si="822"/>
        <v/>
      </c>
      <c r="CQ324" s="535" t="str">
        <f t="shared" si="823"/>
        <v/>
      </c>
      <c r="CR324" s="535">
        <f t="shared" si="824"/>
        <v>3140.1</v>
      </c>
      <c r="CS324" s="535">
        <f t="shared" si="825"/>
        <v>3140.1</v>
      </c>
      <c r="CT324" s="535">
        <f t="shared" si="826"/>
        <v>3140.1</v>
      </c>
      <c r="CU324" s="536">
        <f t="shared" si="827"/>
        <v>3140.1</v>
      </c>
      <c r="CV324" s="536">
        <f t="shared" si="828"/>
        <v>3140.1</v>
      </c>
      <c r="CW324" s="536">
        <f t="shared" si="829"/>
        <v>3140.1</v>
      </c>
      <c r="CX324" s="535">
        <f t="shared" si="830"/>
        <v>3140.1</v>
      </c>
      <c r="CY324" s="535">
        <f t="shared" si="831"/>
        <v>3140.1</v>
      </c>
      <c r="CZ324" s="535">
        <f t="shared" si="832"/>
        <v>3140.1</v>
      </c>
      <c r="DA324" s="535">
        <f t="shared" si="833"/>
        <v>3140.1</v>
      </c>
      <c r="DB324" s="535" t="str">
        <f t="shared" si="834"/>
        <v/>
      </c>
      <c r="DC324" s="534" t="str">
        <f t="shared" si="835"/>
        <v/>
      </c>
      <c r="DD324" s="533" t="str">
        <f t="shared" si="836"/>
        <v/>
      </c>
      <c r="DE324" s="635">
        <f t="shared" si="837"/>
        <v>10</v>
      </c>
      <c r="DF324" s="95">
        <f t="shared" si="838"/>
        <v>10</v>
      </c>
      <c r="DG324" s="95">
        <f t="shared" si="839"/>
        <v>10</v>
      </c>
      <c r="DH324" s="95">
        <f t="shared" si="840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15"/>
        <v/>
      </c>
      <c r="CA325" s="582" t="str">
        <f t="shared" si="816"/>
        <v/>
      </c>
      <c r="CB325" s="582" t="str">
        <f t="shared" si="817"/>
        <v/>
      </c>
      <c r="CC325" s="670" t="str">
        <f t="shared" si="818"/>
        <v/>
      </c>
      <c r="CD325" s="988" t="str">
        <f t="shared" si="819"/>
        <v/>
      </c>
      <c r="CE325" s="989" t="str">
        <f t="shared" si="819"/>
        <v/>
      </c>
      <c r="CF325" s="989" t="str">
        <f t="shared" si="819"/>
        <v/>
      </c>
      <c r="CG325" s="989" t="str">
        <f t="shared" si="819"/>
        <v/>
      </c>
      <c r="CH325" s="990" t="str">
        <f t="shared" si="819"/>
        <v/>
      </c>
      <c r="CI325" s="990" t="str">
        <f t="shared" si="819"/>
        <v/>
      </c>
      <c r="CJ325" s="989" t="str">
        <f t="shared" si="819"/>
        <v/>
      </c>
      <c r="CK325" s="989" t="str">
        <f t="shared" si="819"/>
        <v/>
      </c>
      <c r="CL325" s="989" t="str">
        <f t="shared" si="819"/>
        <v/>
      </c>
      <c r="CM325" s="988" t="str">
        <f t="shared" si="819"/>
        <v/>
      </c>
      <c r="CN325" s="533" t="str">
        <f t="shared" si="820"/>
        <v/>
      </c>
      <c r="CO325" s="534" t="str">
        <f t="shared" si="821"/>
        <v/>
      </c>
      <c r="CP325" s="535" t="str">
        <f t="shared" si="822"/>
        <v/>
      </c>
      <c r="CQ325" s="535" t="str">
        <f t="shared" si="823"/>
        <v/>
      </c>
      <c r="CR325" s="535" t="str">
        <f t="shared" si="824"/>
        <v/>
      </c>
      <c r="CS325" s="535" t="str">
        <f t="shared" si="825"/>
        <v/>
      </c>
      <c r="CT325" s="535" t="str">
        <f t="shared" si="826"/>
        <v/>
      </c>
      <c r="CU325" s="536" t="str">
        <f t="shared" si="827"/>
        <v/>
      </c>
      <c r="CV325" s="536" t="str">
        <f t="shared" si="828"/>
        <v/>
      </c>
      <c r="CW325" s="536" t="str">
        <f t="shared" si="829"/>
        <v/>
      </c>
      <c r="CX325" s="535" t="str">
        <f t="shared" si="830"/>
        <v/>
      </c>
      <c r="CY325" s="535" t="str">
        <f t="shared" si="831"/>
        <v/>
      </c>
      <c r="CZ325" s="535" t="str">
        <f t="shared" si="832"/>
        <v/>
      </c>
      <c r="DA325" s="535" t="str">
        <f t="shared" si="833"/>
        <v/>
      </c>
      <c r="DB325" s="535" t="str">
        <f t="shared" si="834"/>
        <v/>
      </c>
      <c r="DC325" s="534" t="str">
        <f t="shared" si="835"/>
        <v/>
      </c>
      <c r="DD325" s="533" t="str">
        <f t="shared" si="836"/>
        <v/>
      </c>
      <c r="DE325" s="635">
        <f t="shared" si="837"/>
        <v>0</v>
      </c>
      <c r="DF325" s="95">
        <f t="shared" si="838"/>
        <v>0</v>
      </c>
      <c r="DG325" s="95">
        <f t="shared" si="839"/>
        <v>0</v>
      </c>
      <c r="DH325" s="95">
        <f t="shared" si="840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15"/>
        <v/>
      </c>
      <c r="CA326" s="582" t="str">
        <f t="shared" si="816"/>
        <v/>
      </c>
      <c r="CB326" s="582" t="str">
        <f t="shared" si="817"/>
        <v/>
      </c>
      <c r="CC326" s="670" t="str">
        <f t="shared" si="818"/>
        <v/>
      </c>
      <c r="CD326" s="988" t="str">
        <f t="shared" si="819"/>
        <v/>
      </c>
      <c r="CE326" s="989" t="str">
        <f t="shared" si="819"/>
        <v/>
      </c>
      <c r="CF326" s="989" t="str">
        <f t="shared" si="819"/>
        <v/>
      </c>
      <c r="CG326" s="989" t="str">
        <f t="shared" si="819"/>
        <v/>
      </c>
      <c r="CH326" s="990" t="str">
        <f t="shared" si="819"/>
        <v/>
      </c>
      <c r="CI326" s="990" t="str">
        <f t="shared" si="819"/>
        <v/>
      </c>
      <c r="CJ326" s="989" t="str">
        <f t="shared" si="819"/>
        <v/>
      </c>
      <c r="CK326" s="989" t="str">
        <f t="shared" si="819"/>
        <v/>
      </c>
      <c r="CL326" s="989" t="str">
        <f t="shared" si="819"/>
        <v/>
      </c>
      <c r="CM326" s="988" t="str">
        <f t="shared" si="819"/>
        <v/>
      </c>
      <c r="CN326" s="533" t="str">
        <f t="shared" si="820"/>
        <v/>
      </c>
      <c r="CO326" s="534" t="str">
        <f t="shared" si="821"/>
        <v/>
      </c>
      <c r="CP326" s="535" t="str">
        <f t="shared" si="822"/>
        <v/>
      </c>
      <c r="CQ326" s="535" t="str">
        <f t="shared" si="823"/>
        <v/>
      </c>
      <c r="CR326" s="535" t="str">
        <f t="shared" si="824"/>
        <v/>
      </c>
      <c r="CS326" s="535" t="str">
        <f t="shared" si="825"/>
        <v/>
      </c>
      <c r="CT326" s="535" t="str">
        <f t="shared" si="826"/>
        <v/>
      </c>
      <c r="CU326" s="536" t="str">
        <f t="shared" si="827"/>
        <v/>
      </c>
      <c r="CV326" s="536" t="str">
        <f t="shared" si="828"/>
        <v/>
      </c>
      <c r="CW326" s="536" t="str">
        <f t="shared" si="829"/>
        <v/>
      </c>
      <c r="CX326" s="535" t="str">
        <f t="shared" si="830"/>
        <v/>
      </c>
      <c r="CY326" s="535" t="str">
        <f t="shared" si="831"/>
        <v/>
      </c>
      <c r="CZ326" s="535" t="str">
        <f t="shared" si="832"/>
        <v/>
      </c>
      <c r="DA326" s="535" t="str">
        <f t="shared" si="833"/>
        <v/>
      </c>
      <c r="DB326" s="535" t="str">
        <f t="shared" si="834"/>
        <v/>
      </c>
      <c r="DC326" s="534" t="str">
        <f t="shared" si="835"/>
        <v/>
      </c>
      <c r="DD326" s="533" t="str">
        <f t="shared" si="836"/>
        <v/>
      </c>
      <c r="DE326" s="635">
        <f t="shared" si="837"/>
        <v>0</v>
      </c>
      <c r="DF326" s="95">
        <f t="shared" si="838"/>
        <v>0</v>
      </c>
      <c r="DG326" s="95">
        <f t="shared" si="839"/>
        <v>0</v>
      </c>
      <c r="DH326" s="95">
        <f t="shared" si="840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849">IF(B325="","",B325*B326)</f>
        <v/>
      </c>
      <c r="C327" s="612" t="str">
        <f t="shared" si="849"/>
        <v/>
      </c>
      <c r="D327" s="612" t="str">
        <f t="shared" si="849"/>
        <v/>
      </c>
      <c r="E327" s="612" t="str">
        <f t="shared" si="849"/>
        <v/>
      </c>
      <c r="F327" s="612" t="str">
        <f t="shared" si="849"/>
        <v/>
      </c>
      <c r="G327" s="612" t="str">
        <f t="shared" si="849"/>
        <v/>
      </c>
      <c r="H327" s="612" t="str">
        <f t="shared" si="849"/>
        <v/>
      </c>
      <c r="I327" s="612" t="str">
        <f t="shared" si="849"/>
        <v/>
      </c>
      <c r="J327" s="612" t="str">
        <f t="shared" si="849"/>
        <v/>
      </c>
      <c r="K327" s="612" t="str">
        <f t="shared" si="84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850">IF(T325="","",T325*T326)</f>
        <v/>
      </c>
      <c r="U327" s="612" t="str">
        <f t="shared" si="850"/>
        <v/>
      </c>
      <c r="V327" s="612" t="str">
        <f t="shared" si="850"/>
        <v/>
      </c>
      <c r="W327" s="612" t="str">
        <f t="shared" si="850"/>
        <v/>
      </c>
      <c r="X327" s="612" t="str">
        <f t="shared" si="850"/>
        <v/>
      </c>
      <c r="Y327" s="612" t="str">
        <f t="shared" si="850"/>
        <v/>
      </c>
      <c r="Z327" s="612" t="str">
        <f t="shared" si="850"/>
        <v/>
      </c>
      <c r="AA327" s="612" t="str">
        <f t="shared" si="850"/>
        <v/>
      </c>
      <c r="AB327" s="612" t="str">
        <f t="shared" si="850"/>
        <v/>
      </c>
      <c r="AC327" s="612" t="str">
        <f t="shared" si="85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851">IF(AL325="","",AL325*AL326)</f>
        <v/>
      </c>
      <c r="AM327" s="612" t="str">
        <f t="shared" si="851"/>
        <v/>
      </c>
      <c r="AN327" s="612" t="str">
        <f t="shared" si="851"/>
        <v/>
      </c>
      <c r="AO327" s="612" t="str">
        <f t="shared" si="851"/>
        <v/>
      </c>
      <c r="AP327" s="612" t="str">
        <f t="shared" si="851"/>
        <v/>
      </c>
      <c r="AQ327" s="612" t="str">
        <f t="shared" si="851"/>
        <v/>
      </c>
      <c r="AR327" s="612" t="str">
        <f t="shared" si="851"/>
        <v/>
      </c>
      <c r="AS327" s="612" t="str">
        <f t="shared" si="851"/>
        <v/>
      </c>
      <c r="AT327" s="612" t="str">
        <f t="shared" si="851"/>
        <v/>
      </c>
      <c r="AU327" s="612" t="str">
        <f t="shared" si="85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852">IF(BD325="","",BD325*BD326)</f>
        <v/>
      </c>
      <c r="BE327" s="1201" t="str">
        <f t="shared" si="852"/>
        <v/>
      </c>
      <c r="BF327" s="1201" t="str">
        <f t="shared" si="852"/>
        <v/>
      </c>
      <c r="BG327" s="1201" t="str">
        <f t="shared" si="852"/>
        <v/>
      </c>
      <c r="BH327" s="1201" t="str">
        <f t="shared" si="852"/>
        <v/>
      </c>
      <c r="BI327" s="1201" t="str">
        <f t="shared" si="852"/>
        <v/>
      </c>
      <c r="BJ327" s="1201" t="str">
        <f t="shared" si="852"/>
        <v/>
      </c>
      <c r="BK327" s="1201" t="str">
        <f t="shared" si="852"/>
        <v/>
      </c>
      <c r="BL327" s="1201" t="str">
        <f t="shared" si="852"/>
        <v/>
      </c>
      <c r="BM327" s="1201" t="str">
        <f t="shared" si="85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15"/>
        <v/>
      </c>
      <c r="CA327" s="582" t="str">
        <f t="shared" si="816"/>
        <v/>
      </c>
      <c r="CB327" s="582" t="str">
        <f t="shared" si="817"/>
        <v/>
      </c>
      <c r="CC327" s="670" t="str">
        <f t="shared" si="818"/>
        <v/>
      </c>
      <c r="CD327" s="988" t="str">
        <f t="shared" si="819"/>
        <v/>
      </c>
      <c r="CE327" s="989" t="str">
        <f t="shared" si="819"/>
        <v/>
      </c>
      <c r="CF327" s="989" t="str">
        <f t="shared" si="819"/>
        <v/>
      </c>
      <c r="CG327" s="989" t="str">
        <f t="shared" si="819"/>
        <v/>
      </c>
      <c r="CH327" s="990" t="str">
        <f t="shared" si="819"/>
        <v/>
      </c>
      <c r="CI327" s="990" t="str">
        <f t="shared" si="819"/>
        <v/>
      </c>
      <c r="CJ327" s="989" t="str">
        <f t="shared" si="819"/>
        <v/>
      </c>
      <c r="CK327" s="989" t="str">
        <f t="shared" si="819"/>
        <v/>
      </c>
      <c r="CL327" s="989" t="str">
        <f t="shared" si="819"/>
        <v/>
      </c>
      <c r="CM327" s="988" t="str">
        <f t="shared" si="819"/>
        <v/>
      </c>
      <c r="CN327" s="533" t="str">
        <f t="shared" si="820"/>
        <v/>
      </c>
      <c r="CO327" s="534" t="str">
        <f t="shared" si="821"/>
        <v/>
      </c>
      <c r="CP327" s="535" t="str">
        <f t="shared" si="822"/>
        <v/>
      </c>
      <c r="CQ327" s="535" t="str">
        <f t="shared" si="823"/>
        <v/>
      </c>
      <c r="CR327" s="535" t="str">
        <f t="shared" si="824"/>
        <v/>
      </c>
      <c r="CS327" s="535" t="str">
        <f t="shared" si="825"/>
        <v/>
      </c>
      <c r="CT327" s="535" t="str">
        <f t="shared" si="826"/>
        <v/>
      </c>
      <c r="CU327" s="536" t="str">
        <f t="shared" si="827"/>
        <v/>
      </c>
      <c r="CV327" s="536" t="str">
        <f t="shared" si="828"/>
        <v/>
      </c>
      <c r="CW327" s="536" t="str">
        <f t="shared" si="829"/>
        <v/>
      </c>
      <c r="CX327" s="535" t="str">
        <f t="shared" si="830"/>
        <v/>
      </c>
      <c r="CY327" s="535" t="str">
        <f t="shared" si="831"/>
        <v/>
      </c>
      <c r="CZ327" s="535" t="str">
        <f t="shared" si="832"/>
        <v/>
      </c>
      <c r="DA327" s="535" t="str">
        <f t="shared" si="833"/>
        <v/>
      </c>
      <c r="DB327" s="535" t="str">
        <f t="shared" si="834"/>
        <v/>
      </c>
      <c r="DC327" s="534" t="str">
        <f t="shared" si="835"/>
        <v/>
      </c>
      <c r="DD327" s="533" t="str">
        <f t="shared" si="836"/>
        <v/>
      </c>
      <c r="DE327" s="635">
        <f t="shared" si="837"/>
        <v>0</v>
      </c>
      <c r="DF327" s="95">
        <f t="shared" si="838"/>
        <v>0</v>
      </c>
      <c r="DG327" s="95">
        <f t="shared" si="839"/>
        <v>0</v>
      </c>
      <c r="DH327" s="95">
        <f t="shared" si="840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15"/>
        <v/>
      </c>
      <c r="CA328" s="582" t="str">
        <f t="shared" si="816"/>
        <v/>
      </c>
      <c r="CB328" s="582" t="str">
        <f t="shared" si="817"/>
        <v/>
      </c>
      <c r="CC328" s="670" t="str">
        <f t="shared" si="818"/>
        <v/>
      </c>
      <c r="CD328" s="988" t="str">
        <f t="shared" si="819"/>
        <v/>
      </c>
      <c r="CE328" s="989" t="str">
        <f t="shared" si="819"/>
        <v/>
      </c>
      <c r="CF328" s="989" t="str">
        <f t="shared" si="819"/>
        <v/>
      </c>
      <c r="CG328" s="989" t="str">
        <f t="shared" si="819"/>
        <v/>
      </c>
      <c r="CH328" s="990" t="str">
        <f t="shared" si="819"/>
        <v/>
      </c>
      <c r="CI328" s="990" t="str">
        <f t="shared" si="819"/>
        <v/>
      </c>
      <c r="CJ328" s="989" t="str">
        <f t="shared" si="819"/>
        <v/>
      </c>
      <c r="CK328" s="989" t="str">
        <f t="shared" si="819"/>
        <v/>
      </c>
      <c r="CL328" s="989" t="str">
        <f t="shared" si="819"/>
        <v/>
      </c>
      <c r="CM328" s="988" t="str">
        <f t="shared" si="819"/>
        <v/>
      </c>
      <c r="CN328" s="533" t="str">
        <f t="shared" si="820"/>
        <v/>
      </c>
      <c r="CO328" s="534" t="str">
        <f t="shared" si="821"/>
        <v/>
      </c>
      <c r="CP328" s="535" t="str">
        <f t="shared" si="822"/>
        <v/>
      </c>
      <c r="CQ328" s="535" t="str">
        <f t="shared" si="823"/>
        <v/>
      </c>
      <c r="CR328" s="535" t="str">
        <f t="shared" si="824"/>
        <v/>
      </c>
      <c r="CS328" s="535" t="str">
        <f t="shared" si="825"/>
        <v/>
      </c>
      <c r="CT328" s="535" t="str">
        <f t="shared" si="826"/>
        <v/>
      </c>
      <c r="CU328" s="536" t="str">
        <f t="shared" si="827"/>
        <v/>
      </c>
      <c r="CV328" s="536" t="str">
        <f t="shared" si="828"/>
        <v/>
      </c>
      <c r="CW328" s="536" t="str">
        <f t="shared" si="829"/>
        <v/>
      </c>
      <c r="CX328" s="535" t="str">
        <f t="shared" si="830"/>
        <v/>
      </c>
      <c r="CY328" s="535" t="str">
        <f t="shared" si="831"/>
        <v/>
      </c>
      <c r="CZ328" s="535" t="str">
        <f t="shared" si="832"/>
        <v/>
      </c>
      <c r="DA328" s="535" t="str">
        <f t="shared" si="833"/>
        <v/>
      </c>
      <c r="DB328" s="535" t="str">
        <f t="shared" si="834"/>
        <v/>
      </c>
      <c r="DC328" s="534" t="str">
        <f t="shared" si="835"/>
        <v/>
      </c>
      <c r="DD328" s="533" t="str">
        <f t="shared" si="836"/>
        <v/>
      </c>
      <c r="DE328" s="635">
        <f t="shared" si="837"/>
        <v>0</v>
      </c>
      <c r="DF328" s="95">
        <f t="shared" si="838"/>
        <v>0</v>
      </c>
      <c r="DG328" s="95">
        <f t="shared" si="839"/>
        <v>0</v>
      </c>
      <c r="DH328" s="95">
        <f t="shared" si="840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853">IF(B323="","",(B323-B325-B328)*B324/B$46/365/$G$1)</f>
        <v/>
      </c>
      <c r="C329" s="615" t="str">
        <f t="shared" si="853"/>
        <v/>
      </c>
      <c r="D329" s="615" t="str">
        <f t="shared" si="853"/>
        <v/>
      </c>
      <c r="E329" s="615" t="str">
        <f t="shared" si="853"/>
        <v/>
      </c>
      <c r="F329" s="615" t="str">
        <f t="shared" si="853"/>
        <v/>
      </c>
      <c r="G329" s="615" t="str">
        <f t="shared" si="853"/>
        <v/>
      </c>
      <c r="H329" s="615" t="str">
        <f t="shared" si="853"/>
        <v/>
      </c>
      <c r="I329" s="615" t="str">
        <f t="shared" si="853"/>
        <v/>
      </c>
      <c r="J329" s="615" t="str">
        <f t="shared" si="853"/>
        <v/>
      </c>
      <c r="K329" s="615" t="str">
        <f t="shared" si="85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854">IF(T323="","",(T323-T325-T328)*T324/T$46/365/$G$1)</f>
        <v/>
      </c>
      <c r="U329" s="615" t="str">
        <f t="shared" si="854"/>
        <v/>
      </c>
      <c r="V329" s="615" t="str">
        <f t="shared" si="854"/>
        <v/>
      </c>
      <c r="W329" s="615" t="str">
        <f t="shared" si="854"/>
        <v/>
      </c>
      <c r="X329" s="615" t="str">
        <f t="shared" si="854"/>
        <v/>
      </c>
      <c r="Y329" s="615" t="str">
        <f t="shared" si="854"/>
        <v/>
      </c>
      <c r="Z329" s="615" t="str">
        <f t="shared" si="854"/>
        <v/>
      </c>
      <c r="AA329" s="615" t="str">
        <f t="shared" si="854"/>
        <v/>
      </c>
      <c r="AB329" s="615" t="str">
        <f t="shared" si="854"/>
        <v/>
      </c>
      <c r="AC329" s="615" t="str">
        <f t="shared" si="85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855">IF(AL323="","",(AL323-AL325-AL328)*AL324/AL$46/365/$G$1)</f>
        <v/>
      </c>
      <c r="AM329" s="615" t="str">
        <f t="shared" si="855"/>
        <v/>
      </c>
      <c r="AN329" s="615" t="str">
        <f t="shared" si="855"/>
        <v/>
      </c>
      <c r="AO329" s="615" t="str">
        <f t="shared" si="855"/>
        <v/>
      </c>
      <c r="AP329" s="615" t="str">
        <f t="shared" si="855"/>
        <v/>
      </c>
      <c r="AQ329" s="615" t="str">
        <f t="shared" si="855"/>
        <v/>
      </c>
      <c r="AR329" s="615" t="str">
        <f t="shared" si="855"/>
        <v/>
      </c>
      <c r="AS329" s="615" t="str">
        <f t="shared" si="855"/>
        <v/>
      </c>
      <c r="AT329" s="615" t="str">
        <f t="shared" si="855"/>
        <v/>
      </c>
      <c r="AU329" s="615" t="str">
        <f t="shared" si="85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856">IF(BD323="","",(BD323-BD325-BD328)*BD324/BD$46/365/$G$1)</f>
        <v/>
      </c>
      <c r="BE329" s="1202" t="str">
        <f t="shared" si="856"/>
        <v/>
      </c>
      <c r="BF329" s="1202" t="str">
        <f t="shared" si="856"/>
        <v/>
      </c>
      <c r="BG329" s="1202" t="str">
        <f t="shared" si="856"/>
        <v/>
      </c>
      <c r="BH329" s="1202" t="str">
        <f t="shared" si="856"/>
        <v/>
      </c>
      <c r="BI329" s="1202" t="str">
        <f t="shared" si="856"/>
        <v/>
      </c>
      <c r="BJ329" s="1202" t="str">
        <f t="shared" si="856"/>
        <v/>
      </c>
      <c r="BK329" s="1202" t="str">
        <f t="shared" si="856"/>
        <v/>
      </c>
      <c r="BL329" s="1202" t="str">
        <f t="shared" si="856"/>
        <v/>
      </c>
      <c r="BM329" s="1202" t="str">
        <f t="shared" si="85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15"/>
        <v/>
      </c>
      <c r="CA329" s="607" t="str">
        <f t="shared" si="816"/>
        <v/>
      </c>
      <c r="CB329" s="607" t="str">
        <f t="shared" si="817"/>
        <v/>
      </c>
      <c r="CC329" s="673" t="str">
        <f t="shared" si="818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85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857"/>
        <v/>
      </c>
      <c r="CG329" s="992" t="str">
        <f t="shared" si="857"/>
        <v/>
      </c>
      <c r="CH329" s="993" t="str">
        <f t="shared" si="857"/>
        <v/>
      </c>
      <c r="CI329" s="993" t="str">
        <f t="shared" si="857"/>
        <v/>
      </c>
      <c r="CJ329" s="992" t="str">
        <f t="shared" si="857"/>
        <v/>
      </c>
      <c r="CK329" s="992" t="str">
        <f t="shared" si="857"/>
        <v/>
      </c>
      <c r="CL329" s="992" t="str">
        <f t="shared" si="857"/>
        <v/>
      </c>
      <c r="CM329" s="991" t="str">
        <f t="shared" si="857"/>
        <v/>
      </c>
      <c r="CN329" s="521" t="str">
        <f t="shared" si="820"/>
        <v/>
      </c>
      <c r="CO329" s="522" t="str">
        <f t="shared" si="821"/>
        <v/>
      </c>
      <c r="CP329" s="523" t="str">
        <f t="shared" si="822"/>
        <v/>
      </c>
      <c r="CQ329" s="523" t="str">
        <f t="shared" si="823"/>
        <v/>
      </c>
      <c r="CR329" s="523" t="str">
        <f t="shared" si="824"/>
        <v/>
      </c>
      <c r="CS329" s="523" t="str">
        <f t="shared" si="825"/>
        <v/>
      </c>
      <c r="CT329" s="523" t="str">
        <f t="shared" si="826"/>
        <v/>
      </c>
      <c r="CU329" s="524" t="str">
        <f t="shared" si="827"/>
        <v/>
      </c>
      <c r="CV329" s="524" t="str">
        <f t="shared" si="828"/>
        <v/>
      </c>
      <c r="CW329" s="524" t="str">
        <f t="shared" si="829"/>
        <v/>
      </c>
      <c r="CX329" s="523" t="str">
        <f t="shared" si="830"/>
        <v/>
      </c>
      <c r="CY329" s="523" t="str">
        <f t="shared" si="831"/>
        <v/>
      </c>
      <c r="CZ329" s="523" t="str">
        <f t="shared" si="832"/>
        <v/>
      </c>
      <c r="DA329" s="523" t="str">
        <f t="shared" si="833"/>
        <v/>
      </c>
      <c r="DB329" s="523" t="str">
        <f t="shared" si="834"/>
        <v/>
      </c>
      <c r="DC329" s="522" t="str">
        <f t="shared" si="835"/>
        <v/>
      </c>
      <c r="DD329" s="521" t="str">
        <f t="shared" si="836"/>
        <v/>
      </c>
      <c r="DE329" s="635">
        <f t="shared" si="837"/>
        <v>0</v>
      </c>
      <c r="DF329" s="95">
        <f t="shared" si="838"/>
        <v>0</v>
      </c>
      <c r="DG329" s="95">
        <f t="shared" si="839"/>
        <v>0</v>
      </c>
      <c r="DH329" s="95">
        <f t="shared" si="840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15"/>
        <v/>
      </c>
      <c r="CA330" s="582" t="str">
        <f t="shared" si="816"/>
        <v/>
      </c>
      <c r="CB330" s="582" t="str">
        <f t="shared" si="817"/>
        <v/>
      </c>
      <c r="CC330" s="670" t="str">
        <f t="shared" si="818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857"/>
        <v/>
      </c>
      <c r="CF330" s="989" t="str">
        <f t="shared" si="857"/>
        <v/>
      </c>
      <c r="CG330" s="989" t="str">
        <f t="shared" si="857"/>
        <v/>
      </c>
      <c r="CH330" s="990" t="str">
        <f t="shared" si="857"/>
        <v/>
      </c>
      <c r="CI330" s="990" t="str">
        <f t="shared" si="857"/>
        <v/>
      </c>
      <c r="CJ330" s="989" t="str">
        <f t="shared" si="857"/>
        <v/>
      </c>
      <c r="CK330" s="989" t="str">
        <f t="shared" si="857"/>
        <v/>
      </c>
      <c r="CL330" s="989" t="str">
        <f t="shared" si="857"/>
        <v/>
      </c>
      <c r="CM330" s="988" t="str">
        <f t="shared" si="857"/>
        <v/>
      </c>
      <c r="CN330" s="533" t="str">
        <f t="shared" si="820"/>
        <v/>
      </c>
      <c r="CO330" s="534" t="str">
        <f t="shared" si="821"/>
        <v/>
      </c>
      <c r="CP330" s="535" t="str">
        <f t="shared" si="822"/>
        <v/>
      </c>
      <c r="CQ330" s="535" t="str">
        <f t="shared" si="823"/>
        <v/>
      </c>
      <c r="CR330" s="535" t="str">
        <f t="shared" si="824"/>
        <v/>
      </c>
      <c r="CS330" s="535" t="str">
        <f t="shared" si="825"/>
        <v/>
      </c>
      <c r="CT330" s="535" t="str">
        <f t="shared" si="826"/>
        <v/>
      </c>
      <c r="CU330" s="536" t="str">
        <f t="shared" si="827"/>
        <v/>
      </c>
      <c r="CV330" s="536" t="str">
        <f t="shared" si="828"/>
        <v/>
      </c>
      <c r="CW330" s="536" t="str">
        <f t="shared" si="829"/>
        <v/>
      </c>
      <c r="CX330" s="535" t="str">
        <f t="shared" si="830"/>
        <v/>
      </c>
      <c r="CY330" s="535" t="str">
        <f t="shared" si="831"/>
        <v/>
      </c>
      <c r="CZ330" s="535" t="str">
        <f t="shared" si="832"/>
        <v/>
      </c>
      <c r="DA330" s="535" t="str">
        <f t="shared" si="833"/>
        <v/>
      </c>
      <c r="DB330" s="535" t="str">
        <f t="shared" si="834"/>
        <v/>
      </c>
      <c r="DC330" s="534" t="str">
        <f t="shared" si="835"/>
        <v/>
      </c>
      <c r="DD330" s="533" t="str">
        <f t="shared" si="836"/>
        <v/>
      </c>
      <c r="DE330" s="635">
        <f t="shared" si="837"/>
        <v>0</v>
      </c>
      <c r="DF330" s="95">
        <f t="shared" si="838"/>
        <v>0</v>
      </c>
      <c r="DG330" s="95">
        <f t="shared" si="839"/>
        <v>0</v>
      </c>
      <c r="DH330" s="95">
        <f t="shared" si="840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858">IF(DE332&lt;3,"",(SUM(B332:R332)-MIN(B332:R332)-MAX(B332:R332))/(DE332-2))</f>
        <v/>
      </c>
      <c r="CA332" s="582" t="str">
        <f t="shared" ref="CA332:CA340" si="859">IF(DF332&lt;3,"",(SUM(T332:AJ332)-MIN(T332:AJ332)-MAX(T332:AJ332))/(DF332-2))</f>
        <v/>
      </c>
      <c r="CB332" s="582" t="str">
        <f t="shared" ref="CB332:CB340" si="860">IF(DG332&lt;3,"",(SUM(AL332:BB332)-MIN(AL332:BB332)-MAX(AL332:BB332))/(DG332-2))</f>
        <v/>
      </c>
      <c r="CC332" s="670" t="str">
        <f t="shared" ref="CC332:CC340" si="861">IF(DH332&lt;3,"",(SUM(BD332:BT332)-MIN(BD332:BT332)-MAX(BD332:BT332))/(DH332-2))</f>
        <v/>
      </c>
      <c r="CD332" s="988" t="str">
        <f t="shared" ref="CD332:CM338" si="86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862"/>
        <v/>
      </c>
      <c r="CF332" s="989" t="str">
        <f t="shared" si="862"/>
        <v/>
      </c>
      <c r="CG332" s="989" t="str">
        <f t="shared" si="862"/>
        <v/>
      </c>
      <c r="CH332" s="990" t="str">
        <f t="shared" si="862"/>
        <v/>
      </c>
      <c r="CI332" s="990" t="str">
        <f t="shared" si="862"/>
        <v/>
      </c>
      <c r="CJ332" s="989" t="str">
        <f t="shared" si="862"/>
        <v/>
      </c>
      <c r="CK332" s="989" t="str">
        <f t="shared" si="862"/>
        <v/>
      </c>
      <c r="CL332" s="989" t="str">
        <f t="shared" si="862"/>
        <v/>
      </c>
      <c r="CM332" s="988" t="str">
        <f t="shared" si="862"/>
        <v/>
      </c>
      <c r="CN332" s="533" t="str">
        <f t="shared" ref="CN332:CN340" si="86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86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6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86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86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86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86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8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8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8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8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8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8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8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8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880">COUNT(B332:R332)</f>
        <v>0</v>
      </c>
      <c r="DF332" s="95">
        <f t="shared" ref="DF332:DF340" si="881">COUNT(T332:AJ332)</f>
        <v>0</v>
      </c>
      <c r="DG332" s="95">
        <f t="shared" ref="DG332:DG340" si="882">COUNT(AL332:BB332)</f>
        <v>0</v>
      </c>
      <c r="DH332" s="95">
        <f t="shared" ref="DH332:DH340" si="88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884">IF(B330="","",B330*B332)</f>
        <v/>
      </c>
      <c r="C333" s="612" t="str">
        <f t="shared" si="884"/>
        <v/>
      </c>
      <c r="D333" s="612" t="str">
        <f t="shared" si="884"/>
        <v/>
      </c>
      <c r="E333" s="612" t="str">
        <f t="shared" si="884"/>
        <v/>
      </c>
      <c r="F333" s="612" t="str">
        <f t="shared" si="884"/>
        <v/>
      </c>
      <c r="G333" s="612" t="str">
        <f t="shared" si="884"/>
        <v/>
      </c>
      <c r="H333" s="612" t="str">
        <f t="shared" si="884"/>
        <v/>
      </c>
      <c r="I333" s="612" t="str">
        <f t="shared" si="884"/>
        <v/>
      </c>
      <c r="J333" s="612" t="str">
        <f t="shared" si="884"/>
        <v/>
      </c>
      <c r="K333" s="612" t="str">
        <f t="shared" si="88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885">IF(T330="","",T330*T332)</f>
        <v/>
      </c>
      <c r="U333" s="612" t="str">
        <f t="shared" si="885"/>
        <v/>
      </c>
      <c r="V333" s="612" t="str">
        <f t="shared" si="885"/>
        <v/>
      </c>
      <c r="W333" s="612" t="str">
        <f t="shared" si="885"/>
        <v/>
      </c>
      <c r="X333" s="612" t="str">
        <f t="shared" si="885"/>
        <v/>
      </c>
      <c r="Y333" s="612" t="str">
        <f t="shared" si="885"/>
        <v/>
      </c>
      <c r="Z333" s="612" t="str">
        <f t="shared" si="885"/>
        <v/>
      </c>
      <c r="AA333" s="612" t="str">
        <f t="shared" si="885"/>
        <v/>
      </c>
      <c r="AB333" s="612" t="str">
        <f t="shared" si="885"/>
        <v/>
      </c>
      <c r="AC333" s="612" t="str">
        <f t="shared" si="88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886">IF(AL330="","",AL330*AL332)</f>
        <v/>
      </c>
      <c r="AM333" s="612" t="str">
        <f t="shared" si="886"/>
        <v/>
      </c>
      <c r="AN333" s="612" t="str">
        <f t="shared" si="886"/>
        <v/>
      </c>
      <c r="AO333" s="612" t="str">
        <f t="shared" si="886"/>
        <v/>
      </c>
      <c r="AP333" s="612" t="str">
        <f t="shared" si="886"/>
        <v/>
      </c>
      <c r="AQ333" s="612" t="str">
        <f t="shared" si="886"/>
        <v/>
      </c>
      <c r="AR333" s="612" t="str">
        <f t="shared" si="886"/>
        <v/>
      </c>
      <c r="AS333" s="612" t="str">
        <f t="shared" si="886"/>
        <v/>
      </c>
      <c r="AT333" s="612" t="str">
        <f t="shared" si="886"/>
        <v/>
      </c>
      <c r="AU333" s="612" t="str">
        <f t="shared" si="88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887">IF(BD330="","",BD330*BD332)</f>
        <v/>
      </c>
      <c r="BE333" s="1201" t="str">
        <f t="shared" si="887"/>
        <v/>
      </c>
      <c r="BF333" s="1201" t="str">
        <f t="shared" si="887"/>
        <v/>
      </c>
      <c r="BG333" s="1201" t="str">
        <f t="shared" si="887"/>
        <v/>
      </c>
      <c r="BH333" s="1201" t="str">
        <f t="shared" si="887"/>
        <v/>
      </c>
      <c r="BI333" s="1201" t="str">
        <f t="shared" si="887"/>
        <v/>
      </c>
      <c r="BJ333" s="1201" t="str">
        <f t="shared" si="887"/>
        <v/>
      </c>
      <c r="BK333" s="1201" t="str">
        <f t="shared" si="887"/>
        <v/>
      </c>
      <c r="BL333" s="1201" t="str">
        <f t="shared" si="887"/>
        <v/>
      </c>
      <c r="BM333" s="1201" t="str">
        <f t="shared" si="88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858"/>
        <v/>
      </c>
      <c r="CA333" s="582" t="str">
        <f t="shared" si="859"/>
        <v/>
      </c>
      <c r="CB333" s="582" t="str">
        <f t="shared" si="860"/>
        <v/>
      </c>
      <c r="CC333" s="670" t="str">
        <f t="shared" si="861"/>
        <v/>
      </c>
      <c r="CD333" s="988" t="str">
        <f t="shared" si="862"/>
        <v/>
      </c>
      <c r="CE333" s="989" t="str">
        <f t="shared" si="862"/>
        <v/>
      </c>
      <c r="CF333" s="989" t="str">
        <f t="shared" si="862"/>
        <v/>
      </c>
      <c r="CG333" s="989" t="str">
        <f t="shared" si="862"/>
        <v/>
      </c>
      <c r="CH333" s="990" t="str">
        <f t="shared" si="862"/>
        <v/>
      </c>
      <c r="CI333" s="990" t="str">
        <f t="shared" si="862"/>
        <v/>
      </c>
      <c r="CJ333" s="989" t="str">
        <f t="shared" si="862"/>
        <v/>
      </c>
      <c r="CK333" s="989" t="str">
        <f t="shared" si="862"/>
        <v/>
      </c>
      <c r="CL333" s="989" t="str">
        <f t="shared" si="862"/>
        <v/>
      </c>
      <c r="CM333" s="988" t="str">
        <f t="shared" si="862"/>
        <v/>
      </c>
      <c r="CN333" s="533" t="str">
        <f t="shared" si="863"/>
        <v/>
      </c>
      <c r="CO333" s="534" t="str">
        <f t="shared" si="864"/>
        <v/>
      </c>
      <c r="CP333" s="535" t="str">
        <f t="shared" si="865"/>
        <v/>
      </c>
      <c r="CQ333" s="535" t="str">
        <f t="shared" si="866"/>
        <v/>
      </c>
      <c r="CR333" s="535" t="str">
        <f t="shared" si="867"/>
        <v/>
      </c>
      <c r="CS333" s="535" t="str">
        <f t="shared" si="868"/>
        <v/>
      </c>
      <c r="CT333" s="535" t="str">
        <f t="shared" si="869"/>
        <v/>
      </c>
      <c r="CU333" s="536" t="str">
        <f t="shared" si="870"/>
        <v/>
      </c>
      <c r="CV333" s="536" t="str">
        <f t="shared" si="871"/>
        <v/>
      </c>
      <c r="CW333" s="536" t="str">
        <f t="shared" si="872"/>
        <v/>
      </c>
      <c r="CX333" s="535" t="str">
        <f t="shared" si="873"/>
        <v/>
      </c>
      <c r="CY333" s="535" t="str">
        <f t="shared" si="874"/>
        <v/>
      </c>
      <c r="CZ333" s="535" t="str">
        <f t="shared" si="875"/>
        <v/>
      </c>
      <c r="DA333" s="535" t="str">
        <f t="shared" si="876"/>
        <v/>
      </c>
      <c r="DB333" s="535" t="str">
        <f t="shared" si="877"/>
        <v/>
      </c>
      <c r="DC333" s="534" t="str">
        <f t="shared" si="878"/>
        <v/>
      </c>
      <c r="DD333" s="533" t="str">
        <f t="shared" si="879"/>
        <v/>
      </c>
      <c r="DE333" s="635">
        <f t="shared" si="880"/>
        <v>0</v>
      </c>
      <c r="DF333" s="95">
        <f t="shared" si="881"/>
        <v>0</v>
      </c>
      <c r="DG333" s="95">
        <f t="shared" si="882"/>
        <v>0</v>
      </c>
      <c r="DH333" s="95">
        <f t="shared" si="88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858"/>
        <v/>
      </c>
      <c r="CA334" s="582" t="str">
        <f t="shared" si="859"/>
        <v/>
      </c>
      <c r="CB334" s="582" t="str">
        <f t="shared" si="860"/>
        <v/>
      </c>
      <c r="CC334" s="670" t="str">
        <f t="shared" si="861"/>
        <v/>
      </c>
      <c r="CD334" s="988" t="str">
        <f t="shared" si="862"/>
        <v/>
      </c>
      <c r="CE334" s="989" t="str">
        <f t="shared" si="862"/>
        <v/>
      </c>
      <c r="CF334" s="989" t="str">
        <f t="shared" si="862"/>
        <v/>
      </c>
      <c r="CG334" s="989" t="str">
        <f t="shared" si="862"/>
        <v/>
      </c>
      <c r="CH334" s="990" t="str">
        <f t="shared" si="862"/>
        <v/>
      </c>
      <c r="CI334" s="990" t="str">
        <f t="shared" si="862"/>
        <v/>
      </c>
      <c r="CJ334" s="989" t="str">
        <f t="shared" si="862"/>
        <v/>
      </c>
      <c r="CK334" s="989" t="str">
        <f t="shared" si="862"/>
        <v/>
      </c>
      <c r="CL334" s="989" t="str">
        <f t="shared" si="862"/>
        <v/>
      </c>
      <c r="CM334" s="988" t="str">
        <f t="shared" si="862"/>
        <v/>
      </c>
      <c r="CN334" s="533" t="str">
        <f t="shared" si="863"/>
        <v/>
      </c>
      <c r="CO334" s="534" t="str">
        <f t="shared" si="864"/>
        <v/>
      </c>
      <c r="CP334" s="535" t="str">
        <f t="shared" si="865"/>
        <v/>
      </c>
      <c r="CQ334" s="535" t="str">
        <f t="shared" si="866"/>
        <v/>
      </c>
      <c r="CR334" s="535" t="str">
        <f t="shared" si="867"/>
        <v/>
      </c>
      <c r="CS334" s="535" t="str">
        <f t="shared" si="868"/>
        <v/>
      </c>
      <c r="CT334" s="535" t="str">
        <f t="shared" si="869"/>
        <v/>
      </c>
      <c r="CU334" s="536" t="str">
        <f t="shared" si="870"/>
        <v/>
      </c>
      <c r="CV334" s="536" t="str">
        <f t="shared" si="871"/>
        <v/>
      </c>
      <c r="CW334" s="536" t="str">
        <f t="shared" si="872"/>
        <v/>
      </c>
      <c r="CX334" s="535" t="str">
        <f t="shared" si="873"/>
        <v/>
      </c>
      <c r="CY334" s="535" t="str">
        <f t="shared" si="874"/>
        <v/>
      </c>
      <c r="CZ334" s="535" t="str">
        <f t="shared" si="875"/>
        <v/>
      </c>
      <c r="DA334" s="535" t="str">
        <f t="shared" si="876"/>
        <v/>
      </c>
      <c r="DB334" s="535" t="str">
        <f t="shared" si="877"/>
        <v/>
      </c>
      <c r="DC334" s="534" t="str">
        <f t="shared" si="878"/>
        <v/>
      </c>
      <c r="DD334" s="533" t="str">
        <f t="shared" si="879"/>
        <v/>
      </c>
      <c r="DE334" s="635">
        <f t="shared" si="880"/>
        <v>0</v>
      </c>
      <c r="DF334" s="95">
        <f t="shared" si="881"/>
        <v>0</v>
      </c>
      <c r="DG334" s="95">
        <f t="shared" si="882"/>
        <v>0</v>
      </c>
      <c r="DH334" s="95">
        <f t="shared" si="88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858"/>
        <v/>
      </c>
      <c r="CA335" s="582" t="str">
        <f t="shared" si="859"/>
        <v/>
      </c>
      <c r="CB335" s="582" t="str">
        <f t="shared" si="860"/>
        <v/>
      </c>
      <c r="CC335" s="670" t="str">
        <f t="shared" si="861"/>
        <v/>
      </c>
      <c r="CD335" s="988" t="str">
        <f t="shared" si="862"/>
        <v/>
      </c>
      <c r="CE335" s="989" t="str">
        <f t="shared" si="862"/>
        <v/>
      </c>
      <c r="CF335" s="989" t="str">
        <f t="shared" si="862"/>
        <v/>
      </c>
      <c r="CG335" s="989" t="str">
        <f t="shared" si="862"/>
        <v/>
      </c>
      <c r="CH335" s="990" t="str">
        <f t="shared" si="862"/>
        <v/>
      </c>
      <c r="CI335" s="990" t="str">
        <f t="shared" si="862"/>
        <v/>
      </c>
      <c r="CJ335" s="989" t="str">
        <f t="shared" si="862"/>
        <v/>
      </c>
      <c r="CK335" s="989" t="str">
        <f t="shared" si="862"/>
        <v/>
      </c>
      <c r="CL335" s="989" t="str">
        <f t="shared" si="862"/>
        <v/>
      </c>
      <c r="CM335" s="988" t="str">
        <f t="shared" si="862"/>
        <v/>
      </c>
      <c r="CN335" s="533" t="str">
        <f t="shared" si="863"/>
        <v/>
      </c>
      <c r="CO335" s="534" t="str">
        <f t="shared" si="864"/>
        <v/>
      </c>
      <c r="CP335" s="535" t="str">
        <f t="shared" si="865"/>
        <v/>
      </c>
      <c r="CQ335" s="535" t="str">
        <f t="shared" si="866"/>
        <v/>
      </c>
      <c r="CR335" s="535" t="str">
        <f t="shared" si="867"/>
        <v/>
      </c>
      <c r="CS335" s="535" t="str">
        <f t="shared" si="868"/>
        <v/>
      </c>
      <c r="CT335" s="535" t="str">
        <f t="shared" si="869"/>
        <v/>
      </c>
      <c r="CU335" s="536" t="str">
        <f t="shared" si="870"/>
        <v/>
      </c>
      <c r="CV335" s="536" t="str">
        <f t="shared" si="871"/>
        <v/>
      </c>
      <c r="CW335" s="536" t="str">
        <f t="shared" si="872"/>
        <v/>
      </c>
      <c r="CX335" s="535" t="str">
        <f t="shared" si="873"/>
        <v/>
      </c>
      <c r="CY335" s="535" t="str">
        <f t="shared" si="874"/>
        <v/>
      </c>
      <c r="CZ335" s="535" t="str">
        <f t="shared" si="875"/>
        <v/>
      </c>
      <c r="DA335" s="535" t="str">
        <f t="shared" si="876"/>
        <v/>
      </c>
      <c r="DB335" s="535" t="str">
        <f t="shared" si="877"/>
        <v/>
      </c>
      <c r="DC335" s="534" t="str">
        <f t="shared" si="878"/>
        <v/>
      </c>
      <c r="DD335" s="533" t="str">
        <f t="shared" si="879"/>
        <v/>
      </c>
      <c r="DE335" s="635">
        <f t="shared" si="880"/>
        <v>0</v>
      </c>
      <c r="DF335" s="95">
        <f t="shared" si="881"/>
        <v>0</v>
      </c>
      <c r="DG335" s="95">
        <f t="shared" si="882"/>
        <v>0</v>
      </c>
      <c r="DH335" s="95">
        <f t="shared" si="88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858"/>
        <v/>
      </c>
      <c r="CA336" s="582" t="str">
        <f t="shared" si="859"/>
        <v/>
      </c>
      <c r="CB336" s="582" t="str">
        <f t="shared" si="860"/>
        <v/>
      </c>
      <c r="CC336" s="670" t="str">
        <f t="shared" si="861"/>
        <v/>
      </c>
      <c r="CD336" s="988" t="str">
        <f t="shared" si="862"/>
        <v/>
      </c>
      <c r="CE336" s="989" t="str">
        <f t="shared" si="862"/>
        <v/>
      </c>
      <c r="CF336" s="989" t="str">
        <f t="shared" si="862"/>
        <v/>
      </c>
      <c r="CG336" s="989" t="str">
        <f t="shared" si="862"/>
        <v/>
      </c>
      <c r="CH336" s="990" t="str">
        <f t="shared" si="862"/>
        <v/>
      </c>
      <c r="CI336" s="990" t="str">
        <f t="shared" si="862"/>
        <v/>
      </c>
      <c r="CJ336" s="989" t="str">
        <f t="shared" si="862"/>
        <v/>
      </c>
      <c r="CK336" s="989" t="str">
        <f t="shared" si="862"/>
        <v/>
      </c>
      <c r="CL336" s="989" t="str">
        <f t="shared" si="862"/>
        <v/>
      </c>
      <c r="CM336" s="988" t="str">
        <f t="shared" si="862"/>
        <v/>
      </c>
      <c r="CN336" s="533" t="str">
        <f t="shared" si="863"/>
        <v/>
      </c>
      <c r="CO336" s="534" t="str">
        <f t="shared" si="864"/>
        <v/>
      </c>
      <c r="CP336" s="535" t="str">
        <f t="shared" si="865"/>
        <v/>
      </c>
      <c r="CQ336" s="535" t="str">
        <f t="shared" si="866"/>
        <v/>
      </c>
      <c r="CR336" s="535" t="str">
        <f t="shared" si="867"/>
        <v/>
      </c>
      <c r="CS336" s="535" t="str">
        <f t="shared" si="868"/>
        <v/>
      </c>
      <c r="CT336" s="535" t="str">
        <f t="shared" si="869"/>
        <v/>
      </c>
      <c r="CU336" s="536" t="str">
        <f t="shared" si="870"/>
        <v/>
      </c>
      <c r="CV336" s="536" t="str">
        <f t="shared" si="871"/>
        <v/>
      </c>
      <c r="CW336" s="536" t="str">
        <f t="shared" si="872"/>
        <v/>
      </c>
      <c r="CX336" s="535" t="str">
        <f t="shared" si="873"/>
        <v/>
      </c>
      <c r="CY336" s="535" t="str">
        <f t="shared" si="874"/>
        <v/>
      </c>
      <c r="CZ336" s="535" t="str">
        <f t="shared" si="875"/>
        <v/>
      </c>
      <c r="DA336" s="535" t="str">
        <f t="shared" si="876"/>
        <v/>
      </c>
      <c r="DB336" s="535" t="str">
        <f t="shared" si="877"/>
        <v/>
      </c>
      <c r="DC336" s="534" t="str">
        <f t="shared" si="878"/>
        <v/>
      </c>
      <c r="DD336" s="533" t="str">
        <f t="shared" si="879"/>
        <v/>
      </c>
      <c r="DE336" s="635">
        <f t="shared" si="880"/>
        <v>0</v>
      </c>
      <c r="DF336" s="95">
        <f t="shared" si="881"/>
        <v>0</v>
      </c>
      <c r="DG336" s="95">
        <f t="shared" si="882"/>
        <v>0</v>
      </c>
      <c r="DH336" s="95">
        <f t="shared" si="88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888">IF(B335="","",B335*B336)</f>
        <v/>
      </c>
      <c r="C337" s="612" t="str">
        <f t="shared" si="888"/>
        <v/>
      </c>
      <c r="D337" s="612" t="str">
        <f t="shared" si="888"/>
        <v/>
      </c>
      <c r="E337" s="612" t="str">
        <f t="shared" si="888"/>
        <v/>
      </c>
      <c r="F337" s="612" t="str">
        <f t="shared" si="888"/>
        <v/>
      </c>
      <c r="G337" s="612" t="str">
        <f t="shared" si="888"/>
        <v/>
      </c>
      <c r="H337" s="612" t="str">
        <f t="shared" si="888"/>
        <v/>
      </c>
      <c r="I337" s="612" t="str">
        <f t="shared" si="888"/>
        <v/>
      </c>
      <c r="J337" s="612" t="str">
        <f t="shared" si="888"/>
        <v/>
      </c>
      <c r="K337" s="612" t="str">
        <f t="shared" si="88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889">IF(T335="","",T335*T336)</f>
        <v/>
      </c>
      <c r="U337" s="612" t="str">
        <f t="shared" si="889"/>
        <v/>
      </c>
      <c r="V337" s="612" t="str">
        <f t="shared" si="889"/>
        <v/>
      </c>
      <c r="W337" s="612" t="str">
        <f t="shared" si="889"/>
        <v/>
      </c>
      <c r="X337" s="612" t="str">
        <f t="shared" si="889"/>
        <v/>
      </c>
      <c r="Y337" s="612" t="str">
        <f t="shared" si="889"/>
        <v/>
      </c>
      <c r="Z337" s="612" t="str">
        <f t="shared" si="889"/>
        <v/>
      </c>
      <c r="AA337" s="612" t="str">
        <f t="shared" si="889"/>
        <v/>
      </c>
      <c r="AB337" s="612" t="str">
        <f t="shared" si="889"/>
        <v/>
      </c>
      <c r="AC337" s="612" t="str">
        <f t="shared" si="88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890">IF(AL335="","",AL335*AL336)</f>
        <v/>
      </c>
      <c r="AM337" s="612" t="str">
        <f t="shared" si="890"/>
        <v/>
      </c>
      <c r="AN337" s="612" t="str">
        <f t="shared" si="890"/>
        <v/>
      </c>
      <c r="AO337" s="612" t="str">
        <f t="shared" si="890"/>
        <v/>
      </c>
      <c r="AP337" s="612" t="str">
        <f t="shared" si="890"/>
        <v/>
      </c>
      <c r="AQ337" s="612" t="str">
        <f t="shared" si="890"/>
        <v/>
      </c>
      <c r="AR337" s="612" t="str">
        <f t="shared" si="890"/>
        <v/>
      </c>
      <c r="AS337" s="612" t="str">
        <f t="shared" si="890"/>
        <v/>
      </c>
      <c r="AT337" s="612" t="str">
        <f t="shared" si="890"/>
        <v/>
      </c>
      <c r="AU337" s="612" t="str">
        <f t="shared" si="89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891">IF(BD335="","",BD335*BD336)</f>
        <v/>
      </c>
      <c r="BE337" s="1201" t="str">
        <f t="shared" si="891"/>
        <v/>
      </c>
      <c r="BF337" s="1201" t="str">
        <f t="shared" si="891"/>
        <v/>
      </c>
      <c r="BG337" s="1201" t="str">
        <f t="shared" si="891"/>
        <v/>
      </c>
      <c r="BH337" s="1201" t="str">
        <f t="shared" si="891"/>
        <v/>
      </c>
      <c r="BI337" s="1201" t="str">
        <f t="shared" si="891"/>
        <v/>
      </c>
      <c r="BJ337" s="1201" t="str">
        <f t="shared" si="891"/>
        <v/>
      </c>
      <c r="BK337" s="1201" t="str">
        <f t="shared" si="891"/>
        <v/>
      </c>
      <c r="BL337" s="1201" t="str">
        <f t="shared" si="891"/>
        <v/>
      </c>
      <c r="BM337" s="1201" t="str">
        <f t="shared" si="89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858"/>
        <v/>
      </c>
      <c r="CA337" s="582" t="str">
        <f t="shared" si="859"/>
        <v/>
      </c>
      <c r="CB337" s="582" t="str">
        <f t="shared" si="860"/>
        <v/>
      </c>
      <c r="CC337" s="670" t="str">
        <f t="shared" si="861"/>
        <v/>
      </c>
      <c r="CD337" s="988" t="str">
        <f t="shared" si="862"/>
        <v/>
      </c>
      <c r="CE337" s="989" t="str">
        <f t="shared" si="862"/>
        <v/>
      </c>
      <c r="CF337" s="989" t="str">
        <f t="shared" si="862"/>
        <v/>
      </c>
      <c r="CG337" s="989" t="str">
        <f t="shared" si="862"/>
        <v/>
      </c>
      <c r="CH337" s="990" t="str">
        <f t="shared" si="862"/>
        <v/>
      </c>
      <c r="CI337" s="990" t="str">
        <f t="shared" si="862"/>
        <v/>
      </c>
      <c r="CJ337" s="989" t="str">
        <f t="shared" si="862"/>
        <v/>
      </c>
      <c r="CK337" s="989" t="str">
        <f t="shared" si="862"/>
        <v/>
      </c>
      <c r="CL337" s="989" t="str">
        <f t="shared" si="862"/>
        <v/>
      </c>
      <c r="CM337" s="988" t="str">
        <f t="shared" si="862"/>
        <v/>
      </c>
      <c r="CN337" s="533" t="str">
        <f t="shared" si="863"/>
        <v/>
      </c>
      <c r="CO337" s="534" t="str">
        <f t="shared" si="864"/>
        <v/>
      </c>
      <c r="CP337" s="535" t="str">
        <f t="shared" si="865"/>
        <v/>
      </c>
      <c r="CQ337" s="535" t="str">
        <f t="shared" si="866"/>
        <v/>
      </c>
      <c r="CR337" s="535" t="str">
        <f t="shared" si="867"/>
        <v/>
      </c>
      <c r="CS337" s="535" t="str">
        <f t="shared" si="868"/>
        <v/>
      </c>
      <c r="CT337" s="535" t="str">
        <f t="shared" si="869"/>
        <v/>
      </c>
      <c r="CU337" s="536" t="str">
        <f t="shared" si="870"/>
        <v/>
      </c>
      <c r="CV337" s="536" t="str">
        <f t="shared" si="871"/>
        <v/>
      </c>
      <c r="CW337" s="536" t="str">
        <f t="shared" si="872"/>
        <v/>
      </c>
      <c r="CX337" s="535" t="str">
        <f t="shared" si="873"/>
        <v/>
      </c>
      <c r="CY337" s="535" t="str">
        <f t="shared" si="874"/>
        <v/>
      </c>
      <c r="CZ337" s="535" t="str">
        <f t="shared" si="875"/>
        <v/>
      </c>
      <c r="DA337" s="535" t="str">
        <f t="shared" si="876"/>
        <v/>
      </c>
      <c r="DB337" s="535" t="str">
        <f t="shared" si="877"/>
        <v/>
      </c>
      <c r="DC337" s="534" t="str">
        <f t="shared" si="878"/>
        <v/>
      </c>
      <c r="DD337" s="533" t="str">
        <f t="shared" si="879"/>
        <v/>
      </c>
      <c r="DE337" s="635">
        <f t="shared" si="880"/>
        <v>0</v>
      </c>
      <c r="DF337" s="95">
        <f t="shared" si="881"/>
        <v>0</v>
      </c>
      <c r="DG337" s="95">
        <f t="shared" si="882"/>
        <v>0</v>
      </c>
      <c r="DH337" s="95">
        <f t="shared" si="88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858"/>
        <v/>
      </c>
      <c r="CA338" s="582" t="str">
        <f t="shared" si="859"/>
        <v/>
      </c>
      <c r="CB338" s="582" t="str">
        <f t="shared" si="860"/>
        <v/>
      </c>
      <c r="CC338" s="670" t="str">
        <f t="shared" si="861"/>
        <v/>
      </c>
      <c r="CD338" s="988" t="str">
        <f t="shared" si="862"/>
        <v/>
      </c>
      <c r="CE338" s="989" t="str">
        <f t="shared" si="862"/>
        <v/>
      </c>
      <c r="CF338" s="989" t="str">
        <f t="shared" si="862"/>
        <v/>
      </c>
      <c r="CG338" s="989" t="str">
        <f t="shared" si="862"/>
        <v/>
      </c>
      <c r="CH338" s="990" t="str">
        <f t="shared" si="862"/>
        <v/>
      </c>
      <c r="CI338" s="990" t="str">
        <f t="shared" si="862"/>
        <v/>
      </c>
      <c r="CJ338" s="989" t="str">
        <f t="shared" si="862"/>
        <v/>
      </c>
      <c r="CK338" s="989" t="str">
        <f t="shared" si="862"/>
        <v/>
      </c>
      <c r="CL338" s="989" t="str">
        <f t="shared" si="862"/>
        <v/>
      </c>
      <c r="CM338" s="988" t="str">
        <f t="shared" si="862"/>
        <v/>
      </c>
      <c r="CN338" s="533" t="str">
        <f t="shared" si="863"/>
        <v/>
      </c>
      <c r="CO338" s="534" t="str">
        <f t="shared" si="864"/>
        <v/>
      </c>
      <c r="CP338" s="535" t="str">
        <f t="shared" si="865"/>
        <v/>
      </c>
      <c r="CQ338" s="535" t="str">
        <f t="shared" si="866"/>
        <v/>
      </c>
      <c r="CR338" s="535" t="str">
        <f t="shared" si="867"/>
        <v/>
      </c>
      <c r="CS338" s="535" t="str">
        <f t="shared" si="868"/>
        <v/>
      </c>
      <c r="CT338" s="535" t="str">
        <f t="shared" si="869"/>
        <v/>
      </c>
      <c r="CU338" s="536" t="str">
        <f t="shared" si="870"/>
        <v/>
      </c>
      <c r="CV338" s="536" t="str">
        <f t="shared" si="871"/>
        <v/>
      </c>
      <c r="CW338" s="536" t="str">
        <f t="shared" si="872"/>
        <v/>
      </c>
      <c r="CX338" s="535" t="str">
        <f t="shared" si="873"/>
        <v/>
      </c>
      <c r="CY338" s="535" t="str">
        <f t="shared" si="874"/>
        <v/>
      </c>
      <c r="CZ338" s="535" t="str">
        <f t="shared" si="875"/>
        <v/>
      </c>
      <c r="DA338" s="535" t="str">
        <f t="shared" si="876"/>
        <v/>
      </c>
      <c r="DB338" s="535" t="str">
        <f t="shared" si="877"/>
        <v/>
      </c>
      <c r="DC338" s="534" t="str">
        <f t="shared" si="878"/>
        <v/>
      </c>
      <c r="DD338" s="533" t="str">
        <f t="shared" si="879"/>
        <v/>
      </c>
      <c r="DE338" s="635">
        <f t="shared" si="880"/>
        <v>0</v>
      </c>
      <c r="DF338" s="95">
        <f t="shared" si="881"/>
        <v>0</v>
      </c>
      <c r="DG338" s="95">
        <f t="shared" si="882"/>
        <v>0</v>
      </c>
      <c r="DH338" s="95">
        <f t="shared" si="88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892">IF(B333="","",(B333-B335-B338)*B334/B$46/365/$G$1)</f>
        <v/>
      </c>
      <c r="C339" s="615" t="str">
        <f t="shared" si="892"/>
        <v/>
      </c>
      <c r="D339" s="615" t="str">
        <f t="shared" si="892"/>
        <v/>
      </c>
      <c r="E339" s="615" t="str">
        <f t="shared" si="892"/>
        <v/>
      </c>
      <c r="F339" s="615" t="str">
        <f t="shared" si="892"/>
        <v/>
      </c>
      <c r="G339" s="615" t="str">
        <f t="shared" si="892"/>
        <v/>
      </c>
      <c r="H339" s="615" t="str">
        <f t="shared" si="892"/>
        <v/>
      </c>
      <c r="I339" s="615" t="str">
        <f t="shared" si="892"/>
        <v/>
      </c>
      <c r="J339" s="615" t="str">
        <f t="shared" si="892"/>
        <v/>
      </c>
      <c r="K339" s="615" t="str">
        <f t="shared" si="89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893">IF(T333="","",(T333-T335-T338)*T334/T$46/365/$G$1)</f>
        <v/>
      </c>
      <c r="U339" s="615" t="str">
        <f t="shared" si="893"/>
        <v/>
      </c>
      <c r="V339" s="615" t="str">
        <f t="shared" si="893"/>
        <v/>
      </c>
      <c r="W339" s="615" t="str">
        <f t="shared" si="893"/>
        <v/>
      </c>
      <c r="X339" s="615" t="str">
        <f t="shared" si="893"/>
        <v/>
      </c>
      <c r="Y339" s="615" t="str">
        <f t="shared" si="893"/>
        <v/>
      </c>
      <c r="Z339" s="615" t="str">
        <f t="shared" si="893"/>
        <v/>
      </c>
      <c r="AA339" s="615" t="str">
        <f t="shared" si="893"/>
        <v/>
      </c>
      <c r="AB339" s="615" t="str">
        <f t="shared" si="893"/>
        <v/>
      </c>
      <c r="AC339" s="615" t="str">
        <f t="shared" si="89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894">IF(AL333="","",(AL333-AL335-AL338)*AL334/AL$46/365/$G$1)</f>
        <v/>
      </c>
      <c r="AM339" s="615" t="str">
        <f t="shared" si="894"/>
        <v/>
      </c>
      <c r="AN339" s="615" t="str">
        <f t="shared" si="894"/>
        <v/>
      </c>
      <c r="AO339" s="615" t="str">
        <f t="shared" si="894"/>
        <v/>
      </c>
      <c r="AP339" s="615" t="str">
        <f t="shared" si="894"/>
        <v/>
      </c>
      <c r="AQ339" s="615" t="str">
        <f t="shared" si="894"/>
        <v/>
      </c>
      <c r="AR339" s="615" t="str">
        <f t="shared" si="894"/>
        <v/>
      </c>
      <c r="AS339" s="615" t="str">
        <f t="shared" si="894"/>
        <v/>
      </c>
      <c r="AT339" s="615" t="str">
        <f t="shared" si="894"/>
        <v/>
      </c>
      <c r="AU339" s="615" t="str">
        <f t="shared" si="89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895">IF(BD333="","",(BD333-BD335-BD338)*BD334/BD$46/365/$G$1)</f>
        <v/>
      </c>
      <c r="BE339" s="1202" t="str">
        <f t="shared" si="895"/>
        <v/>
      </c>
      <c r="BF339" s="1202" t="str">
        <f t="shared" si="895"/>
        <v/>
      </c>
      <c r="BG339" s="1202" t="str">
        <f t="shared" si="895"/>
        <v/>
      </c>
      <c r="BH339" s="1202" t="str">
        <f t="shared" si="895"/>
        <v/>
      </c>
      <c r="BI339" s="1202" t="str">
        <f t="shared" si="895"/>
        <v/>
      </c>
      <c r="BJ339" s="1202" t="str">
        <f t="shared" si="895"/>
        <v/>
      </c>
      <c r="BK339" s="1202" t="str">
        <f t="shared" si="895"/>
        <v/>
      </c>
      <c r="BL339" s="1202" t="str">
        <f t="shared" si="895"/>
        <v/>
      </c>
      <c r="BM339" s="1202" t="str">
        <f t="shared" si="89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858"/>
        <v/>
      </c>
      <c r="CA339" s="607" t="str">
        <f t="shared" si="859"/>
        <v/>
      </c>
      <c r="CB339" s="607" t="str">
        <f t="shared" si="860"/>
        <v/>
      </c>
      <c r="CC339" s="673" t="str">
        <f t="shared" si="86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89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896"/>
        <v/>
      </c>
      <c r="CG339" s="992" t="str">
        <f t="shared" si="896"/>
        <v/>
      </c>
      <c r="CH339" s="993" t="str">
        <f t="shared" si="896"/>
        <v/>
      </c>
      <c r="CI339" s="993" t="str">
        <f t="shared" si="896"/>
        <v/>
      </c>
      <c r="CJ339" s="992" t="str">
        <f t="shared" si="896"/>
        <v/>
      </c>
      <c r="CK339" s="992" t="str">
        <f t="shared" si="896"/>
        <v/>
      </c>
      <c r="CL339" s="992" t="str">
        <f t="shared" si="896"/>
        <v/>
      </c>
      <c r="CM339" s="991" t="str">
        <f t="shared" si="896"/>
        <v/>
      </c>
      <c r="CN339" s="521" t="str">
        <f t="shared" si="863"/>
        <v/>
      </c>
      <c r="CO339" s="522" t="str">
        <f t="shared" si="864"/>
        <v/>
      </c>
      <c r="CP339" s="523" t="str">
        <f t="shared" si="865"/>
        <v/>
      </c>
      <c r="CQ339" s="523" t="str">
        <f t="shared" si="866"/>
        <v/>
      </c>
      <c r="CR339" s="523" t="str">
        <f t="shared" si="867"/>
        <v/>
      </c>
      <c r="CS339" s="523" t="str">
        <f t="shared" si="868"/>
        <v/>
      </c>
      <c r="CT339" s="523" t="str">
        <f t="shared" si="869"/>
        <v/>
      </c>
      <c r="CU339" s="524" t="str">
        <f t="shared" si="870"/>
        <v/>
      </c>
      <c r="CV339" s="524" t="str">
        <f t="shared" si="871"/>
        <v/>
      </c>
      <c r="CW339" s="524" t="str">
        <f t="shared" si="872"/>
        <v/>
      </c>
      <c r="CX339" s="523" t="str">
        <f t="shared" si="873"/>
        <v/>
      </c>
      <c r="CY339" s="523" t="str">
        <f t="shared" si="874"/>
        <v/>
      </c>
      <c r="CZ339" s="523" t="str">
        <f t="shared" si="875"/>
        <v/>
      </c>
      <c r="DA339" s="523" t="str">
        <f t="shared" si="876"/>
        <v/>
      </c>
      <c r="DB339" s="523" t="str">
        <f t="shared" si="877"/>
        <v/>
      </c>
      <c r="DC339" s="522" t="str">
        <f t="shared" si="878"/>
        <v/>
      </c>
      <c r="DD339" s="521" t="str">
        <f t="shared" si="879"/>
        <v/>
      </c>
      <c r="DE339" s="635">
        <f t="shared" si="880"/>
        <v>0</v>
      </c>
      <c r="DF339" s="95">
        <f t="shared" si="881"/>
        <v>0</v>
      </c>
      <c r="DG339" s="95">
        <f t="shared" si="882"/>
        <v>0</v>
      </c>
      <c r="DH339" s="95">
        <f t="shared" si="88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858"/>
        <v/>
      </c>
      <c r="CA340" s="582" t="str">
        <f t="shared" si="859"/>
        <v/>
      </c>
      <c r="CB340" s="582" t="str">
        <f t="shared" si="860"/>
        <v/>
      </c>
      <c r="CC340" s="670" t="str">
        <f t="shared" si="86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896"/>
        <v/>
      </c>
      <c r="CF340" s="989" t="str">
        <f t="shared" si="896"/>
        <v/>
      </c>
      <c r="CG340" s="989" t="str">
        <f t="shared" si="896"/>
        <v/>
      </c>
      <c r="CH340" s="990" t="str">
        <f t="shared" si="896"/>
        <v/>
      </c>
      <c r="CI340" s="990" t="str">
        <f t="shared" si="896"/>
        <v/>
      </c>
      <c r="CJ340" s="989" t="str">
        <f t="shared" si="896"/>
        <v/>
      </c>
      <c r="CK340" s="989" t="str">
        <f t="shared" si="896"/>
        <v/>
      </c>
      <c r="CL340" s="989" t="str">
        <f t="shared" si="896"/>
        <v/>
      </c>
      <c r="CM340" s="988" t="str">
        <f t="shared" si="896"/>
        <v/>
      </c>
      <c r="CN340" s="533" t="str">
        <f t="shared" si="863"/>
        <v/>
      </c>
      <c r="CO340" s="534" t="str">
        <f t="shared" si="864"/>
        <v/>
      </c>
      <c r="CP340" s="535" t="str">
        <f t="shared" si="865"/>
        <v/>
      </c>
      <c r="CQ340" s="535" t="str">
        <f t="shared" si="866"/>
        <v/>
      </c>
      <c r="CR340" s="535" t="str">
        <f t="shared" si="867"/>
        <v/>
      </c>
      <c r="CS340" s="535" t="str">
        <f t="shared" si="868"/>
        <v/>
      </c>
      <c r="CT340" s="535" t="str">
        <f t="shared" si="869"/>
        <v/>
      </c>
      <c r="CU340" s="536" t="str">
        <f t="shared" si="870"/>
        <v/>
      </c>
      <c r="CV340" s="536" t="str">
        <f t="shared" si="871"/>
        <v/>
      </c>
      <c r="CW340" s="536" t="str">
        <f t="shared" si="872"/>
        <v/>
      </c>
      <c r="CX340" s="535" t="str">
        <f t="shared" si="873"/>
        <v/>
      </c>
      <c r="CY340" s="535" t="str">
        <f t="shared" si="874"/>
        <v/>
      </c>
      <c r="CZ340" s="535" t="str">
        <f t="shared" si="875"/>
        <v/>
      </c>
      <c r="DA340" s="535" t="str">
        <f t="shared" si="876"/>
        <v/>
      </c>
      <c r="DB340" s="535" t="str">
        <f t="shared" si="877"/>
        <v/>
      </c>
      <c r="DC340" s="534" t="str">
        <f t="shared" si="878"/>
        <v/>
      </c>
      <c r="DD340" s="533" t="str">
        <f t="shared" si="879"/>
        <v/>
      </c>
      <c r="DE340" s="635">
        <f t="shared" si="880"/>
        <v>0</v>
      </c>
      <c r="DF340" s="95">
        <f t="shared" si="881"/>
        <v>0</v>
      </c>
      <c r="DG340" s="95">
        <f t="shared" si="882"/>
        <v>0</v>
      </c>
      <c r="DH340" s="95">
        <f t="shared" si="88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897">IF(DE342&lt;3,"",(SUM(B342:R342)-MIN(B342:R342)-MAX(B342:R342))/(DE342-2))</f>
        <v/>
      </c>
      <c r="CA342" s="582" t="str">
        <f t="shared" ref="CA342:CA350" si="898">IF(DF342&lt;3,"",(SUM(T342:AJ342)-MIN(T342:AJ342)-MAX(T342:AJ342))/(DF342-2))</f>
        <v/>
      </c>
      <c r="CB342" s="582" t="str">
        <f t="shared" ref="CB342:CB350" si="899">IF(DG342&lt;3,"",(SUM(AL342:BB342)-MIN(AL342:BB342)-MAX(AL342:BB342))/(DG342-2))</f>
        <v/>
      </c>
      <c r="CC342" s="670" t="str">
        <f t="shared" ref="CC342:CC350" si="900">IF(DH342&lt;3,"",(SUM(BD342:BT342)-MIN(BD342:BT342)-MAX(BD342:BT342))/(DH342-2))</f>
        <v/>
      </c>
      <c r="CD342" s="988" t="str">
        <f t="shared" ref="CD342:CM348" si="90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01"/>
        <v/>
      </c>
      <c r="CF342" s="989" t="str">
        <f t="shared" si="901"/>
        <v/>
      </c>
      <c r="CG342" s="989" t="str">
        <f t="shared" si="901"/>
        <v/>
      </c>
      <c r="CH342" s="990" t="str">
        <f t="shared" si="901"/>
        <v/>
      </c>
      <c r="CI342" s="990" t="str">
        <f t="shared" si="901"/>
        <v/>
      </c>
      <c r="CJ342" s="989" t="str">
        <f t="shared" si="901"/>
        <v/>
      </c>
      <c r="CK342" s="989" t="str">
        <f t="shared" si="901"/>
        <v/>
      </c>
      <c r="CL342" s="989" t="str">
        <f t="shared" si="901"/>
        <v/>
      </c>
      <c r="CM342" s="988" t="str">
        <f t="shared" si="901"/>
        <v/>
      </c>
      <c r="CN342" s="533" t="str">
        <f t="shared" ref="CN342:CN350" si="90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0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0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0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0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0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0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1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1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1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1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1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1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1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1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19">COUNT(B342:R342)</f>
        <v>0</v>
      </c>
      <c r="DF342" s="95">
        <f t="shared" ref="DF342:DF350" si="920">COUNT(T342:AJ342)</f>
        <v>0</v>
      </c>
      <c r="DG342" s="95">
        <f t="shared" ref="DG342:DG350" si="921">COUNT(AL342:BB342)</f>
        <v>0</v>
      </c>
      <c r="DH342" s="95">
        <f t="shared" ref="DH342:DH350" si="92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923">IF(B340="","",B340*B342)</f>
        <v/>
      </c>
      <c r="C343" s="612" t="str">
        <f t="shared" si="923"/>
        <v/>
      </c>
      <c r="D343" s="612" t="str">
        <f t="shared" si="923"/>
        <v/>
      </c>
      <c r="E343" s="612" t="str">
        <f t="shared" si="923"/>
        <v/>
      </c>
      <c r="F343" s="612" t="str">
        <f t="shared" si="923"/>
        <v/>
      </c>
      <c r="G343" s="612" t="str">
        <f t="shared" si="923"/>
        <v/>
      </c>
      <c r="H343" s="612" t="str">
        <f t="shared" si="923"/>
        <v/>
      </c>
      <c r="I343" s="612" t="str">
        <f t="shared" si="923"/>
        <v/>
      </c>
      <c r="J343" s="612" t="str">
        <f t="shared" si="923"/>
        <v/>
      </c>
      <c r="K343" s="612" t="str">
        <f t="shared" si="92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924">IF(T340="","",T340*T342)</f>
        <v/>
      </c>
      <c r="U343" s="612" t="str">
        <f t="shared" si="924"/>
        <v/>
      </c>
      <c r="V343" s="612" t="str">
        <f t="shared" si="924"/>
        <v/>
      </c>
      <c r="W343" s="612" t="str">
        <f t="shared" si="924"/>
        <v/>
      </c>
      <c r="X343" s="612" t="str">
        <f t="shared" si="924"/>
        <v/>
      </c>
      <c r="Y343" s="612" t="str">
        <f t="shared" si="924"/>
        <v/>
      </c>
      <c r="Z343" s="612" t="str">
        <f t="shared" si="924"/>
        <v/>
      </c>
      <c r="AA343" s="612" t="str">
        <f t="shared" si="924"/>
        <v/>
      </c>
      <c r="AB343" s="612" t="str">
        <f t="shared" si="924"/>
        <v/>
      </c>
      <c r="AC343" s="612" t="str">
        <f t="shared" si="92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925">IF(AL340="","",AL340*AL342)</f>
        <v/>
      </c>
      <c r="AM343" s="612" t="str">
        <f t="shared" si="925"/>
        <v/>
      </c>
      <c r="AN343" s="612" t="str">
        <f t="shared" si="925"/>
        <v/>
      </c>
      <c r="AO343" s="612" t="str">
        <f t="shared" si="925"/>
        <v/>
      </c>
      <c r="AP343" s="612" t="str">
        <f t="shared" si="925"/>
        <v/>
      </c>
      <c r="AQ343" s="612" t="str">
        <f t="shared" si="925"/>
        <v/>
      </c>
      <c r="AR343" s="612" t="str">
        <f t="shared" si="925"/>
        <v/>
      </c>
      <c r="AS343" s="612" t="str">
        <f t="shared" si="925"/>
        <v/>
      </c>
      <c r="AT343" s="612" t="str">
        <f t="shared" si="925"/>
        <v/>
      </c>
      <c r="AU343" s="612" t="str">
        <f t="shared" si="92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926">IF(BD340="","",BD340*BD342)</f>
        <v/>
      </c>
      <c r="BE343" s="1201" t="str">
        <f t="shared" si="926"/>
        <v/>
      </c>
      <c r="BF343" s="1201" t="str">
        <f t="shared" si="926"/>
        <v/>
      </c>
      <c r="BG343" s="1201" t="str">
        <f t="shared" si="926"/>
        <v/>
      </c>
      <c r="BH343" s="1201" t="str">
        <f t="shared" si="926"/>
        <v/>
      </c>
      <c r="BI343" s="1201" t="str">
        <f t="shared" si="926"/>
        <v/>
      </c>
      <c r="BJ343" s="1201" t="str">
        <f t="shared" si="926"/>
        <v/>
      </c>
      <c r="BK343" s="1201" t="str">
        <f t="shared" si="926"/>
        <v/>
      </c>
      <c r="BL343" s="1201" t="str">
        <f t="shared" si="926"/>
        <v/>
      </c>
      <c r="BM343" s="1201" t="str">
        <f t="shared" si="92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897"/>
        <v/>
      </c>
      <c r="CA343" s="582" t="str">
        <f t="shared" si="898"/>
        <v/>
      </c>
      <c r="CB343" s="582" t="str">
        <f t="shared" si="899"/>
        <v/>
      </c>
      <c r="CC343" s="670" t="str">
        <f t="shared" si="900"/>
        <v/>
      </c>
      <c r="CD343" s="988" t="str">
        <f t="shared" si="901"/>
        <v/>
      </c>
      <c r="CE343" s="989" t="str">
        <f t="shared" si="901"/>
        <v/>
      </c>
      <c r="CF343" s="989" t="str">
        <f t="shared" si="901"/>
        <v/>
      </c>
      <c r="CG343" s="989" t="str">
        <f t="shared" si="901"/>
        <v/>
      </c>
      <c r="CH343" s="990" t="str">
        <f t="shared" si="901"/>
        <v/>
      </c>
      <c r="CI343" s="990" t="str">
        <f t="shared" si="901"/>
        <v/>
      </c>
      <c r="CJ343" s="989" t="str">
        <f t="shared" si="901"/>
        <v/>
      </c>
      <c r="CK343" s="989" t="str">
        <f t="shared" si="901"/>
        <v/>
      </c>
      <c r="CL343" s="989" t="str">
        <f t="shared" si="901"/>
        <v/>
      </c>
      <c r="CM343" s="988" t="str">
        <f t="shared" si="901"/>
        <v/>
      </c>
      <c r="CN343" s="533" t="str">
        <f t="shared" si="902"/>
        <v/>
      </c>
      <c r="CO343" s="534" t="str">
        <f t="shared" si="903"/>
        <v/>
      </c>
      <c r="CP343" s="535" t="str">
        <f t="shared" si="904"/>
        <v/>
      </c>
      <c r="CQ343" s="535" t="str">
        <f t="shared" si="905"/>
        <v/>
      </c>
      <c r="CR343" s="535" t="str">
        <f t="shared" si="906"/>
        <v/>
      </c>
      <c r="CS343" s="535" t="str">
        <f t="shared" si="907"/>
        <v/>
      </c>
      <c r="CT343" s="535" t="str">
        <f t="shared" si="908"/>
        <v/>
      </c>
      <c r="CU343" s="536" t="str">
        <f t="shared" si="909"/>
        <v/>
      </c>
      <c r="CV343" s="536" t="str">
        <f t="shared" si="910"/>
        <v/>
      </c>
      <c r="CW343" s="536" t="str">
        <f t="shared" si="911"/>
        <v/>
      </c>
      <c r="CX343" s="535" t="str">
        <f t="shared" si="912"/>
        <v/>
      </c>
      <c r="CY343" s="535" t="str">
        <f t="shared" si="913"/>
        <v/>
      </c>
      <c r="CZ343" s="535" t="str">
        <f t="shared" si="914"/>
        <v/>
      </c>
      <c r="DA343" s="535" t="str">
        <f t="shared" si="915"/>
        <v/>
      </c>
      <c r="DB343" s="535" t="str">
        <f t="shared" si="916"/>
        <v/>
      </c>
      <c r="DC343" s="534" t="str">
        <f t="shared" si="917"/>
        <v/>
      </c>
      <c r="DD343" s="533" t="str">
        <f t="shared" si="918"/>
        <v/>
      </c>
      <c r="DE343" s="635">
        <f t="shared" si="919"/>
        <v>0</v>
      </c>
      <c r="DF343" s="95">
        <f t="shared" si="920"/>
        <v>0</v>
      </c>
      <c r="DG343" s="95">
        <f t="shared" si="921"/>
        <v>0</v>
      </c>
      <c r="DH343" s="95">
        <f t="shared" si="92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927">5790*$K$1</f>
        <v>24241.572</v>
      </c>
      <c r="D344" s="683">
        <f t="shared" si="927"/>
        <v>24241.572</v>
      </c>
      <c r="E344" s="683">
        <f t="shared" si="927"/>
        <v>24241.572</v>
      </c>
      <c r="F344" s="683">
        <f t="shared" si="927"/>
        <v>24241.572</v>
      </c>
      <c r="G344" s="683">
        <f t="shared" si="927"/>
        <v>24241.572</v>
      </c>
      <c r="H344" s="683">
        <f t="shared" si="927"/>
        <v>24241.572</v>
      </c>
      <c r="I344" s="683">
        <f t="shared" si="927"/>
        <v>24241.572</v>
      </c>
      <c r="J344" s="683">
        <f t="shared" si="927"/>
        <v>24241.572</v>
      </c>
      <c r="K344" s="683">
        <f t="shared" si="92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928">5790*$K$1</f>
        <v>24241.572</v>
      </c>
      <c r="V344" s="683">
        <f t="shared" si="928"/>
        <v>24241.572</v>
      </c>
      <c r="W344" s="683">
        <f t="shared" si="928"/>
        <v>24241.572</v>
      </c>
      <c r="X344" s="683">
        <f t="shared" si="928"/>
        <v>24241.572</v>
      </c>
      <c r="Y344" s="683">
        <f t="shared" si="928"/>
        <v>24241.572</v>
      </c>
      <c r="Z344" s="683">
        <f t="shared" si="928"/>
        <v>24241.572</v>
      </c>
      <c r="AA344" s="683">
        <f t="shared" si="928"/>
        <v>24241.572</v>
      </c>
      <c r="AB344" s="683">
        <f t="shared" si="928"/>
        <v>24241.572</v>
      </c>
      <c r="AC344" s="683">
        <f t="shared" si="92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929">5790*$K$1</f>
        <v>24241.572</v>
      </c>
      <c r="AN344" s="683">
        <f t="shared" si="929"/>
        <v>24241.572</v>
      </c>
      <c r="AO344" s="683">
        <f t="shared" si="929"/>
        <v>24241.572</v>
      </c>
      <c r="AP344" s="683">
        <f t="shared" si="929"/>
        <v>24241.572</v>
      </c>
      <c r="AQ344" s="683">
        <f t="shared" si="929"/>
        <v>24241.572</v>
      </c>
      <c r="AR344" s="683">
        <f t="shared" si="929"/>
        <v>24241.572</v>
      </c>
      <c r="AS344" s="683">
        <f t="shared" si="929"/>
        <v>24241.572</v>
      </c>
      <c r="AT344" s="683">
        <f t="shared" si="929"/>
        <v>24241.572</v>
      </c>
      <c r="AU344" s="683">
        <f t="shared" si="92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930">5790*$K$1</f>
        <v>24241.572</v>
      </c>
      <c r="BF344" s="1225">
        <f t="shared" si="930"/>
        <v>24241.572</v>
      </c>
      <c r="BG344" s="1225">
        <f t="shared" si="930"/>
        <v>24241.572</v>
      </c>
      <c r="BH344" s="1225">
        <f t="shared" si="930"/>
        <v>24241.572</v>
      </c>
      <c r="BI344" s="1225">
        <f t="shared" si="930"/>
        <v>24241.572</v>
      </c>
      <c r="BJ344" s="1225">
        <f t="shared" si="930"/>
        <v>24241.572</v>
      </c>
      <c r="BK344" s="1225">
        <f t="shared" si="930"/>
        <v>24241.572</v>
      </c>
      <c r="BL344" s="1225">
        <f t="shared" si="930"/>
        <v>24241.572</v>
      </c>
      <c r="BM344" s="1225">
        <f t="shared" si="93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>5790*$K$1</f>
        <v>24241.572</v>
      </c>
      <c r="BW344" s="683">
        <f>5790*$K$1</f>
        <v>24241.572</v>
      </c>
      <c r="BX344" s="683">
        <f>5790*$K$1</f>
        <v>24241.572</v>
      </c>
      <c r="BY344" s="683">
        <f>5790*$K$1</f>
        <v>24241.572</v>
      </c>
      <c r="BZ344" s="582">
        <f t="shared" si="897"/>
        <v>24241.572</v>
      </c>
      <c r="CA344" s="582">
        <f t="shared" si="898"/>
        <v>24241.572</v>
      </c>
      <c r="CB344" s="582">
        <f t="shared" si="899"/>
        <v>24241.572</v>
      </c>
      <c r="CC344" s="670">
        <f t="shared" si="900"/>
        <v>24241.572</v>
      </c>
      <c r="CD344" s="988">
        <f t="shared" si="901"/>
        <v>24241.572</v>
      </c>
      <c r="CE344" s="989">
        <f t="shared" si="901"/>
        <v>24241.572</v>
      </c>
      <c r="CF344" s="989">
        <f t="shared" si="901"/>
        <v>24241.572</v>
      </c>
      <c r="CG344" s="989">
        <f t="shared" si="901"/>
        <v>24241.572</v>
      </c>
      <c r="CH344" s="990">
        <f t="shared" si="901"/>
        <v>24241.572</v>
      </c>
      <c r="CI344" s="990">
        <f t="shared" si="901"/>
        <v>24241.572</v>
      </c>
      <c r="CJ344" s="989">
        <f t="shared" si="901"/>
        <v>24241.572</v>
      </c>
      <c r="CK344" s="989">
        <f t="shared" si="901"/>
        <v>24241.572</v>
      </c>
      <c r="CL344" s="989">
        <f t="shared" si="901"/>
        <v>24241.572</v>
      </c>
      <c r="CM344" s="988">
        <f t="shared" si="901"/>
        <v>24241.572</v>
      </c>
      <c r="CN344" s="533" t="str">
        <f t="shared" si="902"/>
        <v/>
      </c>
      <c r="CO344" s="534" t="str">
        <f t="shared" si="903"/>
        <v/>
      </c>
      <c r="CP344" s="535" t="str">
        <f t="shared" si="904"/>
        <v/>
      </c>
      <c r="CQ344" s="535" t="str">
        <f t="shared" si="905"/>
        <v/>
      </c>
      <c r="CR344" s="535">
        <f t="shared" si="906"/>
        <v>24241.572</v>
      </c>
      <c r="CS344" s="535">
        <f t="shared" si="907"/>
        <v>24241.572</v>
      </c>
      <c r="CT344" s="535">
        <f t="shared" si="908"/>
        <v>24241.572</v>
      </c>
      <c r="CU344" s="536">
        <f t="shared" si="909"/>
        <v>24241.572</v>
      </c>
      <c r="CV344" s="536">
        <f t="shared" si="910"/>
        <v>24241.572</v>
      </c>
      <c r="CW344" s="536">
        <f t="shared" si="911"/>
        <v>24241.572</v>
      </c>
      <c r="CX344" s="535">
        <f t="shared" si="912"/>
        <v>24241.572</v>
      </c>
      <c r="CY344" s="535">
        <f t="shared" si="913"/>
        <v>24241.572</v>
      </c>
      <c r="CZ344" s="535">
        <f t="shared" si="914"/>
        <v>24241.572</v>
      </c>
      <c r="DA344" s="535">
        <f t="shared" si="915"/>
        <v>24241.572</v>
      </c>
      <c r="DB344" s="535" t="str">
        <f t="shared" si="916"/>
        <v/>
      </c>
      <c r="DC344" s="534" t="str">
        <f t="shared" si="917"/>
        <v/>
      </c>
      <c r="DD344" s="533" t="str">
        <f t="shared" si="918"/>
        <v/>
      </c>
      <c r="DE344" s="635">
        <f t="shared" si="919"/>
        <v>10</v>
      </c>
      <c r="DF344" s="95">
        <f t="shared" si="920"/>
        <v>10</v>
      </c>
      <c r="DG344" s="95">
        <f t="shared" si="921"/>
        <v>10</v>
      </c>
      <c r="DH344" s="95">
        <f t="shared" si="92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897"/>
        <v/>
      </c>
      <c r="CA345" s="582" t="str">
        <f t="shared" si="898"/>
        <v/>
      </c>
      <c r="CB345" s="582" t="str">
        <f t="shared" si="899"/>
        <v/>
      </c>
      <c r="CC345" s="670" t="str">
        <f t="shared" si="900"/>
        <v/>
      </c>
      <c r="CD345" s="988" t="str">
        <f t="shared" si="901"/>
        <v/>
      </c>
      <c r="CE345" s="989" t="str">
        <f t="shared" si="901"/>
        <v/>
      </c>
      <c r="CF345" s="989" t="str">
        <f t="shared" si="901"/>
        <v/>
      </c>
      <c r="CG345" s="989" t="str">
        <f t="shared" si="901"/>
        <v/>
      </c>
      <c r="CH345" s="990" t="str">
        <f t="shared" si="901"/>
        <v/>
      </c>
      <c r="CI345" s="990" t="str">
        <f t="shared" si="901"/>
        <v/>
      </c>
      <c r="CJ345" s="989" t="str">
        <f t="shared" si="901"/>
        <v/>
      </c>
      <c r="CK345" s="989" t="str">
        <f t="shared" si="901"/>
        <v/>
      </c>
      <c r="CL345" s="989" t="str">
        <f t="shared" si="901"/>
        <v/>
      </c>
      <c r="CM345" s="988" t="str">
        <f t="shared" si="901"/>
        <v/>
      </c>
      <c r="CN345" s="533" t="str">
        <f t="shared" si="902"/>
        <v/>
      </c>
      <c r="CO345" s="534" t="str">
        <f t="shared" si="903"/>
        <v/>
      </c>
      <c r="CP345" s="535" t="str">
        <f t="shared" si="904"/>
        <v/>
      </c>
      <c r="CQ345" s="535" t="str">
        <f t="shared" si="905"/>
        <v/>
      </c>
      <c r="CR345" s="535" t="str">
        <f t="shared" si="906"/>
        <v/>
      </c>
      <c r="CS345" s="535" t="str">
        <f t="shared" si="907"/>
        <v/>
      </c>
      <c r="CT345" s="535" t="str">
        <f t="shared" si="908"/>
        <v/>
      </c>
      <c r="CU345" s="536" t="str">
        <f t="shared" si="909"/>
        <v/>
      </c>
      <c r="CV345" s="536" t="str">
        <f t="shared" si="910"/>
        <v/>
      </c>
      <c r="CW345" s="536" t="str">
        <f t="shared" si="911"/>
        <v/>
      </c>
      <c r="CX345" s="535" t="str">
        <f t="shared" si="912"/>
        <v/>
      </c>
      <c r="CY345" s="535" t="str">
        <f t="shared" si="913"/>
        <v/>
      </c>
      <c r="CZ345" s="535" t="str">
        <f t="shared" si="914"/>
        <v/>
      </c>
      <c r="DA345" s="535" t="str">
        <f t="shared" si="915"/>
        <v/>
      </c>
      <c r="DB345" s="535" t="str">
        <f t="shared" si="916"/>
        <v/>
      </c>
      <c r="DC345" s="534" t="str">
        <f t="shared" si="917"/>
        <v/>
      </c>
      <c r="DD345" s="533" t="str">
        <f t="shared" si="918"/>
        <v/>
      </c>
      <c r="DE345" s="635">
        <f t="shared" si="919"/>
        <v>0</v>
      </c>
      <c r="DF345" s="95">
        <f t="shared" si="920"/>
        <v>0</v>
      </c>
      <c r="DG345" s="95">
        <f t="shared" si="921"/>
        <v>0</v>
      </c>
      <c r="DH345" s="95">
        <f t="shared" si="92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897"/>
        <v/>
      </c>
      <c r="CA346" s="582" t="str">
        <f t="shared" si="898"/>
        <v/>
      </c>
      <c r="CB346" s="582" t="str">
        <f t="shared" si="899"/>
        <v/>
      </c>
      <c r="CC346" s="670" t="str">
        <f t="shared" si="900"/>
        <v/>
      </c>
      <c r="CD346" s="988" t="str">
        <f t="shared" si="901"/>
        <v/>
      </c>
      <c r="CE346" s="989" t="str">
        <f t="shared" si="901"/>
        <v/>
      </c>
      <c r="CF346" s="989" t="str">
        <f t="shared" si="901"/>
        <v/>
      </c>
      <c r="CG346" s="989" t="str">
        <f t="shared" si="901"/>
        <v/>
      </c>
      <c r="CH346" s="990" t="str">
        <f t="shared" si="901"/>
        <v/>
      </c>
      <c r="CI346" s="990" t="str">
        <f t="shared" si="901"/>
        <v/>
      </c>
      <c r="CJ346" s="989" t="str">
        <f t="shared" si="901"/>
        <v/>
      </c>
      <c r="CK346" s="989" t="str">
        <f t="shared" si="901"/>
        <v/>
      </c>
      <c r="CL346" s="989" t="str">
        <f t="shared" si="901"/>
        <v/>
      </c>
      <c r="CM346" s="988" t="str">
        <f t="shared" si="901"/>
        <v/>
      </c>
      <c r="CN346" s="533" t="str">
        <f t="shared" si="902"/>
        <v/>
      </c>
      <c r="CO346" s="534" t="str">
        <f t="shared" si="903"/>
        <v/>
      </c>
      <c r="CP346" s="535" t="str">
        <f t="shared" si="904"/>
        <v/>
      </c>
      <c r="CQ346" s="535" t="str">
        <f t="shared" si="905"/>
        <v/>
      </c>
      <c r="CR346" s="535" t="str">
        <f t="shared" si="906"/>
        <v/>
      </c>
      <c r="CS346" s="535" t="str">
        <f t="shared" si="907"/>
        <v/>
      </c>
      <c r="CT346" s="535" t="str">
        <f t="shared" si="908"/>
        <v/>
      </c>
      <c r="CU346" s="536" t="str">
        <f t="shared" si="909"/>
        <v/>
      </c>
      <c r="CV346" s="536" t="str">
        <f t="shared" si="910"/>
        <v/>
      </c>
      <c r="CW346" s="536" t="str">
        <f t="shared" si="911"/>
        <v/>
      </c>
      <c r="CX346" s="535" t="str">
        <f t="shared" si="912"/>
        <v/>
      </c>
      <c r="CY346" s="535" t="str">
        <f t="shared" si="913"/>
        <v/>
      </c>
      <c r="CZ346" s="535" t="str">
        <f t="shared" si="914"/>
        <v/>
      </c>
      <c r="DA346" s="535" t="str">
        <f t="shared" si="915"/>
        <v/>
      </c>
      <c r="DB346" s="535" t="str">
        <f t="shared" si="916"/>
        <v/>
      </c>
      <c r="DC346" s="534" t="str">
        <f t="shared" si="917"/>
        <v/>
      </c>
      <c r="DD346" s="533" t="str">
        <f t="shared" si="918"/>
        <v/>
      </c>
      <c r="DE346" s="635">
        <f t="shared" si="919"/>
        <v>0</v>
      </c>
      <c r="DF346" s="95">
        <f t="shared" si="920"/>
        <v>0</v>
      </c>
      <c r="DG346" s="95">
        <f t="shared" si="921"/>
        <v>0</v>
      </c>
      <c r="DH346" s="95">
        <f t="shared" si="92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931">IF(B345="","",B345*B346)</f>
        <v/>
      </c>
      <c r="C347" s="612" t="str">
        <f t="shared" si="931"/>
        <v/>
      </c>
      <c r="D347" s="612" t="str">
        <f t="shared" si="931"/>
        <v/>
      </c>
      <c r="E347" s="612" t="str">
        <f t="shared" si="931"/>
        <v/>
      </c>
      <c r="F347" s="612" t="str">
        <f t="shared" si="931"/>
        <v/>
      </c>
      <c r="G347" s="612" t="str">
        <f t="shared" si="931"/>
        <v/>
      </c>
      <c r="H347" s="612" t="str">
        <f t="shared" si="931"/>
        <v/>
      </c>
      <c r="I347" s="612" t="str">
        <f t="shared" si="931"/>
        <v/>
      </c>
      <c r="J347" s="612" t="str">
        <f t="shared" si="931"/>
        <v/>
      </c>
      <c r="K347" s="612" t="str">
        <f t="shared" si="931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932">IF(T345="","",T345*T346)</f>
        <v/>
      </c>
      <c r="U347" s="612" t="str">
        <f t="shared" si="932"/>
        <v/>
      </c>
      <c r="V347" s="612" t="str">
        <f t="shared" si="932"/>
        <v/>
      </c>
      <c r="W347" s="612" t="str">
        <f t="shared" si="932"/>
        <v/>
      </c>
      <c r="X347" s="612" t="str">
        <f t="shared" si="932"/>
        <v/>
      </c>
      <c r="Y347" s="612" t="str">
        <f t="shared" si="932"/>
        <v/>
      </c>
      <c r="Z347" s="612" t="str">
        <f t="shared" si="932"/>
        <v/>
      </c>
      <c r="AA347" s="612" t="str">
        <f t="shared" si="932"/>
        <v/>
      </c>
      <c r="AB347" s="612" t="str">
        <f t="shared" si="932"/>
        <v/>
      </c>
      <c r="AC347" s="612" t="str">
        <f t="shared" si="932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933">IF(AL345="","",AL345*AL346)</f>
        <v/>
      </c>
      <c r="AM347" s="612" t="str">
        <f t="shared" si="933"/>
        <v/>
      </c>
      <c r="AN347" s="612" t="str">
        <f t="shared" si="933"/>
        <v/>
      </c>
      <c r="AO347" s="612" t="str">
        <f t="shared" si="933"/>
        <v/>
      </c>
      <c r="AP347" s="612" t="str">
        <f t="shared" si="933"/>
        <v/>
      </c>
      <c r="AQ347" s="612" t="str">
        <f t="shared" si="933"/>
        <v/>
      </c>
      <c r="AR347" s="612" t="str">
        <f t="shared" si="933"/>
        <v/>
      </c>
      <c r="AS347" s="612" t="str">
        <f t="shared" si="933"/>
        <v/>
      </c>
      <c r="AT347" s="612" t="str">
        <f t="shared" si="933"/>
        <v/>
      </c>
      <c r="AU347" s="612" t="str">
        <f t="shared" si="933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934">IF(BD345="","",BD345*BD346)</f>
        <v/>
      </c>
      <c r="BE347" s="1201" t="str">
        <f t="shared" si="934"/>
        <v/>
      </c>
      <c r="BF347" s="1201" t="str">
        <f t="shared" si="934"/>
        <v/>
      </c>
      <c r="BG347" s="1201" t="str">
        <f t="shared" si="934"/>
        <v/>
      </c>
      <c r="BH347" s="1201" t="str">
        <f t="shared" si="934"/>
        <v/>
      </c>
      <c r="BI347" s="1201" t="str">
        <f t="shared" si="934"/>
        <v/>
      </c>
      <c r="BJ347" s="1201" t="str">
        <f t="shared" si="934"/>
        <v/>
      </c>
      <c r="BK347" s="1201" t="str">
        <f t="shared" si="934"/>
        <v/>
      </c>
      <c r="BL347" s="1201" t="str">
        <f t="shared" si="934"/>
        <v/>
      </c>
      <c r="BM347" s="1201" t="str">
        <f t="shared" si="934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897"/>
        <v/>
      </c>
      <c r="CA347" s="582" t="str">
        <f t="shared" si="898"/>
        <v/>
      </c>
      <c r="CB347" s="582" t="str">
        <f t="shared" si="899"/>
        <v/>
      </c>
      <c r="CC347" s="670" t="str">
        <f t="shared" si="900"/>
        <v/>
      </c>
      <c r="CD347" s="988" t="str">
        <f t="shared" si="901"/>
        <v/>
      </c>
      <c r="CE347" s="989" t="str">
        <f t="shared" si="901"/>
        <v/>
      </c>
      <c r="CF347" s="989" t="str">
        <f t="shared" si="901"/>
        <v/>
      </c>
      <c r="CG347" s="989" t="str">
        <f t="shared" si="901"/>
        <v/>
      </c>
      <c r="CH347" s="990" t="str">
        <f t="shared" si="901"/>
        <v/>
      </c>
      <c r="CI347" s="990" t="str">
        <f t="shared" si="901"/>
        <v/>
      </c>
      <c r="CJ347" s="989" t="str">
        <f t="shared" si="901"/>
        <v/>
      </c>
      <c r="CK347" s="989" t="str">
        <f t="shared" si="901"/>
        <v/>
      </c>
      <c r="CL347" s="989" t="str">
        <f t="shared" si="901"/>
        <v/>
      </c>
      <c r="CM347" s="988" t="str">
        <f t="shared" si="901"/>
        <v/>
      </c>
      <c r="CN347" s="533" t="str">
        <f t="shared" si="902"/>
        <v/>
      </c>
      <c r="CO347" s="534" t="str">
        <f t="shared" si="903"/>
        <v/>
      </c>
      <c r="CP347" s="535" t="str">
        <f t="shared" si="904"/>
        <v/>
      </c>
      <c r="CQ347" s="535" t="str">
        <f t="shared" si="905"/>
        <v/>
      </c>
      <c r="CR347" s="535" t="str">
        <f t="shared" si="906"/>
        <v/>
      </c>
      <c r="CS347" s="535" t="str">
        <f t="shared" si="907"/>
        <v/>
      </c>
      <c r="CT347" s="535" t="str">
        <f t="shared" si="908"/>
        <v/>
      </c>
      <c r="CU347" s="536" t="str">
        <f t="shared" si="909"/>
        <v/>
      </c>
      <c r="CV347" s="536" t="str">
        <f t="shared" si="910"/>
        <v/>
      </c>
      <c r="CW347" s="536" t="str">
        <f t="shared" si="911"/>
        <v/>
      </c>
      <c r="CX347" s="535" t="str">
        <f t="shared" si="912"/>
        <v/>
      </c>
      <c r="CY347" s="535" t="str">
        <f t="shared" si="913"/>
        <v/>
      </c>
      <c r="CZ347" s="535" t="str">
        <f t="shared" si="914"/>
        <v/>
      </c>
      <c r="DA347" s="535" t="str">
        <f t="shared" si="915"/>
        <v/>
      </c>
      <c r="DB347" s="535" t="str">
        <f t="shared" si="916"/>
        <v/>
      </c>
      <c r="DC347" s="534" t="str">
        <f t="shared" si="917"/>
        <v/>
      </c>
      <c r="DD347" s="533" t="str">
        <f t="shared" si="918"/>
        <v/>
      </c>
      <c r="DE347" s="635">
        <f t="shared" si="919"/>
        <v>0</v>
      </c>
      <c r="DF347" s="95">
        <f t="shared" si="920"/>
        <v>0</v>
      </c>
      <c r="DG347" s="95">
        <f t="shared" si="921"/>
        <v>0</v>
      </c>
      <c r="DH347" s="95">
        <f t="shared" si="92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897"/>
        <v/>
      </c>
      <c r="CA348" s="582" t="str">
        <f t="shared" si="898"/>
        <v/>
      </c>
      <c r="CB348" s="582" t="str">
        <f t="shared" si="899"/>
        <v/>
      </c>
      <c r="CC348" s="670" t="str">
        <f t="shared" si="900"/>
        <v/>
      </c>
      <c r="CD348" s="988" t="str">
        <f t="shared" si="901"/>
        <v/>
      </c>
      <c r="CE348" s="989" t="str">
        <f t="shared" si="901"/>
        <v/>
      </c>
      <c r="CF348" s="989" t="str">
        <f t="shared" si="901"/>
        <v/>
      </c>
      <c r="CG348" s="989" t="str">
        <f t="shared" si="901"/>
        <v/>
      </c>
      <c r="CH348" s="990" t="str">
        <f t="shared" si="901"/>
        <v/>
      </c>
      <c r="CI348" s="990" t="str">
        <f t="shared" si="901"/>
        <v/>
      </c>
      <c r="CJ348" s="989" t="str">
        <f t="shared" si="901"/>
        <v/>
      </c>
      <c r="CK348" s="989" t="str">
        <f t="shared" si="901"/>
        <v/>
      </c>
      <c r="CL348" s="989" t="str">
        <f t="shared" si="901"/>
        <v/>
      </c>
      <c r="CM348" s="988" t="str">
        <f t="shared" si="901"/>
        <v/>
      </c>
      <c r="CN348" s="533" t="str">
        <f t="shared" si="902"/>
        <v/>
      </c>
      <c r="CO348" s="534" t="str">
        <f t="shared" si="903"/>
        <v/>
      </c>
      <c r="CP348" s="535" t="str">
        <f t="shared" si="904"/>
        <v/>
      </c>
      <c r="CQ348" s="535" t="str">
        <f t="shared" si="905"/>
        <v/>
      </c>
      <c r="CR348" s="535" t="str">
        <f t="shared" si="906"/>
        <v/>
      </c>
      <c r="CS348" s="535" t="str">
        <f t="shared" si="907"/>
        <v/>
      </c>
      <c r="CT348" s="535" t="str">
        <f t="shared" si="908"/>
        <v/>
      </c>
      <c r="CU348" s="536" t="str">
        <f t="shared" si="909"/>
        <v/>
      </c>
      <c r="CV348" s="536" t="str">
        <f t="shared" si="910"/>
        <v/>
      </c>
      <c r="CW348" s="536" t="str">
        <f t="shared" si="911"/>
        <v/>
      </c>
      <c r="CX348" s="535" t="str">
        <f t="shared" si="912"/>
        <v/>
      </c>
      <c r="CY348" s="535" t="str">
        <f t="shared" si="913"/>
        <v/>
      </c>
      <c r="CZ348" s="535" t="str">
        <f t="shared" si="914"/>
        <v/>
      </c>
      <c r="DA348" s="535" t="str">
        <f t="shared" si="915"/>
        <v/>
      </c>
      <c r="DB348" s="535" t="str">
        <f t="shared" si="916"/>
        <v/>
      </c>
      <c r="DC348" s="534" t="str">
        <f t="shared" si="917"/>
        <v/>
      </c>
      <c r="DD348" s="533" t="str">
        <f t="shared" si="918"/>
        <v/>
      </c>
      <c r="DE348" s="635">
        <f t="shared" si="919"/>
        <v>0</v>
      </c>
      <c r="DF348" s="95">
        <f t="shared" si="920"/>
        <v>0</v>
      </c>
      <c r="DG348" s="95">
        <f t="shared" si="921"/>
        <v>0</v>
      </c>
      <c r="DH348" s="95">
        <f t="shared" si="92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935">IF(B343="","",(B343-B345-B348)*B344/B$46/365/$G$1)</f>
        <v/>
      </c>
      <c r="C349" s="615" t="str">
        <f t="shared" si="935"/>
        <v/>
      </c>
      <c r="D349" s="615" t="str">
        <f t="shared" si="935"/>
        <v/>
      </c>
      <c r="E349" s="615" t="str">
        <f t="shared" si="935"/>
        <v/>
      </c>
      <c r="F349" s="615" t="str">
        <f t="shared" si="935"/>
        <v/>
      </c>
      <c r="G349" s="615" t="str">
        <f t="shared" si="935"/>
        <v/>
      </c>
      <c r="H349" s="615" t="str">
        <f t="shared" si="935"/>
        <v/>
      </c>
      <c r="I349" s="615" t="str">
        <f t="shared" si="935"/>
        <v/>
      </c>
      <c r="J349" s="615" t="str">
        <f t="shared" si="935"/>
        <v/>
      </c>
      <c r="K349" s="615" t="str">
        <f t="shared" si="935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936">IF(T343="","",(T343-T345-T348)*T344/T$46/365/$G$1)</f>
        <v/>
      </c>
      <c r="U349" s="615" t="str">
        <f t="shared" si="936"/>
        <v/>
      </c>
      <c r="V349" s="615" t="str">
        <f t="shared" si="936"/>
        <v/>
      </c>
      <c r="W349" s="615" t="str">
        <f t="shared" si="936"/>
        <v/>
      </c>
      <c r="X349" s="615" t="str">
        <f t="shared" si="936"/>
        <v/>
      </c>
      <c r="Y349" s="615" t="str">
        <f t="shared" si="936"/>
        <v/>
      </c>
      <c r="Z349" s="615" t="str">
        <f t="shared" si="936"/>
        <v/>
      </c>
      <c r="AA349" s="615" t="str">
        <f t="shared" si="936"/>
        <v/>
      </c>
      <c r="AB349" s="615" t="str">
        <f t="shared" si="936"/>
        <v/>
      </c>
      <c r="AC349" s="615" t="str">
        <f t="shared" si="936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937">IF(AL343="","",(AL343-AL345-AL348)*AL344/AL$46/365/$G$1)</f>
        <v/>
      </c>
      <c r="AM349" s="615" t="str">
        <f t="shared" si="937"/>
        <v/>
      </c>
      <c r="AN349" s="615" t="str">
        <f t="shared" si="937"/>
        <v/>
      </c>
      <c r="AO349" s="615" t="str">
        <f t="shared" si="937"/>
        <v/>
      </c>
      <c r="AP349" s="615" t="str">
        <f t="shared" si="937"/>
        <v/>
      </c>
      <c r="AQ349" s="615" t="str">
        <f t="shared" si="937"/>
        <v/>
      </c>
      <c r="AR349" s="615" t="str">
        <f t="shared" si="937"/>
        <v/>
      </c>
      <c r="AS349" s="615" t="str">
        <f t="shared" si="937"/>
        <v/>
      </c>
      <c r="AT349" s="615" t="str">
        <f t="shared" si="937"/>
        <v/>
      </c>
      <c r="AU349" s="615" t="str">
        <f t="shared" si="937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938">IF(BD343="","",(BD343-BD345-BD348)*BD344/BD$46/365/$G$1)</f>
        <v/>
      </c>
      <c r="BE349" s="1202" t="str">
        <f t="shared" si="938"/>
        <v/>
      </c>
      <c r="BF349" s="1202" t="str">
        <f t="shared" si="938"/>
        <v/>
      </c>
      <c r="BG349" s="1202" t="str">
        <f t="shared" si="938"/>
        <v/>
      </c>
      <c r="BH349" s="1202" t="str">
        <f t="shared" si="938"/>
        <v/>
      </c>
      <c r="BI349" s="1202" t="str">
        <f t="shared" si="938"/>
        <v/>
      </c>
      <c r="BJ349" s="1202" t="str">
        <f t="shared" si="938"/>
        <v/>
      </c>
      <c r="BK349" s="1202" t="str">
        <f t="shared" si="938"/>
        <v/>
      </c>
      <c r="BL349" s="1202" t="str">
        <f t="shared" si="938"/>
        <v/>
      </c>
      <c r="BM349" s="1202" t="str">
        <f t="shared" si="938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897"/>
        <v/>
      </c>
      <c r="CA349" s="607" t="str">
        <f t="shared" si="898"/>
        <v/>
      </c>
      <c r="CB349" s="607" t="str">
        <f t="shared" si="899"/>
        <v/>
      </c>
      <c r="CC349" s="673" t="str">
        <f t="shared" si="90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93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939"/>
        <v/>
      </c>
      <c r="CG349" s="992" t="str">
        <f t="shared" si="939"/>
        <v/>
      </c>
      <c r="CH349" s="993" t="str">
        <f t="shared" si="939"/>
        <v/>
      </c>
      <c r="CI349" s="993" t="str">
        <f t="shared" si="939"/>
        <v/>
      </c>
      <c r="CJ349" s="992" t="str">
        <f t="shared" si="939"/>
        <v/>
      </c>
      <c r="CK349" s="992" t="str">
        <f t="shared" si="939"/>
        <v/>
      </c>
      <c r="CL349" s="992" t="str">
        <f t="shared" si="939"/>
        <v/>
      </c>
      <c r="CM349" s="991" t="str">
        <f t="shared" si="939"/>
        <v/>
      </c>
      <c r="CN349" s="521" t="str">
        <f t="shared" si="902"/>
        <v/>
      </c>
      <c r="CO349" s="522" t="str">
        <f t="shared" si="903"/>
        <v/>
      </c>
      <c r="CP349" s="523" t="str">
        <f t="shared" si="904"/>
        <v/>
      </c>
      <c r="CQ349" s="523" t="str">
        <f t="shared" si="905"/>
        <v/>
      </c>
      <c r="CR349" s="523" t="str">
        <f t="shared" si="906"/>
        <v/>
      </c>
      <c r="CS349" s="523" t="str">
        <f t="shared" si="907"/>
        <v/>
      </c>
      <c r="CT349" s="523" t="str">
        <f t="shared" si="908"/>
        <v/>
      </c>
      <c r="CU349" s="524" t="str">
        <f t="shared" si="909"/>
        <v/>
      </c>
      <c r="CV349" s="524" t="str">
        <f t="shared" si="910"/>
        <v/>
      </c>
      <c r="CW349" s="524" t="str">
        <f t="shared" si="911"/>
        <v/>
      </c>
      <c r="CX349" s="523" t="str">
        <f t="shared" si="912"/>
        <v/>
      </c>
      <c r="CY349" s="523" t="str">
        <f t="shared" si="913"/>
        <v/>
      </c>
      <c r="CZ349" s="523" t="str">
        <f t="shared" si="914"/>
        <v/>
      </c>
      <c r="DA349" s="523" t="str">
        <f t="shared" si="915"/>
        <v/>
      </c>
      <c r="DB349" s="523" t="str">
        <f t="shared" si="916"/>
        <v/>
      </c>
      <c r="DC349" s="522" t="str">
        <f t="shared" si="917"/>
        <v/>
      </c>
      <c r="DD349" s="521" t="str">
        <f t="shared" si="918"/>
        <v/>
      </c>
      <c r="DE349" s="635">
        <f t="shared" si="919"/>
        <v>0</v>
      </c>
      <c r="DF349" s="95">
        <f t="shared" si="920"/>
        <v>0</v>
      </c>
      <c r="DG349" s="95">
        <f t="shared" si="921"/>
        <v>0</v>
      </c>
      <c r="DH349" s="95">
        <f t="shared" si="92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897"/>
        <v/>
      </c>
      <c r="CA350" s="582" t="str">
        <f t="shared" si="898"/>
        <v/>
      </c>
      <c r="CB350" s="582" t="str">
        <f t="shared" si="899"/>
        <v/>
      </c>
      <c r="CC350" s="670" t="str">
        <f t="shared" si="90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94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940"/>
        <v/>
      </c>
      <c r="CG350" s="989" t="str">
        <f t="shared" si="940"/>
        <v/>
      </c>
      <c r="CH350" s="990" t="str">
        <f t="shared" si="940"/>
        <v/>
      </c>
      <c r="CI350" s="990" t="str">
        <f t="shared" si="940"/>
        <v/>
      </c>
      <c r="CJ350" s="989" t="str">
        <f t="shared" si="940"/>
        <v/>
      </c>
      <c r="CK350" s="989" t="str">
        <f t="shared" si="940"/>
        <v/>
      </c>
      <c r="CL350" s="989" t="str">
        <f t="shared" si="940"/>
        <v/>
      </c>
      <c r="CM350" s="988" t="str">
        <f t="shared" si="940"/>
        <v/>
      </c>
      <c r="CN350" s="533" t="str">
        <f t="shared" si="902"/>
        <v/>
      </c>
      <c r="CO350" s="534" t="str">
        <f t="shared" si="903"/>
        <v/>
      </c>
      <c r="CP350" s="535" t="str">
        <f t="shared" si="904"/>
        <v/>
      </c>
      <c r="CQ350" s="535" t="str">
        <f t="shared" si="905"/>
        <v/>
      </c>
      <c r="CR350" s="535" t="str">
        <f t="shared" si="906"/>
        <v/>
      </c>
      <c r="CS350" s="535" t="str">
        <f t="shared" si="907"/>
        <v/>
      </c>
      <c r="CT350" s="535" t="str">
        <f t="shared" si="908"/>
        <v/>
      </c>
      <c r="CU350" s="536" t="str">
        <f t="shared" si="909"/>
        <v/>
      </c>
      <c r="CV350" s="536" t="str">
        <f t="shared" si="910"/>
        <v/>
      </c>
      <c r="CW350" s="536" t="str">
        <f t="shared" si="911"/>
        <v/>
      </c>
      <c r="CX350" s="535" t="str">
        <f t="shared" si="912"/>
        <v/>
      </c>
      <c r="CY350" s="535" t="str">
        <f t="shared" si="913"/>
        <v/>
      </c>
      <c r="CZ350" s="535" t="str">
        <f t="shared" si="914"/>
        <v/>
      </c>
      <c r="DA350" s="535" t="str">
        <f t="shared" si="915"/>
        <v/>
      </c>
      <c r="DB350" s="535" t="str">
        <f t="shared" si="916"/>
        <v/>
      </c>
      <c r="DC350" s="534" t="str">
        <f t="shared" si="917"/>
        <v/>
      </c>
      <c r="DD350" s="533" t="str">
        <f t="shared" si="918"/>
        <v/>
      </c>
      <c r="DE350" s="635">
        <f t="shared" si="919"/>
        <v>0</v>
      </c>
      <c r="DF350" s="95">
        <f t="shared" si="920"/>
        <v>0</v>
      </c>
      <c r="DG350" s="95">
        <f t="shared" si="921"/>
        <v>0</v>
      </c>
      <c r="DH350" s="95">
        <f t="shared" si="92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941">IF(DE352&lt;3,"",(SUM(B352:R352)-MIN(B352:R352)-MAX(B352:R352))/(DE352-2))</f>
        <v/>
      </c>
      <c r="CA352" s="582" t="str">
        <f t="shared" ref="CA352:CA361" si="942">IF(DF352&lt;3,"",(SUM(T352:AJ352)-MIN(T352:AJ352)-MAX(T352:AJ352))/(DF352-2))</f>
        <v/>
      </c>
      <c r="CB352" s="582" t="str">
        <f t="shared" ref="CB352:CB361" si="943">IF(DG352&lt;3,"",(SUM(AL352:BB352)-MIN(AL352:BB352)-MAX(AL352:BB352))/(DG352-2))</f>
        <v/>
      </c>
      <c r="CC352" s="670" t="str">
        <f t="shared" ref="CC352:CC361" si="944">IF(DH352&lt;3,"",(SUM(BD352:BT352)-MIN(BD352:BT352)-MAX(BD352:BT352))/(DH352-2))</f>
        <v/>
      </c>
      <c r="CD352" s="988" t="str">
        <f t="shared" ref="CD352:CM358" si="94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945"/>
        <v/>
      </c>
      <c r="CF352" s="989" t="str">
        <f t="shared" si="945"/>
        <v/>
      </c>
      <c r="CG352" s="989" t="str">
        <f t="shared" si="945"/>
        <v/>
      </c>
      <c r="CH352" s="990" t="str">
        <f t="shared" si="945"/>
        <v/>
      </c>
      <c r="CI352" s="990" t="str">
        <f t="shared" si="945"/>
        <v/>
      </c>
      <c r="CJ352" s="989" t="str">
        <f t="shared" si="945"/>
        <v/>
      </c>
      <c r="CK352" s="989" t="str">
        <f t="shared" si="945"/>
        <v/>
      </c>
      <c r="CL352" s="989" t="str">
        <f t="shared" si="945"/>
        <v/>
      </c>
      <c r="CM352" s="988" t="str">
        <f t="shared" si="945"/>
        <v/>
      </c>
      <c r="CN352" s="533" t="str">
        <f t="shared" ref="CN352:CN359" si="946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947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4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94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95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95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95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5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95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95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5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95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95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95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96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6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963">COUNT(B352:R352)</f>
        <v>0</v>
      </c>
      <c r="DF352" s="95">
        <f t="shared" ref="DF352:DF359" si="964">COUNT(T352:AJ352)</f>
        <v>0</v>
      </c>
      <c r="DG352" s="95">
        <f t="shared" ref="DG352:DG359" si="965">COUNT(AL352:BB352)</f>
        <v>0</v>
      </c>
      <c r="DH352" s="95">
        <f t="shared" ref="DH352:DH359" si="966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967">IF(B350="","",B350*B352)</f>
        <v/>
      </c>
      <c r="C353" s="612" t="str">
        <f t="shared" si="967"/>
        <v/>
      </c>
      <c r="D353" s="612" t="str">
        <f t="shared" si="967"/>
        <v/>
      </c>
      <c r="E353" s="612" t="str">
        <f t="shared" si="967"/>
        <v/>
      </c>
      <c r="F353" s="612" t="str">
        <f t="shared" si="967"/>
        <v/>
      </c>
      <c r="G353" s="612" t="str">
        <f t="shared" si="967"/>
        <v/>
      </c>
      <c r="H353" s="612" t="str">
        <f t="shared" si="967"/>
        <v/>
      </c>
      <c r="I353" s="612" t="str">
        <f t="shared" si="967"/>
        <v/>
      </c>
      <c r="J353" s="612" t="str">
        <f t="shared" si="967"/>
        <v/>
      </c>
      <c r="K353" s="612" t="str">
        <f t="shared" si="967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968">IF(T350="","",T350*T352)</f>
        <v/>
      </c>
      <c r="U353" s="612" t="str">
        <f t="shared" si="968"/>
        <v/>
      </c>
      <c r="V353" s="612" t="str">
        <f t="shared" si="968"/>
        <v/>
      </c>
      <c r="W353" s="612" t="str">
        <f t="shared" si="968"/>
        <v/>
      </c>
      <c r="X353" s="612" t="str">
        <f t="shared" si="968"/>
        <v/>
      </c>
      <c r="Y353" s="612" t="str">
        <f t="shared" si="968"/>
        <v/>
      </c>
      <c r="Z353" s="612" t="str">
        <f t="shared" si="968"/>
        <v/>
      </c>
      <c r="AA353" s="612" t="str">
        <f t="shared" si="968"/>
        <v/>
      </c>
      <c r="AB353" s="612" t="str">
        <f t="shared" si="968"/>
        <v/>
      </c>
      <c r="AC353" s="612" t="str">
        <f t="shared" si="968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969">IF(AL350="","",AL350*AL352)</f>
        <v/>
      </c>
      <c r="AM353" s="612" t="str">
        <f t="shared" si="969"/>
        <v/>
      </c>
      <c r="AN353" s="612" t="str">
        <f t="shared" si="969"/>
        <v/>
      </c>
      <c r="AO353" s="612" t="str">
        <f t="shared" si="969"/>
        <v/>
      </c>
      <c r="AP353" s="612" t="str">
        <f t="shared" si="969"/>
        <v/>
      </c>
      <c r="AQ353" s="612" t="str">
        <f t="shared" si="969"/>
        <v/>
      </c>
      <c r="AR353" s="612" t="str">
        <f t="shared" si="969"/>
        <v/>
      </c>
      <c r="AS353" s="612" t="str">
        <f t="shared" si="969"/>
        <v/>
      </c>
      <c r="AT353" s="612" t="str">
        <f t="shared" si="969"/>
        <v/>
      </c>
      <c r="AU353" s="612" t="str">
        <f t="shared" si="969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970">IF(BD350="","",BD350*BD352)</f>
        <v/>
      </c>
      <c r="BE353" s="1201" t="str">
        <f t="shared" si="970"/>
        <v/>
      </c>
      <c r="BF353" s="1201" t="str">
        <f t="shared" si="970"/>
        <v/>
      </c>
      <c r="BG353" s="1201" t="str">
        <f t="shared" si="970"/>
        <v/>
      </c>
      <c r="BH353" s="1201" t="str">
        <f t="shared" si="970"/>
        <v/>
      </c>
      <c r="BI353" s="1201" t="str">
        <f t="shared" si="970"/>
        <v/>
      </c>
      <c r="BJ353" s="1201" t="str">
        <f t="shared" si="970"/>
        <v/>
      </c>
      <c r="BK353" s="1201" t="str">
        <f t="shared" si="970"/>
        <v/>
      </c>
      <c r="BL353" s="1201" t="str">
        <f t="shared" si="970"/>
        <v/>
      </c>
      <c r="BM353" s="1201" t="str">
        <f t="shared" si="970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941"/>
        <v/>
      </c>
      <c r="CA353" s="582" t="str">
        <f t="shared" si="942"/>
        <v/>
      </c>
      <c r="CB353" s="582" t="str">
        <f t="shared" si="943"/>
        <v/>
      </c>
      <c r="CC353" s="670" t="str">
        <f t="shared" si="944"/>
        <v/>
      </c>
      <c r="CD353" s="988" t="str">
        <f t="shared" si="945"/>
        <v/>
      </c>
      <c r="CE353" s="989" t="str">
        <f t="shared" si="945"/>
        <v/>
      </c>
      <c r="CF353" s="989" t="str">
        <f t="shared" si="945"/>
        <v/>
      </c>
      <c r="CG353" s="989" t="str">
        <f t="shared" si="945"/>
        <v/>
      </c>
      <c r="CH353" s="990" t="str">
        <f t="shared" si="945"/>
        <v/>
      </c>
      <c r="CI353" s="990" t="str">
        <f t="shared" si="945"/>
        <v/>
      </c>
      <c r="CJ353" s="989" t="str">
        <f t="shared" si="945"/>
        <v/>
      </c>
      <c r="CK353" s="989" t="str">
        <f t="shared" si="945"/>
        <v/>
      </c>
      <c r="CL353" s="989" t="str">
        <f t="shared" si="945"/>
        <v/>
      </c>
      <c r="CM353" s="988" t="str">
        <f t="shared" si="945"/>
        <v/>
      </c>
      <c r="CN353" s="533" t="str">
        <f t="shared" si="946"/>
        <v/>
      </c>
      <c r="CO353" s="534" t="str">
        <f t="shared" si="947"/>
        <v/>
      </c>
      <c r="CP353" s="535" t="str">
        <f t="shared" si="948"/>
        <v/>
      </c>
      <c r="CQ353" s="535" t="str">
        <f t="shared" si="949"/>
        <v/>
      </c>
      <c r="CR353" s="535" t="str">
        <f t="shared" si="950"/>
        <v/>
      </c>
      <c r="CS353" s="535" t="str">
        <f t="shared" si="951"/>
        <v/>
      </c>
      <c r="CT353" s="535" t="str">
        <f t="shared" si="952"/>
        <v/>
      </c>
      <c r="CU353" s="536" t="str">
        <f t="shared" si="953"/>
        <v/>
      </c>
      <c r="CV353" s="536" t="str">
        <f t="shared" si="954"/>
        <v/>
      </c>
      <c r="CW353" s="536" t="str">
        <f t="shared" si="955"/>
        <v/>
      </c>
      <c r="CX353" s="535" t="str">
        <f t="shared" si="956"/>
        <v/>
      </c>
      <c r="CY353" s="535" t="str">
        <f t="shared" si="957"/>
        <v/>
      </c>
      <c r="CZ353" s="535" t="str">
        <f t="shared" si="958"/>
        <v/>
      </c>
      <c r="DA353" s="535" t="str">
        <f t="shared" si="959"/>
        <v/>
      </c>
      <c r="DB353" s="535" t="str">
        <f t="shared" si="960"/>
        <v/>
      </c>
      <c r="DC353" s="534" t="str">
        <f t="shared" si="961"/>
        <v/>
      </c>
      <c r="DD353" s="533" t="str">
        <f t="shared" si="962"/>
        <v/>
      </c>
      <c r="DE353" s="635">
        <f t="shared" si="963"/>
        <v>0</v>
      </c>
      <c r="DF353" s="95">
        <f t="shared" si="964"/>
        <v>0</v>
      </c>
      <c r="DG353" s="95">
        <f t="shared" si="965"/>
        <v>0</v>
      </c>
      <c r="DH353" s="95">
        <f t="shared" si="966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971">3670*$K$1</f>
        <v>15365.555999999999</v>
      </c>
      <c r="D354" s="683">
        <f t="shared" si="971"/>
        <v>15365.555999999999</v>
      </c>
      <c r="E354" s="683">
        <f t="shared" si="971"/>
        <v>15365.555999999999</v>
      </c>
      <c r="F354" s="683">
        <f t="shared" si="971"/>
        <v>15365.555999999999</v>
      </c>
      <c r="G354" s="683">
        <f t="shared" si="971"/>
        <v>15365.555999999999</v>
      </c>
      <c r="H354" s="683">
        <f t="shared" si="971"/>
        <v>15365.555999999999</v>
      </c>
      <c r="I354" s="683">
        <f t="shared" si="971"/>
        <v>15365.555999999999</v>
      </c>
      <c r="J354" s="683">
        <f t="shared" si="971"/>
        <v>15365.555999999999</v>
      </c>
      <c r="K354" s="683">
        <f t="shared" si="971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972">3670*$K$1</f>
        <v>15365.555999999999</v>
      </c>
      <c r="V354" s="683">
        <f t="shared" si="972"/>
        <v>15365.555999999999</v>
      </c>
      <c r="W354" s="683">
        <f t="shared" si="972"/>
        <v>15365.555999999999</v>
      </c>
      <c r="X354" s="683">
        <f t="shared" si="972"/>
        <v>15365.555999999999</v>
      </c>
      <c r="Y354" s="683">
        <f t="shared" si="972"/>
        <v>15365.555999999999</v>
      </c>
      <c r="Z354" s="683">
        <f t="shared" si="972"/>
        <v>15365.555999999999</v>
      </c>
      <c r="AA354" s="683">
        <f t="shared" si="972"/>
        <v>15365.555999999999</v>
      </c>
      <c r="AB354" s="683">
        <f t="shared" si="972"/>
        <v>15365.555999999999</v>
      </c>
      <c r="AC354" s="683">
        <f t="shared" si="972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973">3670*$K$1</f>
        <v>15365.555999999999</v>
      </c>
      <c r="AN354" s="683">
        <f t="shared" si="973"/>
        <v>15365.555999999999</v>
      </c>
      <c r="AO354" s="683">
        <f t="shared" si="973"/>
        <v>15365.555999999999</v>
      </c>
      <c r="AP354" s="683">
        <f t="shared" si="973"/>
        <v>15365.555999999999</v>
      </c>
      <c r="AQ354" s="683">
        <f t="shared" si="973"/>
        <v>15365.555999999999</v>
      </c>
      <c r="AR354" s="683">
        <f t="shared" si="973"/>
        <v>15365.555999999999</v>
      </c>
      <c r="AS354" s="683">
        <f t="shared" si="973"/>
        <v>15365.555999999999</v>
      </c>
      <c r="AT354" s="683">
        <f t="shared" si="973"/>
        <v>15365.555999999999</v>
      </c>
      <c r="AU354" s="683">
        <f t="shared" si="973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974">3670*$K$1</f>
        <v>15365.555999999999</v>
      </c>
      <c r="BF354" s="1225">
        <f t="shared" si="974"/>
        <v>15365.555999999999</v>
      </c>
      <c r="BG354" s="1225">
        <f t="shared" si="974"/>
        <v>15365.555999999999</v>
      </c>
      <c r="BH354" s="1225">
        <f t="shared" si="974"/>
        <v>15365.555999999999</v>
      </c>
      <c r="BI354" s="1225">
        <f t="shared" si="974"/>
        <v>15365.555999999999</v>
      </c>
      <c r="BJ354" s="1225">
        <f t="shared" si="974"/>
        <v>15365.555999999999</v>
      </c>
      <c r="BK354" s="1225">
        <f t="shared" si="974"/>
        <v>15365.555999999999</v>
      </c>
      <c r="BL354" s="1225">
        <f t="shared" si="974"/>
        <v>15365.555999999999</v>
      </c>
      <c r="BM354" s="1225">
        <f t="shared" si="974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>3670*$K$1</f>
        <v>15365.555999999999</v>
      </c>
      <c r="BW354" s="683">
        <f>3670*$K$1</f>
        <v>15365.555999999999</v>
      </c>
      <c r="BX354" s="683">
        <f>3670*$K$1</f>
        <v>15365.555999999999</v>
      </c>
      <c r="BY354" s="683">
        <f>3670*$K$1</f>
        <v>15365.555999999999</v>
      </c>
      <c r="BZ354" s="582">
        <f t="shared" si="941"/>
        <v>15365.555999999999</v>
      </c>
      <c r="CA354" s="582">
        <f t="shared" si="942"/>
        <v>15365.555999999999</v>
      </c>
      <c r="CB354" s="582">
        <f t="shared" si="943"/>
        <v>15365.555999999999</v>
      </c>
      <c r="CC354" s="670">
        <f t="shared" si="944"/>
        <v>15365.555999999999</v>
      </c>
      <c r="CD354" s="988">
        <f t="shared" si="945"/>
        <v>15365.555999999999</v>
      </c>
      <c r="CE354" s="989">
        <f t="shared" si="945"/>
        <v>15365.555999999999</v>
      </c>
      <c r="CF354" s="989">
        <f t="shared" si="945"/>
        <v>15365.555999999999</v>
      </c>
      <c r="CG354" s="989">
        <f t="shared" si="945"/>
        <v>15365.555999999999</v>
      </c>
      <c r="CH354" s="990">
        <f t="shared" si="945"/>
        <v>15365.555999999999</v>
      </c>
      <c r="CI354" s="990">
        <f t="shared" si="945"/>
        <v>15365.555999999999</v>
      </c>
      <c r="CJ354" s="989">
        <f t="shared" si="945"/>
        <v>15365.555999999999</v>
      </c>
      <c r="CK354" s="989">
        <f t="shared" si="945"/>
        <v>15365.555999999999</v>
      </c>
      <c r="CL354" s="989">
        <f t="shared" si="945"/>
        <v>15365.555999999999</v>
      </c>
      <c r="CM354" s="988">
        <f t="shared" si="945"/>
        <v>15365.555999999999</v>
      </c>
      <c r="CN354" s="533" t="str">
        <f t="shared" si="946"/>
        <v/>
      </c>
      <c r="CO354" s="534" t="str">
        <f t="shared" si="947"/>
        <v/>
      </c>
      <c r="CP354" s="535" t="str">
        <f t="shared" si="948"/>
        <v/>
      </c>
      <c r="CQ354" s="535" t="str">
        <f t="shared" si="949"/>
        <v/>
      </c>
      <c r="CR354" s="535">
        <f t="shared" si="950"/>
        <v>15365.555999999999</v>
      </c>
      <c r="CS354" s="535">
        <f t="shared" si="951"/>
        <v>15365.555999999999</v>
      </c>
      <c r="CT354" s="535">
        <f t="shared" si="952"/>
        <v>15365.555999999999</v>
      </c>
      <c r="CU354" s="536">
        <f t="shared" si="953"/>
        <v>15365.555999999999</v>
      </c>
      <c r="CV354" s="536">
        <f t="shared" si="954"/>
        <v>15365.555999999999</v>
      </c>
      <c r="CW354" s="536">
        <f t="shared" si="955"/>
        <v>15365.555999999999</v>
      </c>
      <c r="CX354" s="535">
        <f t="shared" si="956"/>
        <v>15365.555999999999</v>
      </c>
      <c r="CY354" s="535">
        <f t="shared" si="957"/>
        <v>15365.555999999999</v>
      </c>
      <c r="CZ354" s="535">
        <f t="shared" si="958"/>
        <v>15365.555999999999</v>
      </c>
      <c r="DA354" s="535">
        <f t="shared" si="959"/>
        <v>15365.555999999999</v>
      </c>
      <c r="DB354" s="535" t="str">
        <f t="shared" si="960"/>
        <v/>
      </c>
      <c r="DC354" s="534" t="str">
        <f t="shared" si="961"/>
        <v/>
      </c>
      <c r="DD354" s="533" t="str">
        <f t="shared" si="962"/>
        <v/>
      </c>
      <c r="DE354" s="635">
        <f t="shared" si="963"/>
        <v>10</v>
      </c>
      <c r="DF354" s="95">
        <f t="shared" si="964"/>
        <v>10</v>
      </c>
      <c r="DG354" s="95">
        <f t="shared" si="965"/>
        <v>10</v>
      </c>
      <c r="DH354" s="95">
        <f t="shared" si="966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941"/>
        <v/>
      </c>
      <c r="CA355" s="582" t="str">
        <f t="shared" si="942"/>
        <v/>
      </c>
      <c r="CB355" s="582" t="str">
        <f t="shared" si="943"/>
        <v/>
      </c>
      <c r="CC355" s="670" t="str">
        <f t="shared" si="944"/>
        <v/>
      </c>
      <c r="CD355" s="988" t="str">
        <f t="shared" si="945"/>
        <v/>
      </c>
      <c r="CE355" s="989" t="str">
        <f t="shared" si="945"/>
        <v/>
      </c>
      <c r="CF355" s="989" t="str">
        <f t="shared" si="945"/>
        <v/>
      </c>
      <c r="CG355" s="989" t="str">
        <f t="shared" si="945"/>
        <v/>
      </c>
      <c r="CH355" s="990" t="str">
        <f t="shared" si="945"/>
        <v/>
      </c>
      <c r="CI355" s="990" t="str">
        <f t="shared" si="945"/>
        <v/>
      </c>
      <c r="CJ355" s="989" t="str">
        <f t="shared" si="945"/>
        <v/>
      </c>
      <c r="CK355" s="989" t="str">
        <f t="shared" si="945"/>
        <v/>
      </c>
      <c r="CL355" s="989" t="str">
        <f t="shared" si="945"/>
        <v/>
      </c>
      <c r="CM355" s="988" t="str">
        <f t="shared" si="945"/>
        <v/>
      </c>
      <c r="CN355" s="533" t="str">
        <f t="shared" si="946"/>
        <v/>
      </c>
      <c r="CO355" s="534" t="str">
        <f t="shared" si="947"/>
        <v/>
      </c>
      <c r="CP355" s="535" t="str">
        <f t="shared" si="948"/>
        <v/>
      </c>
      <c r="CQ355" s="535" t="str">
        <f t="shared" si="949"/>
        <v/>
      </c>
      <c r="CR355" s="535" t="str">
        <f t="shared" si="950"/>
        <v/>
      </c>
      <c r="CS355" s="535" t="str">
        <f t="shared" si="951"/>
        <v/>
      </c>
      <c r="CT355" s="535" t="str">
        <f t="shared" si="952"/>
        <v/>
      </c>
      <c r="CU355" s="536" t="str">
        <f t="shared" si="953"/>
        <v/>
      </c>
      <c r="CV355" s="536" t="str">
        <f t="shared" si="954"/>
        <v/>
      </c>
      <c r="CW355" s="536" t="str">
        <f t="shared" si="955"/>
        <v/>
      </c>
      <c r="CX355" s="535" t="str">
        <f t="shared" si="956"/>
        <v/>
      </c>
      <c r="CY355" s="535" t="str">
        <f t="shared" si="957"/>
        <v/>
      </c>
      <c r="CZ355" s="535" t="str">
        <f t="shared" si="958"/>
        <v/>
      </c>
      <c r="DA355" s="535" t="str">
        <f t="shared" si="959"/>
        <v/>
      </c>
      <c r="DB355" s="535" t="str">
        <f t="shared" si="960"/>
        <v/>
      </c>
      <c r="DC355" s="534" t="str">
        <f t="shared" si="961"/>
        <v/>
      </c>
      <c r="DD355" s="533" t="str">
        <f t="shared" si="962"/>
        <v/>
      </c>
      <c r="DE355" s="635">
        <f t="shared" si="963"/>
        <v>0</v>
      </c>
      <c r="DF355" s="95">
        <f t="shared" si="964"/>
        <v>0</v>
      </c>
      <c r="DG355" s="95">
        <f t="shared" si="965"/>
        <v>0</v>
      </c>
      <c r="DH355" s="95">
        <f t="shared" si="966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941"/>
        <v/>
      </c>
      <c r="CA356" s="582" t="str">
        <f t="shared" si="942"/>
        <v/>
      </c>
      <c r="CB356" s="582" t="str">
        <f t="shared" si="943"/>
        <v/>
      </c>
      <c r="CC356" s="670" t="str">
        <f t="shared" si="944"/>
        <v/>
      </c>
      <c r="CD356" s="988" t="str">
        <f t="shared" si="945"/>
        <v/>
      </c>
      <c r="CE356" s="989" t="str">
        <f t="shared" si="945"/>
        <v/>
      </c>
      <c r="CF356" s="989" t="str">
        <f t="shared" si="945"/>
        <v/>
      </c>
      <c r="CG356" s="989" t="str">
        <f t="shared" si="945"/>
        <v/>
      </c>
      <c r="CH356" s="990" t="str">
        <f t="shared" si="945"/>
        <v/>
      </c>
      <c r="CI356" s="990" t="str">
        <f t="shared" si="945"/>
        <v/>
      </c>
      <c r="CJ356" s="989" t="str">
        <f t="shared" si="945"/>
        <v/>
      </c>
      <c r="CK356" s="989" t="str">
        <f t="shared" si="945"/>
        <v/>
      </c>
      <c r="CL356" s="989" t="str">
        <f t="shared" si="945"/>
        <v/>
      </c>
      <c r="CM356" s="988" t="str">
        <f t="shared" si="945"/>
        <v/>
      </c>
      <c r="CN356" s="533" t="str">
        <f t="shared" si="946"/>
        <v/>
      </c>
      <c r="CO356" s="534" t="str">
        <f t="shared" si="947"/>
        <v/>
      </c>
      <c r="CP356" s="535" t="str">
        <f t="shared" si="948"/>
        <v/>
      </c>
      <c r="CQ356" s="535" t="str">
        <f t="shared" si="949"/>
        <v/>
      </c>
      <c r="CR356" s="535" t="str">
        <f t="shared" si="950"/>
        <v/>
      </c>
      <c r="CS356" s="535" t="str">
        <f t="shared" si="951"/>
        <v/>
      </c>
      <c r="CT356" s="535" t="str">
        <f t="shared" si="952"/>
        <v/>
      </c>
      <c r="CU356" s="536" t="str">
        <f t="shared" si="953"/>
        <v/>
      </c>
      <c r="CV356" s="536" t="str">
        <f t="shared" si="954"/>
        <v/>
      </c>
      <c r="CW356" s="536" t="str">
        <f t="shared" si="955"/>
        <v/>
      </c>
      <c r="CX356" s="535" t="str">
        <f t="shared" si="956"/>
        <v/>
      </c>
      <c r="CY356" s="535" t="str">
        <f t="shared" si="957"/>
        <v/>
      </c>
      <c r="CZ356" s="535" t="str">
        <f t="shared" si="958"/>
        <v/>
      </c>
      <c r="DA356" s="535" t="str">
        <f t="shared" si="959"/>
        <v/>
      </c>
      <c r="DB356" s="535" t="str">
        <f t="shared" si="960"/>
        <v/>
      </c>
      <c r="DC356" s="534" t="str">
        <f t="shared" si="961"/>
        <v/>
      </c>
      <c r="DD356" s="533" t="str">
        <f t="shared" si="962"/>
        <v/>
      </c>
      <c r="DE356" s="635">
        <f t="shared" si="963"/>
        <v>0</v>
      </c>
      <c r="DF356" s="95">
        <f t="shared" si="964"/>
        <v>0</v>
      </c>
      <c r="DG356" s="95">
        <f t="shared" si="965"/>
        <v>0</v>
      </c>
      <c r="DH356" s="95">
        <f t="shared" si="966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975">IF(B355="","",B355*B356)</f>
        <v/>
      </c>
      <c r="C357" s="612" t="str">
        <f t="shared" si="975"/>
        <v/>
      </c>
      <c r="D357" s="612" t="str">
        <f t="shared" si="975"/>
        <v/>
      </c>
      <c r="E357" s="612" t="str">
        <f t="shared" si="975"/>
        <v/>
      </c>
      <c r="F357" s="612" t="str">
        <f t="shared" si="975"/>
        <v/>
      </c>
      <c r="G357" s="612" t="str">
        <f t="shared" si="975"/>
        <v/>
      </c>
      <c r="H357" s="612" t="str">
        <f t="shared" si="975"/>
        <v/>
      </c>
      <c r="I357" s="612" t="str">
        <f t="shared" si="975"/>
        <v/>
      </c>
      <c r="J357" s="612" t="str">
        <f t="shared" si="975"/>
        <v/>
      </c>
      <c r="K357" s="612" t="str">
        <f t="shared" si="975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976">IF(T355="","",T355*T356)</f>
        <v/>
      </c>
      <c r="U357" s="612" t="str">
        <f t="shared" si="976"/>
        <v/>
      </c>
      <c r="V357" s="612" t="str">
        <f t="shared" si="976"/>
        <v/>
      </c>
      <c r="W357" s="612" t="str">
        <f t="shared" si="976"/>
        <v/>
      </c>
      <c r="X357" s="612" t="str">
        <f t="shared" si="976"/>
        <v/>
      </c>
      <c r="Y357" s="612" t="str">
        <f t="shared" si="976"/>
        <v/>
      </c>
      <c r="Z357" s="612" t="str">
        <f t="shared" si="976"/>
        <v/>
      </c>
      <c r="AA357" s="612" t="str">
        <f t="shared" si="976"/>
        <v/>
      </c>
      <c r="AB357" s="612" t="str">
        <f t="shared" si="976"/>
        <v/>
      </c>
      <c r="AC357" s="612" t="str">
        <f t="shared" si="976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977">IF(AL355="","",AL355*AL356)</f>
        <v/>
      </c>
      <c r="AM357" s="612" t="str">
        <f t="shared" si="977"/>
        <v/>
      </c>
      <c r="AN357" s="612" t="str">
        <f t="shared" si="977"/>
        <v/>
      </c>
      <c r="AO357" s="612" t="str">
        <f t="shared" si="977"/>
        <v/>
      </c>
      <c r="AP357" s="612" t="str">
        <f t="shared" si="977"/>
        <v/>
      </c>
      <c r="AQ357" s="612" t="str">
        <f t="shared" si="977"/>
        <v/>
      </c>
      <c r="AR357" s="612" t="str">
        <f t="shared" si="977"/>
        <v/>
      </c>
      <c r="AS357" s="612" t="str">
        <f t="shared" si="977"/>
        <v/>
      </c>
      <c r="AT357" s="612" t="str">
        <f t="shared" si="977"/>
        <v/>
      </c>
      <c r="AU357" s="612" t="str">
        <f t="shared" si="977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978">IF(BD355="","",BD355*BD356)</f>
        <v/>
      </c>
      <c r="BE357" s="1201" t="str">
        <f t="shared" si="978"/>
        <v/>
      </c>
      <c r="BF357" s="1201" t="str">
        <f t="shared" si="978"/>
        <v/>
      </c>
      <c r="BG357" s="1201" t="str">
        <f t="shared" si="978"/>
        <v/>
      </c>
      <c r="BH357" s="1201" t="str">
        <f t="shared" si="978"/>
        <v/>
      </c>
      <c r="BI357" s="1201" t="str">
        <f t="shared" si="978"/>
        <v/>
      </c>
      <c r="BJ357" s="1201" t="str">
        <f t="shared" si="978"/>
        <v/>
      </c>
      <c r="BK357" s="1201" t="str">
        <f t="shared" si="978"/>
        <v/>
      </c>
      <c r="BL357" s="1201" t="str">
        <f t="shared" si="978"/>
        <v/>
      </c>
      <c r="BM357" s="1201" t="str">
        <f t="shared" si="978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941"/>
        <v/>
      </c>
      <c r="CA357" s="582" t="str">
        <f t="shared" si="942"/>
        <v/>
      </c>
      <c r="CB357" s="582" t="str">
        <f t="shared" si="943"/>
        <v/>
      </c>
      <c r="CC357" s="670" t="str">
        <f t="shared" si="944"/>
        <v/>
      </c>
      <c r="CD357" s="988" t="str">
        <f t="shared" si="945"/>
        <v/>
      </c>
      <c r="CE357" s="989" t="str">
        <f t="shared" si="945"/>
        <v/>
      </c>
      <c r="CF357" s="989" t="str">
        <f t="shared" si="945"/>
        <v/>
      </c>
      <c r="CG357" s="989" t="str">
        <f t="shared" si="945"/>
        <v/>
      </c>
      <c r="CH357" s="990" t="str">
        <f t="shared" si="945"/>
        <v/>
      </c>
      <c r="CI357" s="990" t="str">
        <f t="shared" si="945"/>
        <v/>
      </c>
      <c r="CJ357" s="989" t="str">
        <f t="shared" si="945"/>
        <v/>
      </c>
      <c r="CK357" s="989" t="str">
        <f t="shared" si="945"/>
        <v/>
      </c>
      <c r="CL357" s="989" t="str">
        <f t="shared" si="945"/>
        <v/>
      </c>
      <c r="CM357" s="988" t="str">
        <f t="shared" si="945"/>
        <v/>
      </c>
      <c r="CN357" s="533" t="str">
        <f t="shared" si="946"/>
        <v/>
      </c>
      <c r="CO357" s="534" t="str">
        <f t="shared" si="947"/>
        <v/>
      </c>
      <c r="CP357" s="535" t="str">
        <f t="shared" si="948"/>
        <v/>
      </c>
      <c r="CQ357" s="535" t="str">
        <f t="shared" si="949"/>
        <v/>
      </c>
      <c r="CR357" s="535" t="str">
        <f t="shared" si="950"/>
        <v/>
      </c>
      <c r="CS357" s="535" t="str">
        <f t="shared" si="951"/>
        <v/>
      </c>
      <c r="CT357" s="535" t="str">
        <f t="shared" si="952"/>
        <v/>
      </c>
      <c r="CU357" s="536" t="str">
        <f t="shared" si="953"/>
        <v/>
      </c>
      <c r="CV357" s="536" t="str">
        <f t="shared" si="954"/>
        <v/>
      </c>
      <c r="CW357" s="536" t="str">
        <f t="shared" si="955"/>
        <v/>
      </c>
      <c r="CX357" s="535" t="str">
        <f t="shared" si="956"/>
        <v/>
      </c>
      <c r="CY357" s="535" t="str">
        <f t="shared" si="957"/>
        <v/>
      </c>
      <c r="CZ357" s="535" t="str">
        <f t="shared" si="958"/>
        <v/>
      </c>
      <c r="DA357" s="535" t="str">
        <f t="shared" si="959"/>
        <v/>
      </c>
      <c r="DB357" s="535" t="str">
        <f t="shared" si="960"/>
        <v/>
      </c>
      <c r="DC357" s="534" t="str">
        <f t="shared" si="961"/>
        <v/>
      </c>
      <c r="DD357" s="533" t="str">
        <f t="shared" si="962"/>
        <v/>
      </c>
      <c r="DE357" s="635">
        <f t="shared" si="963"/>
        <v>0</v>
      </c>
      <c r="DF357" s="95">
        <f t="shared" si="964"/>
        <v>0</v>
      </c>
      <c r="DG357" s="95">
        <f t="shared" si="965"/>
        <v>0</v>
      </c>
      <c r="DH357" s="95">
        <f t="shared" si="966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941"/>
        <v/>
      </c>
      <c r="CA358" s="582" t="str">
        <f t="shared" si="942"/>
        <v/>
      </c>
      <c r="CB358" s="582" t="str">
        <f t="shared" si="943"/>
        <v/>
      </c>
      <c r="CC358" s="670" t="str">
        <f t="shared" si="944"/>
        <v/>
      </c>
      <c r="CD358" s="988" t="str">
        <f t="shared" si="945"/>
        <v/>
      </c>
      <c r="CE358" s="989" t="str">
        <f t="shared" si="945"/>
        <v/>
      </c>
      <c r="CF358" s="989" t="str">
        <f t="shared" si="945"/>
        <v/>
      </c>
      <c r="CG358" s="989" t="str">
        <f t="shared" si="945"/>
        <v/>
      </c>
      <c r="CH358" s="990" t="str">
        <f t="shared" si="945"/>
        <v/>
      </c>
      <c r="CI358" s="990" t="str">
        <f t="shared" si="945"/>
        <v/>
      </c>
      <c r="CJ358" s="989" t="str">
        <f t="shared" si="945"/>
        <v/>
      </c>
      <c r="CK358" s="989" t="str">
        <f t="shared" si="945"/>
        <v/>
      </c>
      <c r="CL358" s="989" t="str">
        <f t="shared" si="945"/>
        <v/>
      </c>
      <c r="CM358" s="988" t="str">
        <f t="shared" si="945"/>
        <v/>
      </c>
      <c r="CN358" s="533" t="str">
        <f t="shared" si="946"/>
        <v/>
      </c>
      <c r="CO358" s="534" t="str">
        <f t="shared" si="947"/>
        <v/>
      </c>
      <c r="CP358" s="535" t="str">
        <f t="shared" si="948"/>
        <v/>
      </c>
      <c r="CQ358" s="535" t="str">
        <f t="shared" si="949"/>
        <v/>
      </c>
      <c r="CR358" s="535" t="str">
        <f t="shared" si="950"/>
        <v/>
      </c>
      <c r="CS358" s="535" t="str">
        <f t="shared" si="951"/>
        <v/>
      </c>
      <c r="CT358" s="535" t="str">
        <f t="shared" si="952"/>
        <v/>
      </c>
      <c r="CU358" s="536" t="str">
        <f t="shared" si="953"/>
        <v/>
      </c>
      <c r="CV358" s="536" t="str">
        <f t="shared" si="954"/>
        <v/>
      </c>
      <c r="CW358" s="536" t="str">
        <f t="shared" si="955"/>
        <v/>
      </c>
      <c r="CX358" s="535" t="str">
        <f t="shared" si="956"/>
        <v/>
      </c>
      <c r="CY358" s="535" t="str">
        <f t="shared" si="957"/>
        <v/>
      </c>
      <c r="CZ358" s="535" t="str">
        <f t="shared" si="958"/>
        <v/>
      </c>
      <c r="DA358" s="535" t="str">
        <f t="shared" si="959"/>
        <v/>
      </c>
      <c r="DB358" s="535" t="str">
        <f t="shared" si="960"/>
        <v/>
      </c>
      <c r="DC358" s="534" t="str">
        <f t="shared" si="961"/>
        <v/>
      </c>
      <c r="DD358" s="533" t="str">
        <f t="shared" si="962"/>
        <v/>
      </c>
      <c r="DE358" s="635">
        <f t="shared" si="963"/>
        <v>0</v>
      </c>
      <c r="DF358" s="95">
        <f t="shared" si="964"/>
        <v>0</v>
      </c>
      <c r="DG358" s="95">
        <f t="shared" si="965"/>
        <v>0</v>
      </c>
      <c r="DH358" s="95">
        <f t="shared" si="966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979">IF(B353="","",(B353-B355-B358)*B354/B$46/365/$G$1)</f>
        <v/>
      </c>
      <c r="C359" s="615" t="str">
        <f t="shared" si="979"/>
        <v/>
      </c>
      <c r="D359" s="615" t="str">
        <f t="shared" si="979"/>
        <v/>
      </c>
      <c r="E359" s="615" t="str">
        <f t="shared" si="979"/>
        <v/>
      </c>
      <c r="F359" s="615" t="str">
        <f t="shared" si="979"/>
        <v/>
      </c>
      <c r="G359" s="615" t="str">
        <f t="shared" si="979"/>
        <v/>
      </c>
      <c r="H359" s="615" t="str">
        <f t="shared" si="979"/>
        <v/>
      </c>
      <c r="I359" s="615" t="str">
        <f t="shared" si="979"/>
        <v/>
      </c>
      <c r="J359" s="615" t="str">
        <f t="shared" si="979"/>
        <v/>
      </c>
      <c r="K359" s="615" t="str">
        <f t="shared" si="979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980">IF(T353="","",(T353-T355-T358)*T354/T$46/365/$G$1)</f>
        <v/>
      </c>
      <c r="U359" s="615" t="str">
        <f t="shared" si="980"/>
        <v/>
      </c>
      <c r="V359" s="615" t="str">
        <f t="shared" si="980"/>
        <v/>
      </c>
      <c r="W359" s="615" t="str">
        <f t="shared" si="980"/>
        <v/>
      </c>
      <c r="X359" s="615" t="str">
        <f t="shared" si="980"/>
        <v/>
      </c>
      <c r="Y359" s="615" t="str">
        <f t="shared" si="980"/>
        <v/>
      </c>
      <c r="Z359" s="615" t="str">
        <f t="shared" si="980"/>
        <v/>
      </c>
      <c r="AA359" s="615" t="str">
        <f t="shared" si="980"/>
        <v/>
      </c>
      <c r="AB359" s="615" t="str">
        <f t="shared" si="980"/>
        <v/>
      </c>
      <c r="AC359" s="615" t="str">
        <f t="shared" si="980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981">IF(AL353="","",(AL353-AL355-AL358)*AL354/AL$46/365/$G$1)</f>
        <v/>
      </c>
      <c r="AM359" s="615" t="str">
        <f t="shared" si="981"/>
        <v/>
      </c>
      <c r="AN359" s="615" t="str">
        <f t="shared" si="981"/>
        <v/>
      </c>
      <c r="AO359" s="615" t="str">
        <f t="shared" si="981"/>
        <v/>
      </c>
      <c r="AP359" s="615" t="str">
        <f t="shared" si="981"/>
        <v/>
      </c>
      <c r="AQ359" s="615" t="str">
        <f t="shared" si="981"/>
        <v/>
      </c>
      <c r="AR359" s="615" t="str">
        <f t="shared" si="981"/>
        <v/>
      </c>
      <c r="AS359" s="615" t="str">
        <f t="shared" si="981"/>
        <v/>
      </c>
      <c r="AT359" s="615" t="str">
        <f t="shared" si="981"/>
        <v/>
      </c>
      <c r="AU359" s="615" t="str">
        <f t="shared" si="981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982">IF(BD353="","",(BD353-BD355-BD358)*BD354/BD$46/365/$G$1)</f>
        <v/>
      </c>
      <c r="BE359" s="1202" t="str">
        <f t="shared" si="982"/>
        <v/>
      </c>
      <c r="BF359" s="1202" t="str">
        <f t="shared" si="982"/>
        <v/>
      </c>
      <c r="BG359" s="1202" t="str">
        <f t="shared" si="982"/>
        <v/>
      </c>
      <c r="BH359" s="1202" t="str">
        <f t="shared" si="982"/>
        <v/>
      </c>
      <c r="BI359" s="1202" t="str">
        <f t="shared" si="982"/>
        <v/>
      </c>
      <c r="BJ359" s="1202" t="str">
        <f t="shared" si="982"/>
        <v/>
      </c>
      <c r="BK359" s="1202" t="str">
        <f t="shared" si="982"/>
        <v/>
      </c>
      <c r="BL359" s="1202" t="str">
        <f t="shared" si="982"/>
        <v/>
      </c>
      <c r="BM359" s="1202" t="str">
        <f t="shared" si="982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941"/>
        <v/>
      </c>
      <c r="CA359" s="607" t="str">
        <f t="shared" si="942"/>
        <v/>
      </c>
      <c r="CB359" s="607" t="str">
        <f t="shared" si="943"/>
        <v/>
      </c>
      <c r="CC359" s="673" t="str">
        <f t="shared" si="944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98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983"/>
        <v/>
      </c>
      <c r="CG359" s="992" t="str">
        <f t="shared" si="983"/>
        <v/>
      </c>
      <c r="CH359" s="993" t="str">
        <f t="shared" si="983"/>
        <v/>
      </c>
      <c r="CI359" s="993" t="str">
        <f t="shared" si="983"/>
        <v/>
      </c>
      <c r="CJ359" s="992" t="str">
        <f t="shared" si="983"/>
        <v/>
      </c>
      <c r="CK359" s="992" t="str">
        <f t="shared" si="983"/>
        <v/>
      </c>
      <c r="CL359" s="992" t="str">
        <f t="shared" si="983"/>
        <v/>
      </c>
      <c r="CM359" s="991" t="str">
        <f t="shared" si="983"/>
        <v/>
      </c>
      <c r="CN359" s="521" t="str">
        <f t="shared" si="946"/>
        <v/>
      </c>
      <c r="CO359" s="522" t="str">
        <f t="shared" si="947"/>
        <v/>
      </c>
      <c r="CP359" s="523" t="str">
        <f t="shared" si="948"/>
        <v/>
      </c>
      <c r="CQ359" s="523" t="str">
        <f t="shared" si="949"/>
        <v/>
      </c>
      <c r="CR359" s="523" t="str">
        <f t="shared" si="950"/>
        <v/>
      </c>
      <c r="CS359" s="523" t="str">
        <f t="shared" si="951"/>
        <v/>
      </c>
      <c r="CT359" s="523" t="str">
        <f t="shared" si="952"/>
        <v/>
      </c>
      <c r="CU359" s="524" t="str">
        <f t="shared" si="953"/>
        <v/>
      </c>
      <c r="CV359" s="524" t="str">
        <f t="shared" si="954"/>
        <v/>
      </c>
      <c r="CW359" s="524" t="str">
        <f t="shared" si="955"/>
        <v/>
      </c>
      <c r="CX359" s="523" t="str">
        <f t="shared" si="956"/>
        <v/>
      </c>
      <c r="CY359" s="523" t="str">
        <f t="shared" si="957"/>
        <v/>
      </c>
      <c r="CZ359" s="523" t="str">
        <f t="shared" si="958"/>
        <v/>
      </c>
      <c r="DA359" s="523" t="str">
        <f t="shared" si="959"/>
        <v/>
      </c>
      <c r="DB359" s="523" t="str">
        <f t="shared" si="960"/>
        <v/>
      </c>
      <c r="DC359" s="522" t="str">
        <f t="shared" si="961"/>
        <v/>
      </c>
      <c r="DD359" s="521" t="str">
        <f t="shared" si="962"/>
        <v/>
      </c>
      <c r="DE359" s="635">
        <f t="shared" si="963"/>
        <v>0</v>
      </c>
      <c r="DF359" s="95">
        <f t="shared" si="964"/>
        <v>0</v>
      </c>
      <c r="DG359" s="95">
        <f t="shared" si="965"/>
        <v>0</v>
      </c>
      <c r="DH359" s="95">
        <f t="shared" si="966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941"/>
        <v/>
      </c>
      <c r="CA360" s="574" t="str">
        <f t="shared" si="942"/>
        <v/>
      </c>
      <c r="CB360" s="574" t="str">
        <f t="shared" si="943"/>
        <v/>
      </c>
      <c r="CC360" s="669" t="str">
        <f t="shared" si="944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941"/>
        <v/>
      </c>
      <c r="CA361" s="582" t="str">
        <f t="shared" si="942"/>
        <v/>
      </c>
      <c r="CB361" s="582" t="str">
        <f t="shared" si="943"/>
        <v/>
      </c>
      <c r="CC361" s="670" t="str">
        <f t="shared" si="944"/>
        <v/>
      </c>
      <c r="CD361" s="988" t="str">
        <f t="shared" ref="CD361:CM361" si="98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984"/>
        <v/>
      </c>
      <c r="CF361" s="989" t="str">
        <f t="shared" si="984"/>
        <v/>
      </c>
      <c r="CG361" s="989" t="str">
        <f t="shared" si="984"/>
        <v/>
      </c>
      <c r="CH361" s="990" t="str">
        <f t="shared" si="984"/>
        <v/>
      </c>
      <c r="CI361" s="990" t="str">
        <f t="shared" si="984"/>
        <v/>
      </c>
      <c r="CJ361" s="989" t="str">
        <f t="shared" si="984"/>
        <v/>
      </c>
      <c r="CK361" s="989" t="str">
        <f t="shared" si="984"/>
        <v/>
      </c>
      <c r="CL361" s="989" t="str">
        <f t="shared" si="984"/>
        <v/>
      </c>
      <c r="CM361" s="988" t="str">
        <f t="shared" si="984"/>
        <v/>
      </c>
      <c r="CN361" s="533" t="str">
        <f t="shared" ref="CN361:DD361" si="98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985"/>
        <v/>
      </c>
      <c r="CP361" s="535" t="str">
        <f t="shared" si="985"/>
        <v/>
      </c>
      <c r="CQ361" s="535" t="str">
        <f t="shared" si="985"/>
        <v/>
      </c>
      <c r="CR361" s="535" t="str">
        <f t="shared" si="985"/>
        <v/>
      </c>
      <c r="CS361" s="535" t="str">
        <f t="shared" si="985"/>
        <v/>
      </c>
      <c r="CT361" s="535" t="str">
        <f t="shared" si="985"/>
        <v/>
      </c>
      <c r="CU361" s="536" t="str">
        <f t="shared" si="985"/>
        <v/>
      </c>
      <c r="CV361" s="536" t="str">
        <f t="shared" si="985"/>
        <v/>
      </c>
      <c r="CW361" s="536" t="str">
        <f t="shared" si="985"/>
        <v/>
      </c>
      <c r="CX361" s="535" t="str">
        <f t="shared" si="985"/>
        <v/>
      </c>
      <c r="CY361" s="535" t="str">
        <f t="shared" si="985"/>
        <v/>
      </c>
      <c r="CZ361" s="535" t="str">
        <f t="shared" si="985"/>
        <v/>
      </c>
      <c r="DA361" s="535" t="str">
        <f t="shared" si="985"/>
        <v/>
      </c>
      <c r="DB361" s="535" t="str">
        <f t="shared" si="985"/>
        <v/>
      </c>
      <c r="DC361" s="534" t="str">
        <f t="shared" si="985"/>
        <v/>
      </c>
      <c r="DD361" s="533" t="str">
        <f t="shared" si="985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986">IF(DE363&lt;3,"",(SUM(B363:R363)-MIN(B363:R363)-MAX(B363:R363))/(DE363-2))</f>
        <v/>
      </c>
      <c r="CA363" s="582" t="str">
        <f t="shared" ref="CA363:CA372" si="987">IF(DF363&lt;3,"",(SUM(T363:AJ363)-MIN(T363:AJ363)-MAX(T363:AJ363))/(DF363-2))</f>
        <v/>
      </c>
      <c r="CB363" s="582" t="str">
        <f t="shared" ref="CB363:CB372" si="988">IF(DG363&lt;3,"",(SUM(AL363:BB363)-MIN(AL363:BB363)-MAX(AL363:BB363))/(DG363-2))</f>
        <v/>
      </c>
      <c r="CC363" s="670" t="str">
        <f t="shared" ref="CC363:CC372" si="989">IF(DH363&lt;3,"",(SUM(BD363:BT363)-MIN(BD363:BT363)-MAX(BD363:BT363))/(DH363-2))</f>
        <v/>
      </c>
      <c r="CD363" s="988" t="str">
        <f t="shared" ref="CD363:CM369" si="99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990"/>
        <v/>
      </c>
      <c r="CF363" s="989" t="str">
        <f t="shared" si="990"/>
        <v/>
      </c>
      <c r="CG363" s="989" t="str">
        <f t="shared" si="990"/>
        <v/>
      </c>
      <c r="CH363" s="990" t="str">
        <f t="shared" si="990"/>
        <v/>
      </c>
      <c r="CI363" s="990" t="str">
        <f t="shared" si="990"/>
        <v/>
      </c>
      <c r="CJ363" s="989" t="str">
        <f t="shared" si="990"/>
        <v/>
      </c>
      <c r="CK363" s="989" t="str">
        <f t="shared" si="990"/>
        <v/>
      </c>
      <c r="CL363" s="989" t="str">
        <f t="shared" si="990"/>
        <v/>
      </c>
      <c r="CM363" s="988" t="str">
        <f t="shared" si="990"/>
        <v/>
      </c>
      <c r="CN363" s="533" t="str">
        <f t="shared" ref="CN363:CN370" si="99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99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9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99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99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99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99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99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99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0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0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0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0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0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0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0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0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08">COUNT(B363:R363)</f>
        <v>0</v>
      </c>
      <c r="DF363" s="95">
        <f t="shared" ref="DF363:DF370" si="1009">COUNT(T363:AJ363)</f>
        <v>0</v>
      </c>
      <c r="DG363" s="95">
        <f t="shared" ref="DG363:DG370" si="1010">COUNT(AL363:BB363)</f>
        <v>0</v>
      </c>
      <c r="DH363" s="95">
        <f t="shared" ref="DH363:DH370" si="1011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12">IF(B361="","",B361*B363)</f>
        <v/>
      </c>
      <c r="C364" s="612" t="str">
        <f t="shared" si="1012"/>
        <v/>
      </c>
      <c r="D364" s="612" t="str">
        <f t="shared" si="1012"/>
        <v/>
      </c>
      <c r="E364" s="612" t="str">
        <f t="shared" si="1012"/>
        <v/>
      </c>
      <c r="F364" s="612" t="str">
        <f t="shared" si="1012"/>
        <v/>
      </c>
      <c r="G364" s="612" t="str">
        <f t="shared" si="1012"/>
        <v/>
      </c>
      <c r="H364" s="612" t="str">
        <f t="shared" si="1012"/>
        <v/>
      </c>
      <c r="I364" s="612" t="str">
        <f t="shared" si="1012"/>
        <v/>
      </c>
      <c r="J364" s="612" t="str">
        <f t="shared" si="1012"/>
        <v/>
      </c>
      <c r="K364" s="612" t="str">
        <f t="shared" si="1012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13">IF(T361="","",T361*T363)</f>
        <v/>
      </c>
      <c r="U364" s="612" t="str">
        <f t="shared" si="1013"/>
        <v/>
      </c>
      <c r="V364" s="612" t="str">
        <f t="shared" si="1013"/>
        <v/>
      </c>
      <c r="W364" s="612" t="str">
        <f t="shared" si="1013"/>
        <v/>
      </c>
      <c r="X364" s="612" t="str">
        <f t="shared" si="1013"/>
        <v/>
      </c>
      <c r="Y364" s="612" t="str">
        <f t="shared" si="1013"/>
        <v/>
      </c>
      <c r="Z364" s="612" t="str">
        <f t="shared" si="1013"/>
        <v/>
      </c>
      <c r="AA364" s="612" t="str">
        <f t="shared" si="1013"/>
        <v/>
      </c>
      <c r="AB364" s="612" t="str">
        <f t="shared" si="1013"/>
        <v/>
      </c>
      <c r="AC364" s="612" t="str">
        <f t="shared" si="1013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14">IF(AL361="","",AL361*AL363)</f>
        <v/>
      </c>
      <c r="AM364" s="612" t="str">
        <f t="shared" si="1014"/>
        <v/>
      </c>
      <c r="AN364" s="612" t="str">
        <f t="shared" si="1014"/>
        <v/>
      </c>
      <c r="AO364" s="612" t="str">
        <f t="shared" si="1014"/>
        <v/>
      </c>
      <c r="AP364" s="612" t="str">
        <f t="shared" si="1014"/>
        <v/>
      </c>
      <c r="AQ364" s="612" t="str">
        <f t="shared" si="1014"/>
        <v/>
      </c>
      <c r="AR364" s="612" t="str">
        <f t="shared" si="1014"/>
        <v/>
      </c>
      <c r="AS364" s="612" t="str">
        <f t="shared" si="1014"/>
        <v/>
      </c>
      <c r="AT364" s="612" t="str">
        <f t="shared" si="1014"/>
        <v/>
      </c>
      <c r="AU364" s="612" t="str">
        <f t="shared" si="1014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15">IF(BD361="","",BD361*BD363)</f>
        <v/>
      </c>
      <c r="BE364" s="1201" t="str">
        <f t="shared" si="1015"/>
        <v/>
      </c>
      <c r="BF364" s="1201" t="str">
        <f t="shared" si="1015"/>
        <v/>
      </c>
      <c r="BG364" s="1201" t="str">
        <f t="shared" si="1015"/>
        <v/>
      </c>
      <c r="BH364" s="1201" t="str">
        <f t="shared" si="1015"/>
        <v/>
      </c>
      <c r="BI364" s="1201" t="str">
        <f t="shared" si="1015"/>
        <v/>
      </c>
      <c r="BJ364" s="1201" t="str">
        <f t="shared" si="1015"/>
        <v/>
      </c>
      <c r="BK364" s="1201" t="str">
        <f t="shared" si="1015"/>
        <v/>
      </c>
      <c r="BL364" s="1201" t="str">
        <f t="shared" si="1015"/>
        <v/>
      </c>
      <c r="BM364" s="1201" t="str">
        <f t="shared" si="1015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986"/>
        <v/>
      </c>
      <c r="CA364" s="582" t="str">
        <f t="shared" si="987"/>
        <v/>
      </c>
      <c r="CB364" s="582" t="str">
        <f t="shared" si="988"/>
        <v/>
      </c>
      <c r="CC364" s="670" t="str">
        <f t="shared" si="989"/>
        <v/>
      </c>
      <c r="CD364" s="988" t="str">
        <f t="shared" si="990"/>
        <v/>
      </c>
      <c r="CE364" s="989" t="str">
        <f t="shared" si="990"/>
        <v/>
      </c>
      <c r="CF364" s="989" t="str">
        <f t="shared" si="990"/>
        <v/>
      </c>
      <c r="CG364" s="989" t="str">
        <f t="shared" si="990"/>
        <v/>
      </c>
      <c r="CH364" s="990" t="str">
        <f t="shared" si="990"/>
        <v/>
      </c>
      <c r="CI364" s="990" t="str">
        <f t="shared" si="990"/>
        <v/>
      </c>
      <c r="CJ364" s="989" t="str">
        <f t="shared" si="990"/>
        <v/>
      </c>
      <c r="CK364" s="989" t="str">
        <f t="shared" si="990"/>
        <v/>
      </c>
      <c r="CL364" s="989" t="str">
        <f t="shared" si="990"/>
        <v/>
      </c>
      <c r="CM364" s="988" t="str">
        <f t="shared" si="990"/>
        <v/>
      </c>
      <c r="CN364" s="533" t="str">
        <f t="shared" si="991"/>
        <v/>
      </c>
      <c r="CO364" s="534" t="str">
        <f t="shared" si="992"/>
        <v/>
      </c>
      <c r="CP364" s="535" t="str">
        <f t="shared" si="993"/>
        <v/>
      </c>
      <c r="CQ364" s="535" t="str">
        <f t="shared" si="994"/>
        <v/>
      </c>
      <c r="CR364" s="535" t="str">
        <f t="shared" si="995"/>
        <v/>
      </c>
      <c r="CS364" s="535" t="str">
        <f t="shared" si="996"/>
        <v/>
      </c>
      <c r="CT364" s="535" t="str">
        <f t="shared" si="997"/>
        <v/>
      </c>
      <c r="CU364" s="536" t="str">
        <f t="shared" si="998"/>
        <v/>
      </c>
      <c r="CV364" s="536" t="str">
        <f t="shared" si="999"/>
        <v/>
      </c>
      <c r="CW364" s="536" t="str">
        <f t="shared" si="1000"/>
        <v/>
      </c>
      <c r="CX364" s="535" t="str">
        <f t="shared" si="1001"/>
        <v/>
      </c>
      <c r="CY364" s="535" t="str">
        <f t="shared" si="1002"/>
        <v/>
      </c>
      <c r="CZ364" s="535" t="str">
        <f t="shared" si="1003"/>
        <v/>
      </c>
      <c r="DA364" s="535" t="str">
        <f t="shared" si="1004"/>
        <v/>
      </c>
      <c r="DB364" s="535" t="str">
        <f t="shared" si="1005"/>
        <v/>
      </c>
      <c r="DC364" s="534" t="str">
        <f t="shared" si="1006"/>
        <v/>
      </c>
      <c r="DD364" s="533" t="str">
        <f t="shared" si="1007"/>
        <v/>
      </c>
      <c r="DE364" s="635">
        <f t="shared" si="1008"/>
        <v>0</v>
      </c>
      <c r="DF364" s="95">
        <f t="shared" si="1009"/>
        <v>0</v>
      </c>
      <c r="DG364" s="95">
        <f t="shared" si="1010"/>
        <v>0</v>
      </c>
      <c r="DH364" s="95">
        <f t="shared" si="1011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986"/>
        <v/>
      </c>
      <c r="CA365" s="582" t="str">
        <f t="shared" si="987"/>
        <v/>
      </c>
      <c r="CB365" s="582" t="str">
        <f t="shared" si="988"/>
        <v/>
      </c>
      <c r="CC365" s="670" t="str">
        <f t="shared" si="989"/>
        <v/>
      </c>
      <c r="CD365" s="988" t="str">
        <f t="shared" si="990"/>
        <v/>
      </c>
      <c r="CE365" s="989" t="str">
        <f t="shared" si="990"/>
        <v/>
      </c>
      <c r="CF365" s="989" t="str">
        <f t="shared" si="990"/>
        <v/>
      </c>
      <c r="CG365" s="989" t="str">
        <f t="shared" si="990"/>
        <v/>
      </c>
      <c r="CH365" s="990" t="str">
        <f t="shared" si="990"/>
        <v/>
      </c>
      <c r="CI365" s="990" t="str">
        <f t="shared" si="990"/>
        <v/>
      </c>
      <c r="CJ365" s="989" t="str">
        <f t="shared" si="990"/>
        <v/>
      </c>
      <c r="CK365" s="989" t="str">
        <f t="shared" si="990"/>
        <v/>
      </c>
      <c r="CL365" s="989" t="str">
        <f t="shared" si="990"/>
        <v/>
      </c>
      <c r="CM365" s="988" t="str">
        <f t="shared" si="990"/>
        <v/>
      </c>
      <c r="CN365" s="533" t="str">
        <f t="shared" si="991"/>
        <v/>
      </c>
      <c r="CO365" s="534" t="str">
        <f t="shared" si="992"/>
        <v/>
      </c>
      <c r="CP365" s="535" t="str">
        <f t="shared" si="993"/>
        <v/>
      </c>
      <c r="CQ365" s="535" t="str">
        <f t="shared" si="994"/>
        <v/>
      </c>
      <c r="CR365" s="535" t="str">
        <f t="shared" si="995"/>
        <v/>
      </c>
      <c r="CS365" s="535" t="str">
        <f t="shared" si="996"/>
        <v/>
      </c>
      <c r="CT365" s="535" t="str">
        <f t="shared" si="997"/>
        <v/>
      </c>
      <c r="CU365" s="536" t="str">
        <f t="shared" si="998"/>
        <v/>
      </c>
      <c r="CV365" s="536" t="str">
        <f t="shared" si="999"/>
        <v/>
      </c>
      <c r="CW365" s="536" t="str">
        <f t="shared" si="1000"/>
        <v/>
      </c>
      <c r="CX365" s="535" t="str">
        <f t="shared" si="1001"/>
        <v/>
      </c>
      <c r="CY365" s="535" t="str">
        <f t="shared" si="1002"/>
        <v/>
      </c>
      <c r="CZ365" s="535" t="str">
        <f t="shared" si="1003"/>
        <v/>
      </c>
      <c r="DA365" s="535" t="str">
        <f t="shared" si="1004"/>
        <v/>
      </c>
      <c r="DB365" s="535" t="str">
        <f t="shared" si="1005"/>
        <v/>
      </c>
      <c r="DC365" s="534" t="str">
        <f t="shared" si="1006"/>
        <v/>
      </c>
      <c r="DD365" s="533" t="str">
        <f t="shared" si="1007"/>
        <v/>
      </c>
      <c r="DE365" s="635">
        <f t="shared" si="1008"/>
        <v>0</v>
      </c>
      <c r="DF365" s="95">
        <f t="shared" si="1009"/>
        <v>0</v>
      </c>
      <c r="DG365" s="95">
        <f t="shared" si="1010"/>
        <v>0</v>
      </c>
      <c r="DH365" s="95">
        <f t="shared" si="1011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986"/>
        <v/>
      </c>
      <c r="CA366" s="582" t="str">
        <f t="shared" si="987"/>
        <v/>
      </c>
      <c r="CB366" s="582" t="str">
        <f t="shared" si="988"/>
        <v/>
      </c>
      <c r="CC366" s="670" t="str">
        <f t="shared" si="989"/>
        <v/>
      </c>
      <c r="CD366" s="988" t="str">
        <f t="shared" si="990"/>
        <v/>
      </c>
      <c r="CE366" s="989" t="str">
        <f t="shared" si="990"/>
        <v/>
      </c>
      <c r="CF366" s="989" t="str">
        <f t="shared" si="990"/>
        <v/>
      </c>
      <c r="CG366" s="989" t="str">
        <f t="shared" si="990"/>
        <v/>
      </c>
      <c r="CH366" s="990" t="str">
        <f t="shared" si="990"/>
        <v/>
      </c>
      <c r="CI366" s="990" t="str">
        <f t="shared" si="990"/>
        <v/>
      </c>
      <c r="CJ366" s="989" t="str">
        <f t="shared" si="990"/>
        <v/>
      </c>
      <c r="CK366" s="989" t="str">
        <f t="shared" si="990"/>
        <v/>
      </c>
      <c r="CL366" s="989" t="str">
        <f t="shared" si="990"/>
        <v/>
      </c>
      <c r="CM366" s="988" t="str">
        <f t="shared" si="990"/>
        <v/>
      </c>
      <c r="CN366" s="533" t="str">
        <f t="shared" si="991"/>
        <v/>
      </c>
      <c r="CO366" s="534" t="str">
        <f t="shared" si="992"/>
        <v/>
      </c>
      <c r="CP366" s="535" t="str">
        <f t="shared" si="993"/>
        <v/>
      </c>
      <c r="CQ366" s="535" t="str">
        <f t="shared" si="994"/>
        <v/>
      </c>
      <c r="CR366" s="535" t="str">
        <f t="shared" si="995"/>
        <v/>
      </c>
      <c r="CS366" s="535" t="str">
        <f t="shared" si="996"/>
        <v/>
      </c>
      <c r="CT366" s="535" t="str">
        <f t="shared" si="997"/>
        <v/>
      </c>
      <c r="CU366" s="536" t="str">
        <f t="shared" si="998"/>
        <v/>
      </c>
      <c r="CV366" s="536" t="str">
        <f t="shared" si="999"/>
        <v/>
      </c>
      <c r="CW366" s="536" t="str">
        <f t="shared" si="1000"/>
        <v/>
      </c>
      <c r="CX366" s="535" t="str">
        <f t="shared" si="1001"/>
        <v/>
      </c>
      <c r="CY366" s="535" t="str">
        <f t="shared" si="1002"/>
        <v/>
      </c>
      <c r="CZ366" s="535" t="str">
        <f t="shared" si="1003"/>
        <v/>
      </c>
      <c r="DA366" s="535" t="str">
        <f t="shared" si="1004"/>
        <v/>
      </c>
      <c r="DB366" s="535" t="str">
        <f t="shared" si="1005"/>
        <v/>
      </c>
      <c r="DC366" s="534" t="str">
        <f t="shared" si="1006"/>
        <v/>
      </c>
      <c r="DD366" s="533" t="str">
        <f t="shared" si="1007"/>
        <v/>
      </c>
      <c r="DE366" s="635">
        <f t="shared" si="1008"/>
        <v>0</v>
      </c>
      <c r="DF366" s="95">
        <f t="shared" si="1009"/>
        <v>0</v>
      </c>
      <c r="DG366" s="95">
        <f t="shared" si="1010"/>
        <v>0</v>
      </c>
      <c r="DH366" s="95">
        <f t="shared" si="1011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986"/>
        <v/>
      </c>
      <c r="CA367" s="582" t="str">
        <f t="shared" si="987"/>
        <v/>
      </c>
      <c r="CB367" s="582" t="str">
        <f t="shared" si="988"/>
        <v/>
      </c>
      <c r="CC367" s="670" t="str">
        <f t="shared" si="989"/>
        <v/>
      </c>
      <c r="CD367" s="988" t="str">
        <f t="shared" si="990"/>
        <v/>
      </c>
      <c r="CE367" s="989" t="str">
        <f t="shared" si="990"/>
        <v/>
      </c>
      <c r="CF367" s="989" t="str">
        <f t="shared" si="990"/>
        <v/>
      </c>
      <c r="CG367" s="989" t="str">
        <f t="shared" si="990"/>
        <v/>
      </c>
      <c r="CH367" s="990" t="str">
        <f t="shared" si="990"/>
        <v/>
      </c>
      <c r="CI367" s="990" t="str">
        <f t="shared" si="990"/>
        <v/>
      </c>
      <c r="CJ367" s="989" t="str">
        <f t="shared" si="990"/>
        <v/>
      </c>
      <c r="CK367" s="989" t="str">
        <f t="shared" si="990"/>
        <v/>
      </c>
      <c r="CL367" s="989" t="str">
        <f t="shared" si="990"/>
        <v/>
      </c>
      <c r="CM367" s="988" t="str">
        <f t="shared" si="990"/>
        <v/>
      </c>
      <c r="CN367" s="533" t="str">
        <f t="shared" si="991"/>
        <v/>
      </c>
      <c r="CO367" s="534" t="str">
        <f t="shared" si="992"/>
        <v/>
      </c>
      <c r="CP367" s="535" t="str">
        <f t="shared" si="993"/>
        <v/>
      </c>
      <c r="CQ367" s="535" t="str">
        <f t="shared" si="994"/>
        <v/>
      </c>
      <c r="CR367" s="535" t="str">
        <f t="shared" si="995"/>
        <v/>
      </c>
      <c r="CS367" s="535" t="str">
        <f t="shared" si="996"/>
        <v/>
      </c>
      <c r="CT367" s="535" t="str">
        <f t="shared" si="997"/>
        <v/>
      </c>
      <c r="CU367" s="536" t="str">
        <f t="shared" si="998"/>
        <v/>
      </c>
      <c r="CV367" s="536" t="str">
        <f t="shared" si="999"/>
        <v/>
      </c>
      <c r="CW367" s="536" t="str">
        <f t="shared" si="1000"/>
        <v/>
      </c>
      <c r="CX367" s="535" t="str">
        <f t="shared" si="1001"/>
        <v/>
      </c>
      <c r="CY367" s="535" t="str">
        <f t="shared" si="1002"/>
        <v/>
      </c>
      <c r="CZ367" s="535" t="str">
        <f t="shared" si="1003"/>
        <v/>
      </c>
      <c r="DA367" s="535" t="str">
        <f t="shared" si="1004"/>
        <v/>
      </c>
      <c r="DB367" s="535" t="str">
        <f t="shared" si="1005"/>
        <v/>
      </c>
      <c r="DC367" s="534" t="str">
        <f t="shared" si="1006"/>
        <v/>
      </c>
      <c r="DD367" s="533" t="str">
        <f t="shared" si="1007"/>
        <v/>
      </c>
      <c r="DE367" s="635">
        <f t="shared" si="1008"/>
        <v>0</v>
      </c>
      <c r="DF367" s="95">
        <f t="shared" si="1009"/>
        <v>0</v>
      </c>
      <c r="DG367" s="95">
        <f t="shared" si="1010"/>
        <v>0</v>
      </c>
      <c r="DH367" s="95">
        <f t="shared" si="1011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16">IF(B366="","",B366*B367)</f>
        <v/>
      </c>
      <c r="C368" s="612" t="str">
        <f t="shared" si="1016"/>
        <v/>
      </c>
      <c r="D368" s="612" t="str">
        <f t="shared" si="1016"/>
        <v/>
      </c>
      <c r="E368" s="612" t="str">
        <f t="shared" si="1016"/>
        <v/>
      </c>
      <c r="F368" s="612" t="str">
        <f t="shared" si="1016"/>
        <v/>
      </c>
      <c r="G368" s="612" t="str">
        <f t="shared" si="1016"/>
        <v/>
      </c>
      <c r="H368" s="612" t="str">
        <f t="shared" si="1016"/>
        <v/>
      </c>
      <c r="I368" s="612" t="str">
        <f t="shared" si="1016"/>
        <v/>
      </c>
      <c r="J368" s="612" t="str">
        <f t="shared" si="1016"/>
        <v/>
      </c>
      <c r="K368" s="612" t="str">
        <f t="shared" si="1016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17">IF(T366="","",T366*T367)</f>
        <v/>
      </c>
      <c r="U368" s="612" t="str">
        <f t="shared" si="1017"/>
        <v/>
      </c>
      <c r="V368" s="612" t="str">
        <f t="shared" si="1017"/>
        <v/>
      </c>
      <c r="W368" s="612" t="str">
        <f t="shared" si="1017"/>
        <v/>
      </c>
      <c r="X368" s="612" t="str">
        <f t="shared" si="1017"/>
        <v/>
      </c>
      <c r="Y368" s="612" t="str">
        <f t="shared" si="1017"/>
        <v/>
      </c>
      <c r="Z368" s="612" t="str">
        <f t="shared" si="1017"/>
        <v/>
      </c>
      <c r="AA368" s="612" t="str">
        <f t="shared" si="1017"/>
        <v/>
      </c>
      <c r="AB368" s="612" t="str">
        <f t="shared" si="1017"/>
        <v/>
      </c>
      <c r="AC368" s="612" t="str">
        <f t="shared" si="1017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018">IF(AL366="","",AL366*AL367)</f>
        <v/>
      </c>
      <c r="AM368" s="612" t="str">
        <f t="shared" si="1018"/>
        <v/>
      </c>
      <c r="AN368" s="612" t="str">
        <f t="shared" si="1018"/>
        <v/>
      </c>
      <c r="AO368" s="612" t="str">
        <f t="shared" si="1018"/>
        <v/>
      </c>
      <c r="AP368" s="612" t="str">
        <f t="shared" si="1018"/>
        <v/>
      </c>
      <c r="AQ368" s="612" t="str">
        <f t="shared" si="1018"/>
        <v/>
      </c>
      <c r="AR368" s="612" t="str">
        <f t="shared" si="1018"/>
        <v/>
      </c>
      <c r="AS368" s="612" t="str">
        <f t="shared" si="1018"/>
        <v/>
      </c>
      <c r="AT368" s="612" t="str">
        <f t="shared" si="1018"/>
        <v/>
      </c>
      <c r="AU368" s="612" t="str">
        <f t="shared" si="1018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019">IF(BD366="","",BD366*BD367)</f>
        <v/>
      </c>
      <c r="BE368" s="1201" t="str">
        <f t="shared" si="1019"/>
        <v/>
      </c>
      <c r="BF368" s="1201" t="str">
        <f t="shared" si="1019"/>
        <v/>
      </c>
      <c r="BG368" s="1201" t="str">
        <f t="shared" si="1019"/>
        <v/>
      </c>
      <c r="BH368" s="1201" t="str">
        <f t="shared" si="1019"/>
        <v/>
      </c>
      <c r="BI368" s="1201" t="str">
        <f t="shared" si="1019"/>
        <v/>
      </c>
      <c r="BJ368" s="1201" t="str">
        <f t="shared" si="1019"/>
        <v/>
      </c>
      <c r="BK368" s="1201" t="str">
        <f t="shared" si="1019"/>
        <v/>
      </c>
      <c r="BL368" s="1201" t="str">
        <f t="shared" si="1019"/>
        <v/>
      </c>
      <c r="BM368" s="1201" t="str">
        <f t="shared" si="1019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986"/>
        <v/>
      </c>
      <c r="CA368" s="582" t="str">
        <f t="shared" si="987"/>
        <v/>
      </c>
      <c r="CB368" s="582" t="str">
        <f t="shared" si="988"/>
        <v/>
      </c>
      <c r="CC368" s="670" t="str">
        <f t="shared" si="989"/>
        <v/>
      </c>
      <c r="CD368" s="988" t="str">
        <f t="shared" si="990"/>
        <v/>
      </c>
      <c r="CE368" s="989" t="str">
        <f t="shared" si="990"/>
        <v/>
      </c>
      <c r="CF368" s="989" t="str">
        <f t="shared" si="990"/>
        <v/>
      </c>
      <c r="CG368" s="989" t="str">
        <f t="shared" si="990"/>
        <v/>
      </c>
      <c r="CH368" s="990" t="str">
        <f t="shared" si="990"/>
        <v/>
      </c>
      <c r="CI368" s="990" t="str">
        <f t="shared" si="990"/>
        <v/>
      </c>
      <c r="CJ368" s="989" t="str">
        <f t="shared" si="990"/>
        <v/>
      </c>
      <c r="CK368" s="989" t="str">
        <f t="shared" si="990"/>
        <v/>
      </c>
      <c r="CL368" s="989" t="str">
        <f t="shared" si="990"/>
        <v/>
      </c>
      <c r="CM368" s="988" t="str">
        <f t="shared" si="990"/>
        <v/>
      </c>
      <c r="CN368" s="533" t="str">
        <f t="shared" si="991"/>
        <v/>
      </c>
      <c r="CO368" s="534" t="str">
        <f t="shared" si="992"/>
        <v/>
      </c>
      <c r="CP368" s="535" t="str">
        <f t="shared" si="993"/>
        <v/>
      </c>
      <c r="CQ368" s="535" t="str">
        <f t="shared" si="994"/>
        <v/>
      </c>
      <c r="CR368" s="535" t="str">
        <f t="shared" si="995"/>
        <v/>
      </c>
      <c r="CS368" s="535" t="str">
        <f t="shared" si="996"/>
        <v/>
      </c>
      <c r="CT368" s="535" t="str">
        <f t="shared" si="997"/>
        <v/>
      </c>
      <c r="CU368" s="536" t="str">
        <f t="shared" si="998"/>
        <v/>
      </c>
      <c r="CV368" s="536" t="str">
        <f t="shared" si="999"/>
        <v/>
      </c>
      <c r="CW368" s="536" t="str">
        <f t="shared" si="1000"/>
        <v/>
      </c>
      <c r="CX368" s="535" t="str">
        <f t="shared" si="1001"/>
        <v/>
      </c>
      <c r="CY368" s="535" t="str">
        <f t="shared" si="1002"/>
        <v/>
      </c>
      <c r="CZ368" s="535" t="str">
        <f t="shared" si="1003"/>
        <v/>
      </c>
      <c r="DA368" s="535" t="str">
        <f t="shared" si="1004"/>
        <v/>
      </c>
      <c r="DB368" s="535" t="str">
        <f t="shared" si="1005"/>
        <v/>
      </c>
      <c r="DC368" s="534" t="str">
        <f t="shared" si="1006"/>
        <v/>
      </c>
      <c r="DD368" s="533" t="str">
        <f t="shared" si="1007"/>
        <v/>
      </c>
      <c r="DE368" s="635">
        <f t="shared" si="1008"/>
        <v>0</v>
      </c>
      <c r="DF368" s="95">
        <f t="shared" si="1009"/>
        <v>0</v>
      </c>
      <c r="DG368" s="95">
        <f t="shared" si="1010"/>
        <v>0</v>
      </c>
      <c r="DH368" s="95">
        <f t="shared" si="1011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986"/>
        <v/>
      </c>
      <c r="CA369" s="582" t="str">
        <f t="shared" si="987"/>
        <v/>
      </c>
      <c r="CB369" s="582" t="str">
        <f t="shared" si="988"/>
        <v/>
      </c>
      <c r="CC369" s="670" t="str">
        <f t="shared" si="989"/>
        <v/>
      </c>
      <c r="CD369" s="988" t="str">
        <f t="shared" si="990"/>
        <v/>
      </c>
      <c r="CE369" s="989" t="str">
        <f t="shared" si="990"/>
        <v/>
      </c>
      <c r="CF369" s="989" t="str">
        <f t="shared" si="990"/>
        <v/>
      </c>
      <c r="CG369" s="989" t="str">
        <f t="shared" si="990"/>
        <v/>
      </c>
      <c r="CH369" s="990" t="str">
        <f t="shared" si="990"/>
        <v/>
      </c>
      <c r="CI369" s="990" t="str">
        <f t="shared" si="990"/>
        <v/>
      </c>
      <c r="CJ369" s="989" t="str">
        <f t="shared" si="990"/>
        <v/>
      </c>
      <c r="CK369" s="989" t="str">
        <f t="shared" si="990"/>
        <v/>
      </c>
      <c r="CL369" s="989" t="str">
        <f t="shared" si="990"/>
        <v/>
      </c>
      <c r="CM369" s="988" t="str">
        <f t="shared" si="990"/>
        <v/>
      </c>
      <c r="CN369" s="533" t="str">
        <f t="shared" si="991"/>
        <v/>
      </c>
      <c r="CO369" s="534" t="str">
        <f t="shared" si="992"/>
        <v/>
      </c>
      <c r="CP369" s="535" t="str">
        <f t="shared" si="993"/>
        <v/>
      </c>
      <c r="CQ369" s="535" t="str">
        <f t="shared" si="994"/>
        <v/>
      </c>
      <c r="CR369" s="535" t="str">
        <f t="shared" si="995"/>
        <v/>
      </c>
      <c r="CS369" s="535" t="str">
        <f t="shared" si="996"/>
        <v/>
      </c>
      <c r="CT369" s="535" t="str">
        <f t="shared" si="997"/>
        <v/>
      </c>
      <c r="CU369" s="536" t="str">
        <f t="shared" si="998"/>
        <v/>
      </c>
      <c r="CV369" s="536" t="str">
        <f t="shared" si="999"/>
        <v/>
      </c>
      <c r="CW369" s="536" t="str">
        <f t="shared" si="1000"/>
        <v/>
      </c>
      <c r="CX369" s="535" t="str">
        <f t="shared" si="1001"/>
        <v/>
      </c>
      <c r="CY369" s="535" t="str">
        <f t="shared" si="1002"/>
        <v/>
      </c>
      <c r="CZ369" s="535" t="str">
        <f t="shared" si="1003"/>
        <v/>
      </c>
      <c r="DA369" s="535" t="str">
        <f t="shared" si="1004"/>
        <v/>
      </c>
      <c r="DB369" s="535" t="str">
        <f t="shared" si="1005"/>
        <v/>
      </c>
      <c r="DC369" s="534" t="str">
        <f t="shared" si="1006"/>
        <v/>
      </c>
      <c r="DD369" s="533" t="str">
        <f t="shared" si="1007"/>
        <v/>
      </c>
      <c r="DE369" s="635">
        <f t="shared" si="1008"/>
        <v>0</v>
      </c>
      <c r="DF369" s="95">
        <f t="shared" si="1009"/>
        <v>0</v>
      </c>
      <c r="DG369" s="95">
        <f t="shared" si="1010"/>
        <v>0</v>
      </c>
      <c r="DH369" s="95">
        <f t="shared" si="1011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020">IF(B364="","",(B364-B366-B369)*B365/B$46/365/$G$1)</f>
        <v/>
      </c>
      <c r="C370" s="615" t="str">
        <f t="shared" si="1020"/>
        <v/>
      </c>
      <c r="D370" s="615" t="str">
        <f t="shared" si="1020"/>
        <v/>
      </c>
      <c r="E370" s="615" t="str">
        <f t="shared" si="1020"/>
        <v/>
      </c>
      <c r="F370" s="615" t="str">
        <f t="shared" si="1020"/>
        <v/>
      </c>
      <c r="G370" s="615" t="str">
        <f t="shared" si="1020"/>
        <v/>
      </c>
      <c r="H370" s="615" t="str">
        <f t="shared" si="1020"/>
        <v/>
      </c>
      <c r="I370" s="615" t="str">
        <f t="shared" si="1020"/>
        <v/>
      </c>
      <c r="J370" s="615" t="str">
        <f t="shared" si="1020"/>
        <v/>
      </c>
      <c r="K370" s="615" t="str">
        <f t="shared" si="1020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021">IF(T364="","",(T364-T366-T369)*T365/T$46/365/$G$1)</f>
        <v/>
      </c>
      <c r="U370" s="615" t="str">
        <f t="shared" si="1021"/>
        <v/>
      </c>
      <c r="V370" s="615" t="str">
        <f t="shared" si="1021"/>
        <v/>
      </c>
      <c r="W370" s="615" t="str">
        <f t="shared" si="1021"/>
        <v/>
      </c>
      <c r="X370" s="615" t="str">
        <f t="shared" si="1021"/>
        <v/>
      </c>
      <c r="Y370" s="615" t="str">
        <f t="shared" si="1021"/>
        <v/>
      </c>
      <c r="Z370" s="615" t="str">
        <f t="shared" si="1021"/>
        <v/>
      </c>
      <c r="AA370" s="615" t="str">
        <f t="shared" si="1021"/>
        <v/>
      </c>
      <c r="AB370" s="615" t="str">
        <f t="shared" si="1021"/>
        <v/>
      </c>
      <c r="AC370" s="615" t="str">
        <f t="shared" si="1021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022">IF(AL364="","",(AL364-AL366-AL369)*AL365/AL$46/365/$G$1)</f>
        <v/>
      </c>
      <c r="AM370" s="615" t="str">
        <f t="shared" si="1022"/>
        <v/>
      </c>
      <c r="AN370" s="615" t="str">
        <f t="shared" si="1022"/>
        <v/>
      </c>
      <c r="AO370" s="615" t="str">
        <f t="shared" si="1022"/>
        <v/>
      </c>
      <c r="AP370" s="615" t="str">
        <f t="shared" si="1022"/>
        <v/>
      </c>
      <c r="AQ370" s="615" t="str">
        <f t="shared" si="1022"/>
        <v/>
      </c>
      <c r="AR370" s="615" t="str">
        <f t="shared" si="1022"/>
        <v/>
      </c>
      <c r="AS370" s="615" t="str">
        <f t="shared" si="1022"/>
        <v/>
      </c>
      <c r="AT370" s="615" t="str">
        <f t="shared" si="1022"/>
        <v/>
      </c>
      <c r="AU370" s="615" t="str">
        <f t="shared" si="1022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023">IF(BD364="","",(BD364-BD366-BD369)*BD365/BD$46/365/$G$1)</f>
        <v/>
      </c>
      <c r="BE370" s="1202" t="str">
        <f t="shared" si="1023"/>
        <v/>
      </c>
      <c r="BF370" s="1202" t="str">
        <f t="shared" si="1023"/>
        <v/>
      </c>
      <c r="BG370" s="1202" t="str">
        <f t="shared" si="1023"/>
        <v/>
      </c>
      <c r="BH370" s="1202" t="str">
        <f t="shared" si="1023"/>
        <v/>
      </c>
      <c r="BI370" s="1202" t="str">
        <f t="shared" si="1023"/>
        <v/>
      </c>
      <c r="BJ370" s="1202" t="str">
        <f t="shared" si="1023"/>
        <v/>
      </c>
      <c r="BK370" s="1202" t="str">
        <f t="shared" si="1023"/>
        <v/>
      </c>
      <c r="BL370" s="1202" t="str">
        <f t="shared" si="1023"/>
        <v/>
      </c>
      <c r="BM370" s="1202" t="str">
        <f t="shared" si="1023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986"/>
        <v/>
      </c>
      <c r="CA370" s="607" t="str">
        <f t="shared" si="987"/>
        <v/>
      </c>
      <c r="CB370" s="607" t="str">
        <f t="shared" si="988"/>
        <v/>
      </c>
      <c r="CC370" s="673" t="str">
        <f t="shared" si="989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02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024"/>
        <v/>
      </c>
      <c r="CG370" s="992" t="str">
        <f t="shared" si="1024"/>
        <v/>
      </c>
      <c r="CH370" s="993" t="str">
        <f t="shared" si="1024"/>
        <v/>
      </c>
      <c r="CI370" s="993" t="str">
        <f t="shared" si="1024"/>
        <v/>
      </c>
      <c r="CJ370" s="992" t="str">
        <f t="shared" si="1024"/>
        <v/>
      </c>
      <c r="CK370" s="992" t="str">
        <f t="shared" si="1024"/>
        <v/>
      </c>
      <c r="CL370" s="992" t="str">
        <f t="shared" si="1024"/>
        <v/>
      </c>
      <c r="CM370" s="991" t="str">
        <f t="shared" si="1024"/>
        <v/>
      </c>
      <c r="CN370" s="521" t="str">
        <f t="shared" si="991"/>
        <v/>
      </c>
      <c r="CO370" s="522" t="str">
        <f t="shared" si="992"/>
        <v/>
      </c>
      <c r="CP370" s="523" t="str">
        <f t="shared" si="993"/>
        <v/>
      </c>
      <c r="CQ370" s="523" t="str">
        <f t="shared" si="994"/>
        <v/>
      </c>
      <c r="CR370" s="523" t="str">
        <f t="shared" si="995"/>
        <v/>
      </c>
      <c r="CS370" s="523" t="str">
        <f t="shared" si="996"/>
        <v/>
      </c>
      <c r="CT370" s="523" t="str">
        <f t="shared" si="997"/>
        <v/>
      </c>
      <c r="CU370" s="524" t="str">
        <f t="shared" si="998"/>
        <v/>
      </c>
      <c r="CV370" s="524" t="str">
        <f t="shared" si="999"/>
        <v/>
      </c>
      <c r="CW370" s="524" t="str">
        <f t="shared" si="1000"/>
        <v/>
      </c>
      <c r="CX370" s="523" t="str">
        <f t="shared" si="1001"/>
        <v/>
      </c>
      <c r="CY370" s="523" t="str">
        <f t="shared" si="1002"/>
        <v/>
      </c>
      <c r="CZ370" s="523" t="str">
        <f t="shared" si="1003"/>
        <v/>
      </c>
      <c r="DA370" s="523" t="str">
        <f t="shared" si="1004"/>
        <v/>
      </c>
      <c r="DB370" s="523" t="str">
        <f t="shared" si="1005"/>
        <v/>
      </c>
      <c r="DC370" s="522" t="str">
        <f t="shared" si="1006"/>
        <v/>
      </c>
      <c r="DD370" s="521" t="str">
        <f t="shared" si="1007"/>
        <v/>
      </c>
      <c r="DE370" s="635">
        <f t="shared" si="1008"/>
        <v>0</v>
      </c>
      <c r="DF370" s="95">
        <f t="shared" si="1009"/>
        <v>0</v>
      </c>
      <c r="DG370" s="95">
        <f t="shared" si="1010"/>
        <v>0</v>
      </c>
      <c r="DH370" s="95">
        <f t="shared" si="1011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986"/>
        <v/>
      </c>
      <c r="CA371" s="574" t="str">
        <f t="shared" si="987"/>
        <v/>
      </c>
      <c r="CB371" s="574" t="str">
        <f t="shared" si="988"/>
        <v/>
      </c>
      <c r="CC371" s="669" t="str">
        <f t="shared" si="989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986"/>
        <v/>
      </c>
      <c r="CA372" s="582" t="str">
        <f t="shared" si="987"/>
        <v/>
      </c>
      <c r="CB372" s="582" t="str">
        <f t="shared" si="988"/>
        <v/>
      </c>
      <c r="CC372" s="670" t="str">
        <f t="shared" si="989"/>
        <v/>
      </c>
      <c r="CD372" s="988" t="str">
        <f t="shared" ref="CD372:CM372" si="102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025"/>
        <v/>
      </c>
      <c r="CF372" s="989" t="str">
        <f t="shared" si="1025"/>
        <v/>
      </c>
      <c r="CG372" s="989" t="str">
        <f t="shared" si="1025"/>
        <v/>
      </c>
      <c r="CH372" s="990" t="str">
        <f t="shared" si="1025"/>
        <v/>
      </c>
      <c r="CI372" s="990" t="str">
        <f t="shared" si="1025"/>
        <v/>
      </c>
      <c r="CJ372" s="989" t="str">
        <f t="shared" si="1025"/>
        <v/>
      </c>
      <c r="CK372" s="989" t="str">
        <f t="shared" si="1025"/>
        <v/>
      </c>
      <c r="CL372" s="989" t="str">
        <f t="shared" si="1025"/>
        <v/>
      </c>
      <c r="CM372" s="988" t="str">
        <f t="shared" si="1025"/>
        <v/>
      </c>
      <c r="CN372" s="533" t="str">
        <f t="shared" ref="CN372:DD372" si="102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026"/>
        <v/>
      </c>
      <c r="CP372" s="535" t="str">
        <f t="shared" si="1026"/>
        <v/>
      </c>
      <c r="CQ372" s="535" t="str">
        <f t="shared" si="1026"/>
        <v/>
      </c>
      <c r="CR372" s="535" t="str">
        <f t="shared" si="1026"/>
        <v/>
      </c>
      <c r="CS372" s="535" t="str">
        <f t="shared" si="1026"/>
        <v/>
      </c>
      <c r="CT372" s="535" t="str">
        <f t="shared" si="1026"/>
        <v/>
      </c>
      <c r="CU372" s="536" t="str">
        <f t="shared" si="1026"/>
        <v/>
      </c>
      <c r="CV372" s="536" t="str">
        <f t="shared" si="1026"/>
        <v/>
      </c>
      <c r="CW372" s="536" t="str">
        <f t="shared" si="1026"/>
        <v/>
      </c>
      <c r="CX372" s="535" t="str">
        <f t="shared" si="1026"/>
        <v/>
      </c>
      <c r="CY372" s="535" t="str">
        <f t="shared" si="1026"/>
        <v/>
      </c>
      <c r="CZ372" s="535" t="str">
        <f t="shared" si="1026"/>
        <v/>
      </c>
      <c r="DA372" s="535" t="str">
        <f t="shared" si="1026"/>
        <v/>
      </c>
      <c r="DB372" s="535" t="str">
        <f t="shared" si="1026"/>
        <v/>
      </c>
      <c r="DC372" s="534" t="str">
        <f t="shared" si="1026"/>
        <v/>
      </c>
      <c r="DD372" s="533" t="str">
        <f t="shared" si="1026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027">IF(DE374&lt;3,"",(SUM(B374:R374)-MIN(B374:R374)-MAX(B374:R374))/(DE374-2))</f>
        <v/>
      </c>
      <c r="CA374" s="582" t="str">
        <f t="shared" ref="CA374:CA382" si="1028">IF(DF374&lt;3,"",(SUM(T374:AJ374)-MIN(T374:AJ374)-MAX(T374:AJ374))/(DF374-2))</f>
        <v/>
      </c>
      <c r="CB374" s="582" t="str">
        <f t="shared" ref="CB374:CB382" si="1029">IF(DG374&lt;3,"",(SUM(AL374:BB374)-MIN(AL374:BB374)-MAX(AL374:BB374))/(DG374-2))</f>
        <v/>
      </c>
      <c r="CC374" s="670" t="str">
        <f t="shared" ref="CC374:CC382" si="1030">IF(DH374&lt;3,"",(SUM(BD374:BT374)-MIN(BD374:BT374)-MAX(BD374:BT374))/(DH374-2))</f>
        <v/>
      </c>
      <c r="CD374" s="988" t="str">
        <f t="shared" ref="CD374:CM380" si="103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031"/>
        <v/>
      </c>
      <c r="CF374" s="989" t="str">
        <f t="shared" si="1031"/>
        <v/>
      </c>
      <c r="CG374" s="989" t="str">
        <f t="shared" si="1031"/>
        <v/>
      </c>
      <c r="CH374" s="990" t="str">
        <f t="shared" si="1031"/>
        <v/>
      </c>
      <c r="CI374" s="990" t="str">
        <f t="shared" si="1031"/>
        <v/>
      </c>
      <c r="CJ374" s="989" t="str">
        <f t="shared" si="1031"/>
        <v/>
      </c>
      <c r="CK374" s="989" t="str">
        <f t="shared" si="1031"/>
        <v/>
      </c>
      <c r="CL374" s="989" t="str">
        <f t="shared" si="1031"/>
        <v/>
      </c>
      <c r="CM374" s="988" t="str">
        <f t="shared" si="1031"/>
        <v/>
      </c>
      <c r="CN374" s="533" t="str">
        <f t="shared" ref="CN374:CN381" si="103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03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3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03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03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03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03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3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04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04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04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04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04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04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04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4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049">COUNT(B374:R374)</f>
        <v>0</v>
      </c>
      <c r="DF374" s="95">
        <f t="shared" ref="DF374:DF381" si="1050">COUNT(T374:AJ374)</f>
        <v>0</v>
      </c>
      <c r="DG374" s="95">
        <f t="shared" ref="DG374:DG381" si="1051">COUNT(AL374:BB374)</f>
        <v>0</v>
      </c>
      <c r="DH374" s="95">
        <f t="shared" ref="DH374:DH381" si="1052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053">IF(B372="","",B372*B374)</f>
        <v/>
      </c>
      <c r="C375" s="612" t="str">
        <f t="shared" si="1053"/>
        <v/>
      </c>
      <c r="D375" s="612" t="str">
        <f t="shared" si="1053"/>
        <v/>
      </c>
      <c r="E375" s="612" t="str">
        <f t="shared" si="1053"/>
        <v/>
      </c>
      <c r="F375" s="612" t="str">
        <f t="shared" si="1053"/>
        <v/>
      </c>
      <c r="G375" s="612" t="str">
        <f t="shared" si="1053"/>
        <v/>
      </c>
      <c r="H375" s="612" t="str">
        <f t="shared" si="1053"/>
        <v/>
      </c>
      <c r="I375" s="612" t="str">
        <f t="shared" si="1053"/>
        <v/>
      </c>
      <c r="J375" s="612" t="str">
        <f t="shared" si="1053"/>
        <v/>
      </c>
      <c r="K375" s="612" t="str">
        <f t="shared" si="1053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054">IF(T372="","",T372*T374)</f>
        <v/>
      </c>
      <c r="U375" s="612" t="str">
        <f t="shared" si="1054"/>
        <v/>
      </c>
      <c r="V375" s="612" t="str">
        <f t="shared" si="1054"/>
        <v/>
      </c>
      <c r="W375" s="612" t="str">
        <f t="shared" si="1054"/>
        <v/>
      </c>
      <c r="X375" s="612" t="str">
        <f t="shared" si="1054"/>
        <v/>
      </c>
      <c r="Y375" s="612" t="str">
        <f t="shared" si="1054"/>
        <v/>
      </c>
      <c r="Z375" s="612" t="str">
        <f t="shared" si="1054"/>
        <v/>
      </c>
      <c r="AA375" s="612" t="str">
        <f t="shared" si="1054"/>
        <v/>
      </c>
      <c r="AB375" s="612" t="str">
        <f t="shared" si="1054"/>
        <v/>
      </c>
      <c r="AC375" s="612" t="str">
        <f t="shared" si="1054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055">IF(AL372="","",AL372*AL374)</f>
        <v/>
      </c>
      <c r="AM375" s="612" t="str">
        <f t="shared" si="1055"/>
        <v/>
      </c>
      <c r="AN375" s="612" t="str">
        <f t="shared" si="1055"/>
        <v/>
      </c>
      <c r="AO375" s="612" t="str">
        <f t="shared" si="1055"/>
        <v/>
      </c>
      <c r="AP375" s="612" t="str">
        <f t="shared" si="1055"/>
        <v/>
      </c>
      <c r="AQ375" s="612" t="str">
        <f t="shared" si="1055"/>
        <v/>
      </c>
      <c r="AR375" s="612" t="str">
        <f t="shared" si="1055"/>
        <v/>
      </c>
      <c r="AS375" s="612" t="str">
        <f t="shared" si="1055"/>
        <v/>
      </c>
      <c r="AT375" s="612" t="str">
        <f t="shared" si="1055"/>
        <v/>
      </c>
      <c r="AU375" s="612" t="str">
        <f t="shared" si="1055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056">IF(BD372="","",BD372*BD374)</f>
        <v/>
      </c>
      <c r="BE375" s="1201" t="str">
        <f t="shared" si="1056"/>
        <v/>
      </c>
      <c r="BF375" s="1201" t="str">
        <f t="shared" si="1056"/>
        <v/>
      </c>
      <c r="BG375" s="1201" t="str">
        <f t="shared" si="1056"/>
        <v/>
      </c>
      <c r="BH375" s="1201" t="str">
        <f t="shared" si="1056"/>
        <v/>
      </c>
      <c r="BI375" s="1201" t="str">
        <f t="shared" si="1056"/>
        <v/>
      </c>
      <c r="BJ375" s="1201" t="str">
        <f t="shared" si="1056"/>
        <v/>
      </c>
      <c r="BK375" s="1201" t="str">
        <f t="shared" si="1056"/>
        <v/>
      </c>
      <c r="BL375" s="1201" t="str">
        <f t="shared" si="1056"/>
        <v/>
      </c>
      <c r="BM375" s="1201" t="str">
        <f t="shared" si="1056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027"/>
        <v/>
      </c>
      <c r="CA375" s="582" t="str">
        <f t="shared" si="1028"/>
        <v/>
      </c>
      <c r="CB375" s="582" t="str">
        <f t="shared" si="1029"/>
        <v/>
      </c>
      <c r="CC375" s="670" t="str">
        <f t="shared" si="1030"/>
        <v/>
      </c>
      <c r="CD375" s="988" t="str">
        <f t="shared" si="1031"/>
        <v/>
      </c>
      <c r="CE375" s="989" t="str">
        <f t="shared" si="1031"/>
        <v/>
      </c>
      <c r="CF375" s="989" t="str">
        <f t="shared" si="1031"/>
        <v/>
      </c>
      <c r="CG375" s="989" t="str">
        <f t="shared" si="1031"/>
        <v/>
      </c>
      <c r="CH375" s="990" t="str">
        <f t="shared" si="1031"/>
        <v/>
      </c>
      <c r="CI375" s="990" t="str">
        <f t="shared" si="1031"/>
        <v/>
      </c>
      <c r="CJ375" s="989" t="str">
        <f t="shared" si="1031"/>
        <v/>
      </c>
      <c r="CK375" s="989" t="str">
        <f t="shared" si="1031"/>
        <v/>
      </c>
      <c r="CL375" s="989" t="str">
        <f t="shared" si="1031"/>
        <v/>
      </c>
      <c r="CM375" s="988" t="str">
        <f t="shared" si="1031"/>
        <v/>
      </c>
      <c r="CN375" s="533" t="str">
        <f t="shared" si="1032"/>
        <v/>
      </c>
      <c r="CO375" s="534" t="str">
        <f t="shared" si="1033"/>
        <v/>
      </c>
      <c r="CP375" s="535" t="str">
        <f t="shared" si="1034"/>
        <v/>
      </c>
      <c r="CQ375" s="535" t="str">
        <f t="shared" si="1035"/>
        <v/>
      </c>
      <c r="CR375" s="535" t="str">
        <f t="shared" si="1036"/>
        <v/>
      </c>
      <c r="CS375" s="535" t="str">
        <f t="shared" si="1037"/>
        <v/>
      </c>
      <c r="CT375" s="535" t="str">
        <f t="shared" si="1038"/>
        <v/>
      </c>
      <c r="CU375" s="536" t="str">
        <f t="shared" si="1039"/>
        <v/>
      </c>
      <c r="CV375" s="536" t="str">
        <f t="shared" si="1040"/>
        <v/>
      </c>
      <c r="CW375" s="536" t="str">
        <f t="shared" si="1041"/>
        <v/>
      </c>
      <c r="CX375" s="535" t="str">
        <f t="shared" si="1042"/>
        <v/>
      </c>
      <c r="CY375" s="535" t="str">
        <f t="shared" si="1043"/>
        <v/>
      </c>
      <c r="CZ375" s="535" t="str">
        <f t="shared" si="1044"/>
        <v/>
      </c>
      <c r="DA375" s="535" t="str">
        <f t="shared" si="1045"/>
        <v/>
      </c>
      <c r="DB375" s="535" t="str">
        <f t="shared" si="1046"/>
        <v/>
      </c>
      <c r="DC375" s="534" t="str">
        <f t="shared" si="1047"/>
        <v/>
      </c>
      <c r="DD375" s="533" t="str">
        <f t="shared" si="1048"/>
        <v/>
      </c>
      <c r="DE375" s="635">
        <f t="shared" si="1049"/>
        <v>0</v>
      </c>
      <c r="DF375" s="95">
        <f t="shared" si="1050"/>
        <v>0</v>
      </c>
      <c r="DG375" s="95">
        <f t="shared" si="1051"/>
        <v>0</v>
      </c>
      <c r="DH375" s="95">
        <f t="shared" si="1052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057">260*$K$1</f>
        <v>1088.568</v>
      </c>
      <c r="D376" s="683">
        <f t="shared" si="1057"/>
        <v>1088.568</v>
      </c>
      <c r="E376" s="683">
        <f t="shared" si="1057"/>
        <v>1088.568</v>
      </c>
      <c r="F376" s="683">
        <f t="shared" si="1057"/>
        <v>1088.568</v>
      </c>
      <c r="G376" s="683">
        <f t="shared" si="1057"/>
        <v>1088.568</v>
      </c>
      <c r="H376" s="683">
        <f t="shared" si="1057"/>
        <v>1088.568</v>
      </c>
      <c r="I376" s="683">
        <f t="shared" si="1057"/>
        <v>1088.568</v>
      </c>
      <c r="J376" s="683">
        <f t="shared" si="1057"/>
        <v>1088.568</v>
      </c>
      <c r="K376" s="683">
        <f t="shared" si="1057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058">260*$K$1</f>
        <v>1088.568</v>
      </c>
      <c r="V376" s="683">
        <v>1089</v>
      </c>
      <c r="W376" s="683">
        <f t="shared" si="1058"/>
        <v>1088.568</v>
      </c>
      <c r="X376" s="683">
        <f t="shared" si="1058"/>
        <v>1088.568</v>
      </c>
      <c r="Y376" s="683">
        <f t="shared" si="1058"/>
        <v>1088.568</v>
      </c>
      <c r="Z376" s="683">
        <f t="shared" si="1058"/>
        <v>1088.568</v>
      </c>
      <c r="AA376" s="683">
        <f t="shared" si="1058"/>
        <v>1088.568</v>
      </c>
      <c r="AB376" s="683">
        <f t="shared" si="1058"/>
        <v>1088.568</v>
      </c>
      <c r="AC376" s="683">
        <f t="shared" si="1058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059">260*$K$1</f>
        <v>1088.568</v>
      </c>
      <c r="AN376" s="683">
        <f t="shared" si="1059"/>
        <v>1088.568</v>
      </c>
      <c r="AO376" s="683">
        <f t="shared" si="1059"/>
        <v>1088.568</v>
      </c>
      <c r="AP376" s="683">
        <f t="shared" si="1059"/>
        <v>1088.568</v>
      </c>
      <c r="AQ376" s="683">
        <f t="shared" si="1059"/>
        <v>1088.568</v>
      </c>
      <c r="AR376" s="683">
        <f t="shared" si="1059"/>
        <v>1088.568</v>
      </c>
      <c r="AS376" s="683">
        <f t="shared" si="1059"/>
        <v>1088.568</v>
      </c>
      <c r="AT376" s="683">
        <f t="shared" si="1059"/>
        <v>1088.568</v>
      </c>
      <c r="AU376" s="683">
        <f t="shared" si="1059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060">260*$K$1</f>
        <v>1088.568</v>
      </c>
      <c r="BF376" s="1225">
        <f t="shared" si="1060"/>
        <v>1088.568</v>
      </c>
      <c r="BG376" s="1225">
        <f t="shared" si="1060"/>
        <v>1088.568</v>
      </c>
      <c r="BH376" s="1225">
        <f t="shared" si="1060"/>
        <v>1088.568</v>
      </c>
      <c r="BI376" s="1225">
        <f t="shared" si="1060"/>
        <v>1088.568</v>
      </c>
      <c r="BJ376" s="1225">
        <f t="shared" si="1060"/>
        <v>1088.568</v>
      </c>
      <c r="BK376" s="1225">
        <f t="shared" si="1060"/>
        <v>1088.568</v>
      </c>
      <c r="BL376" s="1225">
        <f t="shared" si="1060"/>
        <v>1088.568</v>
      </c>
      <c r="BM376" s="1225">
        <f t="shared" si="1060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>260*$K$1</f>
        <v>1088.568</v>
      </c>
      <c r="BW376" s="683">
        <f>260*$K$1</f>
        <v>1088.568</v>
      </c>
      <c r="BX376" s="683">
        <f>260*$K$1</f>
        <v>1088.568</v>
      </c>
      <c r="BY376" s="683">
        <f>260*$K$1</f>
        <v>1088.568</v>
      </c>
      <c r="BZ376" s="582">
        <f t="shared" si="1027"/>
        <v>1088.568</v>
      </c>
      <c r="CA376" s="582">
        <f t="shared" si="1028"/>
        <v>1088.568</v>
      </c>
      <c r="CB376" s="582">
        <f t="shared" si="1029"/>
        <v>1088.568</v>
      </c>
      <c r="CC376" s="670">
        <f t="shared" si="1030"/>
        <v>1088.568</v>
      </c>
      <c r="CD376" s="988">
        <f t="shared" si="1031"/>
        <v>1088.568</v>
      </c>
      <c r="CE376" s="989">
        <f t="shared" si="1031"/>
        <v>1088.568</v>
      </c>
      <c r="CF376" s="989">
        <f t="shared" si="1031"/>
        <v>1088.568</v>
      </c>
      <c r="CG376" s="989">
        <f t="shared" si="1031"/>
        <v>1088.568</v>
      </c>
      <c r="CH376" s="990">
        <f t="shared" si="1031"/>
        <v>1088.568</v>
      </c>
      <c r="CI376" s="990">
        <f t="shared" si="1031"/>
        <v>1088.568</v>
      </c>
      <c r="CJ376" s="989">
        <f t="shared" si="1031"/>
        <v>1088.568</v>
      </c>
      <c r="CK376" s="989">
        <f t="shared" si="1031"/>
        <v>1088.568</v>
      </c>
      <c r="CL376" s="989">
        <f t="shared" si="1031"/>
        <v>1088.568</v>
      </c>
      <c r="CM376" s="988">
        <f t="shared" si="1031"/>
        <v>1088.568</v>
      </c>
      <c r="CN376" s="533" t="str">
        <f t="shared" si="1032"/>
        <v/>
      </c>
      <c r="CO376" s="534" t="str">
        <f t="shared" si="1033"/>
        <v/>
      </c>
      <c r="CP376" s="535" t="str">
        <f t="shared" si="1034"/>
        <v/>
      </c>
      <c r="CQ376" s="535" t="str">
        <f t="shared" si="1035"/>
        <v/>
      </c>
      <c r="CR376" s="535">
        <f t="shared" si="1036"/>
        <v>1088.568</v>
      </c>
      <c r="CS376" s="535">
        <f t="shared" si="1037"/>
        <v>1088.568</v>
      </c>
      <c r="CT376" s="535">
        <f t="shared" si="1038"/>
        <v>1088.568</v>
      </c>
      <c r="CU376" s="536">
        <f t="shared" si="1039"/>
        <v>1088.568</v>
      </c>
      <c r="CV376" s="536">
        <f t="shared" si="1040"/>
        <v>1088.568</v>
      </c>
      <c r="CW376" s="536">
        <f t="shared" si="1041"/>
        <v>1088.568</v>
      </c>
      <c r="CX376" s="535">
        <f t="shared" si="1042"/>
        <v>1088.568</v>
      </c>
      <c r="CY376" s="535">
        <f t="shared" si="1043"/>
        <v>1088.568</v>
      </c>
      <c r="CZ376" s="535">
        <f t="shared" si="1044"/>
        <v>1088.568</v>
      </c>
      <c r="DA376" s="535">
        <f t="shared" si="1045"/>
        <v>1088.568</v>
      </c>
      <c r="DB376" s="535" t="str">
        <f t="shared" si="1046"/>
        <v/>
      </c>
      <c r="DC376" s="534" t="str">
        <f t="shared" si="1047"/>
        <v/>
      </c>
      <c r="DD376" s="533" t="str">
        <f t="shared" si="1048"/>
        <v/>
      </c>
      <c r="DE376" s="635">
        <f t="shared" si="1049"/>
        <v>10</v>
      </c>
      <c r="DF376" s="95">
        <f t="shared" si="1050"/>
        <v>10</v>
      </c>
      <c r="DG376" s="95">
        <f t="shared" si="1051"/>
        <v>10</v>
      </c>
      <c r="DH376" s="95">
        <f t="shared" si="1052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027"/>
        <v/>
      </c>
      <c r="CA377" s="582" t="str">
        <f t="shared" si="1028"/>
        <v/>
      </c>
      <c r="CB377" s="582" t="str">
        <f t="shared" si="1029"/>
        <v/>
      </c>
      <c r="CC377" s="670" t="str">
        <f t="shared" si="1030"/>
        <v/>
      </c>
      <c r="CD377" s="988" t="str">
        <f t="shared" si="1031"/>
        <v/>
      </c>
      <c r="CE377" s="989" t="str">
        <f t="shared" si="1031"/>
        <v/>
      </c>
      <c r="CF377" s="989" t="str">
        <f t="shared" si="1031"/>
        <v/>
      </c>
      <c r="CG377" s="989" t="str">
        <f t="shared" si="1031"/>
        <v/>
      </c>
      <c r="CH377" s="990" t="str">
        <f t="shared" si="1031"/>
        <v/>
      </c>
      <c r="CI377" s="990" t="str">
        <f t="shared" si="1031"/>
        <v/>
      </c>
      <c r="CJ377" s="989" t="str">
        <f t="shared" si="1031"/>
        <v/>
      </c>
      <c r="CK377" s="989" t="str">
        <f t="shared" si="1031"/>
        <v/>
      </c>
      <c r="CL377" s="989" t="str">
        <f t="shared" si="1031"/>
        <v/>
      </c>
      <c r="CM377" s="988" t="str">
        <f t="shared" si="1031"/>
        <v/>
      </c>
      <c r="CN377" s="533" t="str">
        <f t="shared" si="1032"/>
        <v/>
      </c>
      <c r="CO377" s="534" t="str">
        <f t="shared" si="1033"/>
        <v/>
      </c>
      <c r="CP377" s="535" t="str">
        <f t="shared" si="1034"/>
        <v/>
      </c>
      <c r="CQ377" s="535" t="str">
        <f t="shared" si="1035"/>
        <v/>
      </c>
      <c r="CR377" s="535" t="str">
        <f t="shared" si="1036"/>
        <v/>
      </c>
      <c r="CS377" s="535" t="str">
        <f t="shared" si="1037"/>
        <v/>
      </c>
      <c r="CT377" s="535" t="str">
        <f t="shared" si="1038"/>
        <v/>
      </c>
      <c r="CU377" s="536" t="str">
        <f t="shared" si="1039"/>
        <v/>
      </c>
      <c r="CV377" s="536" t="str">
        <f t="shared" si="1040"/>
        <v/>
      </c>
      <c r="CW377" s="536" t="str">
        <f t="shared" si="1041"/>
        <v/>
      </c>
      <c r="CX377" s="535" t="str">
        <f t="shared" si="1042"/>
        <v/>
      </c>
      <c r="CY377" s="535" t="str">
        <f t="shared" si="1043"/>
        <v/>
      </c>
      <c r="CZ377" s="535" t="str">
        <f t="shared" si="1044"/>
        <v/>
      </c>
      <c r="DA377" s="535" t="str">
        <f t="shared" si="1045"/>
        <v/>
      </c>
      <c r="DB377" s="535" t="str">
        <f t="shared" si="1046"/>
        <v/>
      </c>
      <c r="DC377" s="534" t="str">
        <f t="shared" si="1047"/>
        <v/>
      </c>
      <c r="DD377" s="533" t="str">
        <f t="shared" si="1048"/>
        <v/>
      </c>
      <c r="DE377" s="635">
        <f t="shared" si="1049"/>
        <v>0</v>
      </c>
      <c r="DF377" s="95">
        <f t="shared" si="1050"/>
        <v>0</v>
      </c>
      <c r="DG377" s="95">
        <f t="shared" si="1051"/>
        <v>0</v>
      </c>
      <c r="DH377" s="95">
        <f t="shared" si="1052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027"/>
        <v/>
      </c>
      <c r="CA378" s="582" t="str">
        <f t="shared" si="1028"/>
        <v/>
      </c>
      <c r="CB378" s="582" t="str">
        <f t="shared" si="1029"/>
        <v/>
      </c>
      <c r="CC378" s="670" t="str">
        <f t="shared" si="1030"/>
        <v/>
      </c>
      <c r="CD378" s="988" t="str">
        <f t="shared" si="1031"/>
        <v/>
      </c>
      <c r="CE378" s="989" t="str">
        <f t="shared" si="1031"/>
        <v/>
      </c>
      <c r="CF378" s="989" t="str">
        <f t="shared" si="1031"/>
        <v/>
      </c>
      <c r="CG378" s="989" t="str">
        <f t="shared" si="1031"/>
        <v/>
      </c>
      <c r="CH378" s="990" t="str">
        <f t="shared" si="1031"/>
        <v/>
      </c>
      <c r="CI378" s="990" t="str">
        <f t="shared" si="1031"/>
        <v/>
      </c>
      <c r="CJ378" s="989" t="str">
        <f t="shared" si="1031"/>
        <v/>
      </c>
      <c r="CK378" s="989" t="str">
        <f t="shared" si="1031"/>
        <v/>
      </c>
      <c r="CL378" s="989" t="str">
        <f t="shared" si="1031"/>
        <v/>
      </c>
      <c r="CM378" s="988" t="str">
        <f t="shared" si="1031"/>
        <v/>
      </c>
      <c r="CN378" s="533" t="str">
        <f t="shared" si="1032"/>
        <v/>
      </c>
      <c r="CO378" s="534" t="str">
        <f t="shared" si="1033"/>
        <v/>
      </c>
      <c r="CP378" s="535" t="str">
        <f t="shared" si="1034"/>
        <v/>
      </c>
      <c r="CQ378" s="535" t="str">
        <f t="shared" si="1035"/>
        <v/>
      </c>
      <c r="CR378" s="535" t="str">
        <f t="shared" si="1036"/>
        <v/>
      </c>
      <c r="CS378" s="535" t="str">
        <f t="shared" si="1037"/>
        <v/>
      </c>
      <c r="CT378" s="535" t="str">
        <f t="shared" si="1038"/>
        <v/>
      </c>
      <c r="CU378" s="536" t="str">
        <f t="shared" si="1039"/>
        <v/>
      </c>
      <c r="CV378" s="536" t="str">
        <f t="shared" si="1040"/>
        <v/>
      </c>
      <c r="CW378" s="536" t="str">
        <f t="shared" si="1041"/>
        <v/>
      </c>
      <c r="CX378" s="535" t="str">
        <f t="shared" si="1042"/>
        <v/>
      </c>
      <c r="CY378" s="535" t="str">
        <f t="shared" si="1043"/>
        <v/>
      </c>
      <c r="CZ378" s="535" t="str">
        <f t="shared" si="1044"/>
        <v/>
      </c>
      <c r="DA378" s="535" t="str">
        <f t="shared" si="1045"/>
        <v/>
      </c>
      <c r="DB378" s="535" t="str">
        <f t="shared" si="1046"/>
        <v/>
      </c>
      <c r="DC378" s="534" t="str">
        <f t="shared" si="1047"/>
        <v/>
      </c>
      <c r="DD378" s="533" t="str">
        <f t="shared" si="1048"/>
        <v/>
      </c>
      <c r="DE378" s="635">
        <f t="shared" si="1049"/>
        <v>0</v>
      </c>
      <c r="DF378" s="95">
        <f t="shared" si="1050"/>
        <v>0</v>
      </c>
      <c r="DG378" s="95">
        <f t="shared" si="1051"/>
        <v>0</v>
      </c>
      <c r="DH378" s="95">
        <f t="shared" si="1052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061">IF(B377="","",B377*B378)</f>
        <v/>
      </c>
      <c r="C379" s="612" t="str">
        <f t="shared" si="1061"/>
        <v/>
      </c>
      <c r="D379" s="612" t="str">
        <f t="shared" si="1061"/>
        <v/>
      </c>
      <c r="E379" s="612" t="str">
        <f t="shared" si="1061"/>
        <v/>
      </c>
      <c r="F379" s="612" t="str">
        <f t="shared" si="1061"/>
        <v/>
      </c>
      <c r="G379" s="612" t="str">
        <f t="shared" si="1061"/>
        <v/>
      </c>
      <c r="H379" s="612" t="str">
        <f t="shared" si="1061"/>
        <v/>
      </c>
      <c r="I379" s="612" t="str">
        <f t="shared" si="1061"/>
        <v/>
      </c>
      <c r="J379" s="612" t="str">
        <f t="shared" si="1061"/>
        <v/>
      </c>
      <c r="K379" s="612" t="str">
        <f t="shared" si="1061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062">IF(T377="","",T377*T378)</f>
        <v/>
      </c>
      <c r="U379" s="612" t="str">
        <f t="shared" si="1062"/>
        <v/>
      </c>
      <c r="V379" s="612" t="str">
        <f t="shared" si="1062"/>
        <v/>
      </c>
      <c r="W379" s="612" t="str">
        <f t="shared" si="1062"/>
        <v/>
      </c>
      <c r="X379" s="612" t="str">
        <f t="shared" si="1062"/>
        <v/>
      </c>
      <c r="Y379" s="612" t="str">
        <f t="shared" si="1062"/>
        <v/>
      </c>
      <c r="Z379" s="612" t="str">
        <f t="shared" si="1062"/>
        <v/>
      </c>
      <c r="AA379" s="612" t="str">
        <f t="shared" si="1062"/>
        <v/>
      </c>
      <c r="AB379" s="612" t="str">
        <f t="shared" si="1062"/>
        <v/>
      </c>
      <c r="AC379" s="612" t="str">
        <f t="shared" si="1062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063">IF(AL377="","",AL377*AL378)</f>
        <v/>
      </c>
      <c r="AM379" s="612" t="str">
        <f t="shared" si="1063"/>
        <v/>
      </c>
      <c r="AN379" s="612" t="str">
        <f t="shared" si="1063"/>
        <v/>
      </c>
      <c r="AO379" s="612" t="str">
        <f t="shared" si="1063"/>
        <v/>
      </c>
      <c r="AP379" s="612" t="str">
        <f t="shared" si="1063"/>
        <v/>
      </c>
      <c r="AQ379" s="612" t="str">
        <f t="shared" si="1063"/>
        <v/>
      </c>
      <c r="AR379" s="612" t="str">
        <f t="shared" si="1063"/>
        <v/>
      </c>
      <c r="AS379" s="612" t="str">
        <f t="shared" si="1063"/>
        <v/>
      </c>
      <c r="AT379" s="612" t="str">
        <f t="shared" si="1063"/>
        <v/>
      </c>
      <c r="AU379" s="612" t="str">
        <f t="shared" si="1063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064">IF(BD377="","",BD377*BD378)</f>
        <v/>
      </c>
      <c r="BE379" s="1201" t="str">
        <f t="shared" si="1064"/>
        <v/>
      </c>
      <c r="BF379" s="1201" t="str">
        <f t="shared" si="1064"/>
        <v/>
      </c>
      <c r="BG379" s="1201" t="str">
        <f t="shared" si="1064"/>
        <v/>
      </c>
      <c r="BH379" s="1201" t="str">
        <f t="shared" si="1064"/>
        <v/>
      </c>
      <c r="BI379" s="1201" t="str">
        <f t="shared" si="1064"/>
        <v/>
      </c>
      <c r="BJ379" s="1201" t="str">
        <f t="shared" si="1064"/>
        <v/>
      </c>
      <c r="BK379" s="1201" t="str">
        <f t="shared" si="1064"/>
        <v/>
      </c>
      <c r="BL379" s="1201" t="str">
        <f t="shared" si="1064"/>
        <v/>
      </c>
      <c r="BM379" s="1201" t="str">
        <f t="shared" si="1064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027"/>
        <v/>
      </c>
      <c r="CA379" s="582" t="str">
        <f t="shared" si="1028"/>
        <v/>
      </c>
      <c r="CB379" s="582" t="str">
        <f t="shared" si="1029"/>
        <v/>
      </c>
      <c r="CC379" s="670" t="str">
        <f t="shared" si="1030"/>
        <v/>
      </c>
      <c r="CD379" s="988" t="str">
        <f t="shared" si="1031"/>
        <v/>
      </c>
      <c r="CE379" s="989" t="str">
        <f t="shared" si="1031"/>
        <v/>
      </c>
      <c r="CF379" s="989" t="str">
        <f t="shared" si="1031"/>
        <v/>
      </c>
      <c r="CG379" s="989" t="str">
        <f t="shared" si="1031"/>
        <v/>
      </c>
      <c r="CH379" s="990" t="str">
        <f t="shared" si="1031"/>
        <v/>
      </c>
      <c r="CI379" s="990" t="str">
        <f t="shared" si="1031"/>
        <v/>
      </c>
      <c r="CJ379" s="989" t="str">
        <f t="shared" si="1031"/>
        <v/>
      </c>
      <c r="CK379" s="989" t="str">
        <f t="shared" si="1031"/>
        <v/>
      </c>
      <c r="CL379" s="989" t="str">
        <f t="shared" si="1031"/>
        <v/>
      </c>
      <c r="CM379" s="988" t="str">
        <f t="shared" si="1031"/>
        <v/>
      </c>
      <c r="CN379" s="533" t="str">
        <f t="shared" si="1032"/>
        <v/>
      </c>
      <c r="CO379" s="534" t="str">
        <f t="shared" si="1033"/>
        <v/>
      </c>
      <c r="CP379" s="535" t="str">
        <f t="shared" si="1034"/>
        <v/>
      </c>
      <c r="CQ379" s="535" t="str">
        <f t="shared" si="1035"/>
        <v/>
      </c>
      <c r="CR379" s="535" t="str">
        <f t="shared" si="1036"/>
        <v/>
      </c>
      <c r="CS379" s="535" t="str">
        <f t="shared" si="1037"/>
        <v/>
      </c>
      <c r="CT379" s="535" t="str">
        <f t="shared" si="1038"/>
        <v/>
      </c>
      <c r="CU379" s="536" t="str">
        <f t="shared" si="1039"/>
        <v/>
      </c>
      <c r="CV379" s="536" t="str">
        <f t="shared" si="1040"/>
        <v/>
      </c>
      <c r="CW379" s="536" t="str">
        <f t="shared" si="1041"/>
        <v/>
      </c>
      <c r="CX379" s="535" t="str">
        <f t="shared" si="1042"/>
        <v/>
      </c>
      <c r="CY379" s="535" t="str">
        <f t="shared" si="1043"/>
        <v/>
      </c>
      <c r="CZ379" s="535" t="str">
        <f t="shared" si="1044"/>
        <v/>
      </c>
      <c r="DA379" s="535" t="str">
        <f t="shared" si="1045"/>
        <v/>
      </c>
      <c r="DB379" s="535" t="str">
        <f t="shared" si="1046"/>
        <v/>
      </c>
      <c r="DC379" s="534" t="str">
        <f t="shared" si="1047"/>
        <v/>
      </c>
      <c r="DD379" s="533" t="str">
        <f t="shared" si="1048"/>
        <v/>
      </c>
      <c r="DE379" s="635">
        <f t="shared" si="1049"/>
        <v>0</v>
      </c>
      <c r="DF379" s="95">
        <f t="shared" si="1050"/>
        <v>0</v>
      </c>
      <c r="DG379" s="95">
        <f t="shared" si="1051"/>
        <v>0</v>
      </c>
      <c r="DH379" s="95">
        <f t="shared" si="1052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027"/>
        <v/>
      </c>
      <c r="CA380" s="582" t="str">
        <f t="shared" si="1028"/>
        <v/>
      </c>
      <c r="CB380" s="582" t="str">
        <f t="shared" si="1029"/>
        <v/>
      </c>
      <c r="CC380" s="670" t="str">
        <f t="shared" si="1030"/>
        <v/>
      </c>
      <c r="CD380" s="988" t="str">
        <f t="shared" si="1031"/>
        <v/>
      </c>
      <c r="CE380" s="989" t="str">
        <f t="shared" si="1031"/>
        <v/>
      </c>
      <c r="CF380" s="989" t="str">
        <f t="shared" si="1031"/>
        <v/>
      </c>
      <c r="CG380" s="989" t="str">
        <f t="shared" si="1031"/>
        <v/>
      </c>
      <c r="CH380" s="990" t="str">
        <f t="shared" si="1031"/>
        <v/>
      </c>
      <c r="CI380" s="990" t="str">
        <f t="shared" si="1031"/>
        <v/>
      </c>
      <c r="CJ380" s="989" t="str">
        <f t="shared" si="1031"/>
        <v/>
      </c>
      <c r="CK380" s="989" t="str">
        <f t="shared" si="1031"/>
        <v/>
      </c>
      <c r="CL380" s="989" t="str">
        <f t="shared" si="1031"/>
        <v/>
      </c>
      <c r="CM380" s="988" t="str">
        <f t="shared" si="1031"/>
        <v/>
      </c>
      <c r="CN380" s="533" t="str">
        <f t="shared" si="1032"/>
        <v/>
      </c>
      <c r="CO380" s="534" t="str">
        <f t="shared" si="1033"/>
        <v/>
      </c>
      <c r="CP380" s="535" t="str">
        <f t="shared" si="1034"/>
        <v/>
      </c>
      <c r="CQ380" s="535" t="str">
        <f t="shared" si="1035"/>
        <v/>
      </c>
      <c r="CR380" s="535" t="str">
        <f t="shared" si="1036"/>
        <v/>
      </c>
      <c r="CS380" s="535" t="str">
        <f t="shared" si="1037"/>
        <v/>
      </c>
      <c r="CT380" s="535" t="str">
        <f t="shared" si="1038"/>
        <v/>
      </c>
      <c r="CU380" s="536" t="str">
        <f t="shared" si="1039"/>
        <v/>
      </c>
      <c r="CV380" s="536" t="str">
        <f t="shared" si="1040"/>
        <v/>
      </c>
      <c r="CW380" s="536" t="str">
        <f t="shared" si="1041"/>
        <v/>
      </c>
      <c r="CX380" s="535" t="str">
        <f t="shared" si="1042"/>
        <v/>
      </c>
      <c r="CY380" s="535" t="str">
        <f t="shared" si="1043"/>
        <v/>
      </c>
      <c r="CZ380" s="535" t="str">
        <f t="shared" si="1044"/>
        <v/>
      </c>
      <c r="DA380" s="535" t="str">
        <f t="shared" si="1045"/>
        <v/>
      </c>
      <c r="DB380" s="535" t="str">
        <f t="shared" si="1046"/>
        <v/>
      </c>
      <c r="DC380" s="534" t="str">
        <f t="shared" si="1047"/>
        <v/>
      </c>
      <c r="DD380" s="533" t="str">
        <f t="shared" si="1048"/>
        <v/>
      </c>
      <c r="DE380" s="635">
        <f t="shared" si="1049"/>
        <v>0</v>
      </c>
      <c r="DF380" s="95">
        <f t="shared" si="1050"/>
        <v>0</v>
      </c>
      <c r="DG380" s="95">
        <f t="shared" si="1051"/>
        <v>0</v>
      </c>
      <c r="DH380" s="95">
        <f t="shared" si="1052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065">IF(B375="","",(B375-B377-B380)*B376/B$46/365/$G$1)</f>
        <v/>
      </c>
      <c r="C381" s="615" t="str">
        <f t="shared" si="1065"/>
        <v/>
      </c>
      <c r="D381" s="615" t="str">
        <f t="shared" si="1065"/>
        <v/>
      </c>
      <c r="E381" s="615" t="str">
        <f t="shared" si="1065"/>
        <v/>
      </c>
      <c r="F381" s="615" t="str">
        <f t="shared" si="1065"/>
        <v/>
      </c>
      <c r="G381" s="615" t="str">
        <f t="shared" si="1065"/>
        <v/>
      </c>
      <c r="H381" s="615" t="str">
        <f t="shared" si="1065"/>
        <v/>
      </c>
      <c r="I381" s="615" t="str">
        <f t="shared" si="1065"/>
        <v/>
      </c>
      <c r="J381" s="615" t="str">
        <f t="shared" si="1065"/>
        <v/>
      </c>
      <c r="K381" s="615" t="str">
        <f t="shared" si="1065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066">IF(T375="","",(T375-T377-T380)*T376/T$46/365/$G$1)</f>
        <v/>
      </c>
      <c r="U381" s="615" t="str">
        <f t="shared" si="1066"/>
        <v/>
      </c>
      <c r="V381" s="615" t="str">
        <f t="shared" si="1066"/>
        <v/>
      </c>
      <c r="W381" s="615" t="str">
        <f t="shared" si="1066"/>
        <v/>
      </c>
      <c r="X381" s="615" t="str">
        <f t="shared" si="1066"/>
        <v/>
      </c>
      <c r="Y381" s="615" t="str">
        <f t="shared" si="1066"/>
        <v/>
      </c>
      <c r="Z381" s="615" t="str">
        <f t="shared" si="1066"/>
        <v/>
      </c>
      <c r="AA381" s="615" t="str">
        <f t="shared" si="1066"/>
        <v/>
      </c>
      <c r="AB381" s="615" t="str">
        <f t="shared" si="1066"/>
        <v/>
      </c>
      <c r="AC381" s="615" t="str">
        <f t="shared" si="1066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067">IF(AL375="","",(AL375-AL377-AL380)*AL376/AL$46/365/$G$1)</f>
        <v/>
      </c>
      <c r="AM381" s="615" t="str">
        <f t="shared" si="1067"/>
        <v/>
      </c>
      <c r="AN381" s="615" t="str">
        <f t="shared" si="1067"/>
        <v/>
      </c>
      <c r="AO381" s="615" t="str">
        <f t="shared" si="1067"/>
        <v/>
      </c>
      <c r="AP381" s="615" t="str">
        <f t="shared" si="1067"/>
        <v/>
      </c>
      <c r="AQ381" s="615" t="str">
        <f t="shared" si="1067"/>
        <v/>
      </c>
      <c r="AR381" s="615" t="str">
        <f t="shared" si="1067"/>
        <v/>
      </c>
      <c r="AS381" s="615" t="str">
        <f t="shared" si="1067"/>
        <v/>
      </c>
      <c r="AT381" s="615" t="str">
        <f t="shared" si="1067"/>
        <v/>
      </c>
      <c r="AU381" s="615" t="str">
        <f t="shared" si="1067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068">IF(BD375="","",(BD375-BD377-BD380)*BD376/BD$46/365/$G$1)</f>
        <v/>
      </c>
      <c r="BE381" s="1202" t="str">
        <f t="shared" si="1068"/>
        <v/>
      </c>
      <c r="BF381" s="1202" t="str">
        <f t="shared" si="1068"/>
        <v/>
      </c>
      <c r="BG381" s="1202" t="str">
        <f t="shared" si="1068"/>
        <v/>
      </c>
      <c r="BH381" s="1202" t="str">
        <f t="shared" si="1068"/>
        <v/>
      </c>
      <c r="BI381" s="1202" t="str">
        <f t="shared" si="1068"/>
        <v/>
      </c>
      <c r="BJ381" s="1202" t="str">
        <f t="shared" si="1068"/>
        <v/>
      </c>
      <c r="BK381" s="1202" t="str">
        <f t="shared" si="1068"/>
        <v/>
      </c>
      <c r="BL381" s="1202" t="str">
        <f t="shared" si="1068"/>
        <v/>
      </c>
      <c r="BM381" s="1202" t="str">
        <f t="shared" si="1068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027"/>
        <v/>
      </c>
      <c r="CA381" s="607" t="str">
        <f t="shared" si="1028"/>
        <v/>
      </c>
      <c r="CB381" s="607" t="str">
        <f t="shared" si="1029"/>
        <v/>
      </c>
      <c r="CC381" s="673" t="str">
        <f t="shared" si="1030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06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069"/>
        <v/>
      </c>
      <c r="CG381" s="992" t="str">
        <f t="shared" si="1069"/>
        <v/>
      </c>
      <c r="CH381" s="993" t="str">
        <f t="shared" si="1069"/>
        <v/>
      </c>
      <c r="CI381" s="993" t="str">
        <f t="shared" si="1069"/>
        <v/>
      </c>
      <c r="CJ381" s="992" t="str">
        <f t="shared" si="1069"/>
        <v/>
      </c>
      <c r="CK381" s="992" t="str">
        <f t="shared" si="1069"/>
        <v/>
      </c>
      <c r="CL381" s="992" t="str">
        <f t="shared" si="1069"/>
        <v/>
      </c>
      <c r="CM381" s="991" t="str">
        <f t="shared" si="1069"/>
        <v/>
      </c>
      <c r="CN381" s="521" t="str">
        <f t="shared" si="1032"/>
        <v/>
      </c>
      <c r="CO381" s="522" t="str">
        <f t="shared" si="1033"/>
        <v/>
      </c>
      <c r="CP381" s="523" t="str">
        <f t="shared" si="1034"/>
        <v/>
      </c>
      <c r="CQ381" s="523" t="str">
        <f t="shared" si="1035"/>
        <v/>
      </c>
      <c r="CR381" s="523" t="str">
        <f t="shared" si="1036"/>
        <v/>
      </c>
      <c r="CS381" s="523" t="str">
        <f t="shared" si="1037"/>
        <v/>
      </c>
      <c r="CT381" s="523" t="str">
        <f t="shared" si="1038"/>
        <v/>
      </c>
      <c r="CU381" s="524" t="str">
        <f t="shared" si="1039"/>
        <v/>
      </c>
      <c r="CV381" s="524" t="str">
        <f t="shared" si="1040"/>
        <v/>
      </c>
      <c r="CW381" s="524" t="str">
        <f t="shared" si="1041"/>
        <v/>
      </c>
      <c r="CX381" s="523" t="str">
        <f t="shared" si="1042"/>
        <v/>
      </c>
      <c r="CY381" s="523" t="str">
        <f t="shared" si="1043"/>
        <v/>
      </c>
      <c r="CZ381" s="523" t="str">
        <f t="shared" si="1044"/>
        <v/>
      </c>
      <c r="DA381" s="523" t="str">
        <f t="shared" si="1045"/>
        <v/>
      </c>
      <c r="DB381" s="523" t="str">
        <f t="shared" si="1046"/>
        <v/>
      </c>
      <c r="DC381" s="522" t="str">
        <f t="shared" si="1047"/>
        <v/>
      </c>
      <c r="DD381" s="521" t="str">
        <f t="shared" si="1048"/>
        <v/>
      </c>
      <c r="DE381" s="635">
        <f t="shared" si="1049"/>
        <v>0</v>
      </c>
      <c r="DF381" s="95">
        <f t="shared" si="1050"/>
        <v>0</v>
      </c>
      <c r="DG381" s="95">
        <f t="shared" si="1051"/>
        <v>0</v>
      </c>
      <c r="DH381" s="95">
        <f t="shared" si="1052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027"/>
        <v/>
      </c>
      <c r="CA382" s="574" t="str">
        <f t="shared" si="1028"/>
        <v/>
      </c>
      <c r="CB382" s="574" t="str">
        <f t="shared" si="1029"/>
        <v/>
      </c>
      <c r="CC382" s="669" t="str">
        <f t="shared" si="1030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070">IF(DE384&lt;3,"",(SUM(B384:R384)-MIN(B384:R384)-MAX(B384:R384))/(DE384-2))</f>
        <v/>
      </c>
      <c r="CA384" s="582" t="str">
        <f t="shared" ref="CA384:CA418" si="1071">IF(DF384&lt;3,"",(SUM(T384:AJ384)-MIN(T384:AJ384)-MAX(T384:AJ384))/(DF384-2))</f>
        <v/>
      </c>
      <c r="CB384" s="582" t="str">
        <f t="shared" ref="CB384:CB418" si="1072">IF(DG384&lt;3,"",(SUM(AL384:BB384)-MIN(AL384:BB384)-MAX(AL384:BB384))/(DG384-2))</f>
        <v/>
      </c>
      <c r="CC384" s="670" t="str">
        <f t="shared" ref="CC384:CC418" si="1073">IF(DH384&lt;3,"",(SUM(BD384:BT384)-MIN(BD384:BT384)-MAX(BD384:BT384))/(DH384-2))</f>
        <v/>
      </c>
      <c r="CD384" s="988" t="str">
        <f t="shared" ref="CD384:CM390" si="107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074"/>
        <v/>
      </c>
      <c r="CF384" s="989" t="str">
        <f t="shared" si="1074"/>
        <v/>
      </c>
      <c r="CG384" s="989" t="str">
        <f t="shared" si="1074"/>
        <v/>
      </c>
      <c r="CH384" s="990" t="str">
        <f t="shared" si="1074"/>
        <v/>
      </c>
      <c r="CI384" s="990" t="str">
        <f t="shared" si="1074"/>
        <v/>
      </c>
      <c r="CJ384" s="989" t="str">
        <f t="shared" si="1074"/>
        <v/>
      </c>
      <c r="CK384" s="989" t="str">
        <f t="shared" si="1074"/>
        <v/>
      </c>
      <c r="CL384" s="989" t="str">
        <f t="shared" si="1074"/>
        <v/>
      </c>
      <c r="CM384" s="988" t="str">
        <f t="shared" si="1074"/>
        <v/>
      </c>
      <c r="CN384" s="533" t="str">
        <f t="shared" ref="CN384:CN418" si="107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07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092">COUNT(B384:R384)</f>
        <v>0</v>
      </c>
      <c r="DF384" s="95">
        <f t="shared" ref="DF384:DF418" si="1093">COUNT(T384:AJ384)</f>
        <v>0</v>
      </c>
      <c r="DG384" s="95">
        <f t="shared" ref="DG384:DG418" si="1094">COUNT(AL384:BB384)</f>
        <v>0</v>
      </c>
      <c r="DH384" s="95">
        <f t="shared" ref="DH384:DH418" si="1095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096">IF(B382="","",B382*B384)</f>
        <v/>
      </c>
      <c r="C385" s="612" t="str">
        <f t="shared" si="1096"/>
        <v/>
      </c>
      <c r="D385" s="612" t="str">
        <f t="shared" si="1096"/>
        <v/>
      </c>
      <c r="E385" s="612" t="str">
        <f t="shared" si="1096"/>
        <v/>
      </c>
      <c r="F385" s="612" t="str">
        <f t="shared" si="1096"/>
        <v/>
      </c>
      <c r="G385" s="612" t="str">
        <f t="shared" si="1096"/>
        <v/>
      </c>
      <c r="H385" s="612" t="str">
        <f t="shared" si="1096"/>
        <v/>
      </c>
      <c r="I385" s="612" t="str">
        <f t="shared" si="1096"/>
        <v/>
      </c>
      <c r="J385" s="612" t="str">
        <f t="shared" si="1096"/>
        <v/>
      </c>
      <c r="K385" s="612" t="str">
        <f t="shared" si="1096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097">IF(T382="","",T382*T384)</f>
        <v/>
      </c>
      <c r="U385" s="612" t="str">
        <f t="shared" si="1097"/>
        <v/>
      </c>
      <c r="V385" s="612" t="str">
        <f t="shared" si="1097"/>
        <v/>
      </c>
      <c r="W385" s="612" t="str">
        <f t="shared" si="1097"/>
        <v/>
      </c>
      <c r="X385" s="612" t="str">
        <f t="shared" si="1097"/>
        <v/>
      </c>
      <c r="Y385" s="612" t="str">
        <f t="shared" si="1097"/>
        <v/>
      </c>
      <c r="Z385" s="612" t="str">
        <f t="shared" si="1097"/>
        <v/>
      </c>
      <c r="AA385" s="612" t="str">
        <f t="shared" si="1097"/>
        <v/>
      </c>
      <c r="AB385" s="612" t="str">
        <f t="shared" si="1097"/>
        <v/>
      </c>
      <c r="AC385" s="612" t="str">
        <f t="shared" si="1097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098">IF(AL382="","",AL382*AL384)</f>
        <v/>
      </c>
      <c r="AM385" s="612" t="str">
        <f t="shared" si="1098"/>
        <v/>
      </c>
      <c r="AN385" s="612" t="str">
        <f t="shared" si="1098"/>
        <v/>
      </c>
      <c r="AO385" s="612" t="str">
        <f t="shared" si="1098"/>
        <v/>
      </c>
      <c r="AP385" s="612" t="str">
        <f t="shared" si="1098"/>
        <v/>
      </c>
      <c r="AQ385" s="612" t="str">
        <f t="shared" si="1098"/>
        <v/>
      </c>
      <c r="AR385" s="612" t="str">
        <f t="shared" si="1098"/>
        <v/>
      </c>
      <c r="AS385" s="612" t="str">
        <f t="shared" si="1098"/>
        <v/>
      </c>
      <c r="AT385" s="612" t="str">
        <f t="shared" si="1098"/>
        <v/>
      </c>
      <c r="AU385" s="612" t="str">
        <f t="shared" si="1098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099">IF(BD382="","",BD382*BD384)</f>
        <v/>
      </c>
      <c r="BE385" s="1201" t="str">
        <f t="shared" si="1099"/>
        <v/>
      </c>
      <c r="BF385" s="1201" t="str">
        <f t="shared" si="1099"/>
        <v/>
      </c>
      <c r="BG385" s="1201" t="str">
        <f t="shared" si="1099"/>
        <v/>
      </c>
      <c r="BH385" s="1201" t="str">
        <f t="shared" si="1099"/>
        <v/>
      </c>
      <c r="BI385" s="1201" t="str">
        <f t="shared" si="1099"/>
        <v/>
      </c>
      <c r="BJ385" s="1201" t="str">
        <f t="shared" si="1099"/>
        <v/>
      </c>
      <c r="BK385" s="1201" t="str">
        <f t="shared" si="1099"/>
        <v/>
      </c>
      <c r="BL385" s="1201" t="str">
        <f t="shared" si="1099"/>
        <v/>
      </c>
      <c r="BM385" s="1201" t="str">
        <f t="shared" si="1099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070"/>
        <v/>
      </c>
      <c r="CA385" s="582" t="str">
        <f t="shared" si="1071"/>
        <v/>
      </c>
      <c r="CB385" s="582" t="str">
        <f t="shared" si="1072"/>
        <v/>
      </c>
      <c r="CC385" s="670" t="str">
        <f t="shared" si="1073"/>
        <v/>
      </c>
      <c r="CD385" s="988" t="str">
        <f t="shared" si="1074"/>
        <v/>
      </c>
      <c r="CE385" s="989" t="str">
        <f t="shared" si="1074"/>
        <v/>
      </c>
      <c r="CF385" s="989" t="str">
        <f t="shared" si="1074"/>
        <v/>
      </c>
      <c r="CG385" s="989" t="str">
        <f t="shared" si="1074"/>
        <v/>
      </c>
      <c r="CH385" s="990" t="str">
        <f t="shared" si="1074"/>
        <v/>
      </c>
      <c r="CI385" s="990" t="str">
        <f t="shared" si="1074"/>
        <v/>
      </c>
      <c r="CJ385" s="989" t="str">
        <f t="shared" si="1074"/>
        <v/>
      </c>
      <c r="CK385" s="989" t="str">
        <f t="shared" si="1074"/>
        <v/>
      </c>
      <c r="CL385" s="989" t="str">
        <f t="shared" si="1074"/>
        <v/>
      </c>
      <c r="CM385" s="988" t="str">
        <f t="shared" si="1074"/>
        <v/>
      </c>
      <c r="CN385" s="533" t="str">
        <f t="shared" si="1075"/>
        <v/>
      </c>
      <c r="CO385" s="534" t="str">
        <f t="shared" si="1076"/>
        <v/>
      </c>
      <c r="CP385" s="535" t="str">
        <f t="shared" si="1077"/>
        <v/>
      </c>
      <c r="CQ385" s="535" t="str">
        <f t="shared" si="1078"/>
        <v/>
      </c>
      <c r="CR385" s="535" t="str">
        <f t="shared" si="1079"/>
        <v/>
      </c>
      <c r="CS385" s="535" t="str">
        <f t="shared" si="1080"/>
        <v/>
      </c>
      <c r="CT385" s="535" t="str">
        <f t="shared" si="1081"/>
        <v/>
      </c>
      <c r="CU385" s="536" t="str">
        <f t="shared" si="1082"/>
        <v/>
      </c>
      <c r="CV385" s="536" t="str">
        <f t="shared" si="1083"/>
        <v/>
      </c>
      <c r="CW385" s="536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5" t="str">
        <f t="shared" si="1087"/>
        <v/>
      </c>
      <c r="DA385" s="535" t="str">
        <f t="shared" si="1088"/>
        <v/>
      </c>
      <c r="DB385" s="535" t="str">
        <f t="shared" si="1089"/>
        <v/>
      </c>
      <c r="DC385" s="534" t="str">
        <f t="shared" si="1090"/>
        <v/>
      </c>
      <c r="DD385" s="533" t="str">
        <f t="shared" si="1091"/>
        <v/>
      </c>
      <c r="DE385" s="635">
        <f t="shared" si="1092"/>
        <v>0</v>
      </c>
      <c r="DF385" s="95">
        <f t="shared" si="1093"/>
        <v>0</v>
      </c>
      <c r="DG385" s="95">
        <f t="shared" si="1094"/>
        <v>0</v>
      </c>
      <c r="DH385" s="95">
        <f t="shared" si="1095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070"/>
        <v/>
      </c>
      <c r="CA386" s="582" t="str">
        <f t="shared" si="1071"/>
        <v/>
      </c>
      <c r="CB386" s="582" t="str">
        <f t="shared" si="1072"/>
        <v/>
      </c>
      <c r="CC386" s="670" t="str">
        <f t="shared" si="1073"/>
        <v/>
      </c>
      <c r="CD386" s="988" t="str">
        <f t="shared" si="1074"/>
        <v/>
      </c>
      <c r="CE386" s="989" t="str">
        <f t="shared" si="1074"/>
        <v/>
      </c>
      <c r="CF386" s="989" t="str">
        <f t="shared" si="1074"/>
        <v/>
      </c>
      <c r="CG386" s="989" t="str">
        <f t="shared" si="1074"/>
        <v/>
      </c>
      <c r="CH386" s="990" t="str">
        <f t="shared" si="1074"/>
        <v/>
      </c>
      <c r="CI386" s="990" t="str">
        <f t="shared" si="1074"/>
        <v/>
      </c>
      <c r="CJ386" s="989" t="str">
        <f t="shared" si="1074"/>
        <v/>
      </c>
      <c r="CK386" s="989" t="str">
        <f t="shared" si="1074"/>
        <v/>
      </c>
      <c r="CL386" s="989" t="str">
        <f t="shared" si="1074"/>
        <v/>
      </c>
      <c r="CM386" s="988" t="str">
        <f t="shared" si="1074"/>
        <v/>
      </c>
      <c r="CN386" s="533" t="str">
        <f t="shared" si="1075"/>
        <v/>
      </c>
      <c r="CO386" s="534" t="str">
        <f t="shared" si="1076"/>
        <v/>
      </c>
      <c r="CP386" s="535" t="str">
        <f t="shared" si="1077"/>
        <v/>
      </c>
      <c r="CQ386" s="535" t="str">
        <f t="shared" si="1078"/>
        <v/>
      </c>
      <c r="CR386" s="535" t="str">
        <f t="shared" si="1079"/>
        <v/>
      </c>
      <c r="CS386" s="535" t="str">
        <f t="shared" si="1080"/>
        <v/>
      </c>
      <c r="CT386" s="535" t="str">
        <f t="shared" si="1081"/>
        <v/>
      </c>
      <c r="CU386" s="536" t="str">
        <f t="shared" si="1082"/>
        <v/>
      </c>
      <c r="CV386" s="536" t="str">
        <f t="shared" si="1083"/>
        <v/>
      </c>
      <c r="CW386" s="536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5" t="str">
        <f t="shared" si="1087"/>
        <v/>
      </c>
      <c r="DA386" s="535" t="str">
        <f t="shared" si="1088"/>
        <v/>
      </c>
      <c r="DB386" s="535" t="str">
        <f t="shared" si="1089"/>
        <v/>
      </c>
      <c r="DC386" s="534" t="str">
        <f t="shared" si="1090"/>
        <v/>
      </c>
      <c r="DD386" s="533" t="str">
        <f t="shared" si="1091"/>
        <v/>
      </c>
      <c r="DE386" s="635">
        <f t="shared" si="1092"/>
        <v>0</v>
      </c>
      <c r="DF386" s="95">
        <f t="shared" si="1093"/>
        <v>0</v>
      </c>
      <c r="DG386" s="95">
        <f t="shared" si="1094"/>
        <v>0</v>
      </c>
      <c r="DH386" s="95">
        <f t="shared" si="1095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070"/>
        <v/>
      </c>
      <c r="CA387" s="582" t="str">
        <f t="shared" si="1071"/>
        <v/>
      </c>
      <c r="CB387" s="582" t="str">
        <f t="shared" si="1072"/>
        <v/>
      </c>
      <c r="CC387" s="670" t="str">
        <f t="shared" si="1073"/>
        <v/>
      </c>
      <c r="CD387" s="988" t="str">
        <f t="shared" si="1074"/>
        <v/>
      </c>
      <c r="CE387" s="989" t="str">
        <f t="shared" si="1074"/>
        <v/>
      </c>
      <c r="CF387" s="989" t="str">
        <f t="shared" si="1074"/>
        <v/>
      </c>
      <c r="CG387" s="989" t="str">
        <f t="shared" si="1074"/>
        <v/>
      </c>
      <c r="CH387" s="990" t="str">
        <f t="shared" si="1074"/>
        <v/>
      </c>
      <c r="CI387" s="990" t="str">
        <f t="shared" si="1074"/>
        <v/>
      </c>
      <c r="CJ387" s="989" t="str">
        <f t="shared" si="1074"/>
        <v/>
      </c>
      <c r="CK387" s="989" t="str">
        <f t="shared" si="1074"/>
        <v/>
      </c>
      <c r="CL387" s="989" t="str">
        <f t="shared" si="1074"/>
        <v/>
      </c>
      <c r="CM387" s="988" t="str">
        <f t="shared" si="1074"/>
        <v/>
      </c>
      <c r="CN387" s="533" t="str">
        <f t="shared" si="1075"/>
        <v/>
      </c>
      <c r="CO387" s="534" t="str">
        <f t="shared" si="1076"/>
        <v/>
      </c>
      <c r="CP387" s="535" t="str">
        <f t="shared" si="1077"/>
        <v/>
      </c>
      <c r="CQ387" s="535" t="str">
        <f t="shared" si="1078"/>
        <v/>
      </c>
      <c r="CR387" s="535" t="str">
        <f t="shared" si="1079"/>
        <v/>
      </c>
      <c r="CS387" s="535" t="str">
        <f t="shared" si="1080"/>
        <v/>
      </c>
      <c r="CT387" s="535" t="str">
        <f t="shared" si="1081"/>
        <v/>
      </c>
      <c r="CU387" s="536" t="str">
        <f t="shared" si="1082"/>
        <v/>
      </c>
      <c r="CV387" s="536" t="str">
        <f t="shared" si="1083"/>
        <v/>
      </c>
      <c r="CW387" s="536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5" t="str">
        <f t="shared" si="1087"/>
        <v/>
      </c>
      <c r="DA387" s="535" t="str">
        <f t="shared" si="1088"/>
        <v/>
      </c>
      <c r="DB387" s="535" t="str">
        <f t="shared" si="1089"/>
        <v/>
      </c>
      <c r="DC387" s="534" t="str">
        <f t="shared" si="1090"/>
        <v/>
      </c>
      <c r="DD387" s="533" t="str">
        <f t="shared" si="1091"/>
        <v/>
      </c>
      <c r="DE387" s="635">
        <f t="shared" si="1092"/>
        <v>0</v>
      </c>
      <c r="DF387" s="95">
        <f t="shared" si="1093"/>
        <v>0</v>
      </c>
      <c r="DG387" s="95">
        <f t="shared" si="1094"/>
        <v>0</v>
      </c>
      <c r="DH387" s="95">
        <f t="shared" si="1095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070"/>
        <v/>
      </c>
      <c r="CA388" s="582" t="str">
        <f t="shared" si="1071"/>
        <v/>
      </c>
      <c r="CB388" s="582" t="str">
        <f t="shared" si="1072"/>
        <v/>
      </c>
      <c r="CC388" s="670" t="str">
        <f t="shared" si="1073"/>
        <v/>
      </c>
      <c r="CD388" s="988" t="str">
        <f t="shared" si="1074"/>
        <v/>
      </c>
      <c r="CE388" s="989" t="str">
        <f t="shared" si="1074"/>
        <v/>
      </c>
      <c r="CF388" s="989" t="str">
        <f t="shared" si="1074"/>
        <v/>
      </c>
      <c r="CG388" s="989" t="str">
        <f t="shared" si="1074"/>
        <v/>
      </c>
      <c r="CH388" s="990" t="str">
        <f t="shared" si="1074"/>
        <v/>
      </c>
      <c r="CI388" s="990" t="str">
        <f t="shared" si="1074"/>
        <v/>
      </c>
      <c r="CJ388" s="989" t="str">
        <f t="shared" si="1074"/>
        <v/>
      </c>
      <c r="CK388" s="989" t="str">
        <f t="shared" si="1074"/>
        <v/>
      </c>
      <c r="CL388" s="989" t="str">
        <f t="shared" si="1074"/>
        <v/>
      </c>
      <c r="CM388" s="988" t="str">
        <f t="shared" si="1074"/>
        <v/>
      </c>
      <c r="CN388" s="533" t="str">
        <f t="shared" si="1075"/>
        <v/>
      </c>
      <c r="CO388" s="534" t="str">
        <f t="shared" si="1076"/>
        <v/>
      </c>
      <c r="CP388" s="535" t="str">
        <f t="shared" si="1077"/>
        <v/>
      </c>
      <c r="CQ388" s="535" t="str">
        <f t="shared" si="1078"/>
        <v/>
      </c>
      <c r="CR388" s="535" t="str">
        <f t="shared" si="1079"/>
        <v/>
      </c>
      <c r="CS388" s="535" t="str">
        <f t="shared" si="1080"/>
        <v/>
      </c>
      <c r="CT388" s="535" t="str">
        <f t="shared" si="1081"/>
        <v/>
      </c>
      <c r="CU388" s="536" t="str">
        <f t="shared" si="1082"/>
        <v/>
      </c>
      <c r="CV388" s="536" t="str">
        <f t="shared" si="1083"/>
        <v/>
      </c>
      <c r="CW388" s="536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5" t="str">
        <f t="shared" si="1087"/>
        <v/>
      </c>
      <c r="DA388" s="535" t="str">
        <f t="shared" si="1088"/>
        <v/>
      </c>
      <c r="DB388" s="535" t="str">
        <f t="shared" si="1089"/>
        <v/>
      </c>
      <c r="DC388" s="534" t="str">
        <f t="shared" si="1090"/>
        <v/>
      </c>
      <c r="DD388" s="533" t="str">
        <f t="shared" si="1091"/>
        <v/>
      </c>
      <c r="DE388" s="635">
        <f t="shared" si="1092"/>
        <v>0</v>
      </c>
      <c r="DF388" s="95">
        <f t="shared" si="1093"/>
        <v>0</v>
      </c>
      <c r="DG388" s="95">
        <f t="shared" si="1094"/>
        <v>0</v>
      </c>
      <c r="DH388" s="95">
        <f t="shared" si="1095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00">IF(B387="","",B387*B388)</f>
        <v/>
      </c>
      <c r="C389" s="612" t="str">
        <f t="shared" si="1100"/>
        <v/>
      </c>
      <c r="D389" s="612" t="str">
        <f t="shared" si="1100"/>
        <v/>
      </c>
      <c r="E389" s="612" t="str">
        <f t="shared" si="1100"/>
        <v/>
      </c>
      <c r="F389" s="612" t="str">
        <f t="shared" si="1100"/>
        <v/>
      </c>
      <c r="G389" s="612" t="str">
        <f t="shared" si="1100"/>
        <v/>
      </c>
      <c r="H389" s="612" t="str">
        <f t="shared" si="1100"/>
        <v/>
      </c>
      <c r="I389" s="612" t="str">
        <f t="shared" si="1100"/>
        <v/>
      </c>
      <c r="J389" s="612" t="str">
        <f t="shared" si="1100"/>
        <v/>
      </c>
      <c r="K389" s="612" t="str">
        <f t="shared" si="1100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01">IF(T387="","",T387*T388)</f>
        <v/>
      </c>
      <c r="U389" s="612" t="str">
        <f t="shared" si="1101"/>
        <v/>
      </c>
      <c r="V389" s="612" t="str">
        <f t="shared" si="1101"/>
        <v/>
      </c>
      <c r="W389" s="612" t="str">
        <f t="shared" si="1101"/>
        <v/>
      </c>
      <c r="X389" s="612" t="str">
        <f t="shared" si="1101"/>
        <v/>
      </c>
      <c r="Y389" s="612" t="str">
        <f t="shared" si="1101"/>
        <v/>
      </c>
      <c r="Z389" s="612" t="str">
        <f t="shared" si="1101"/>
        <v/>
      </c>
      <c r="AA389" s="612" t="str">
        <f t="shared" si="1101"/>
        <v/>
      </c>
      <c r="AB389" s="612" t="str">
        <f t="shared" si="1101"/>
        <v/>
      </c>
      <c r="AC389" s="612" t="str">
        <f t="shared" si="1101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02">IF(AL387="","",AL387*AL388)</f>
        <v/>
      </c>
      <c r="AM389" s="612" t="str">
        <f t="shared" si="1102"/>
        <v/>
      </c>
      <c r="AN389" s="612" t="str">
        <f t="shared" si="1102"/>
        <v/>
      </c>
      <c r="AO389" s="612" t="str">
        <f t="shared" si="1102"/>
        <v/>
      </c>
      <c r="AP389" s="612" t="str">
        <f t="shared" si="1102"/>
        <v/>
      </c>
      <c r="AQ389" s="612" t="str">
        <f t="shared" si="1102"/>
        <v/>
      </c>
      <c r="AR389" s="612" t="str">
        <f t="shared" si="1102"/>
        <v/>
      </c>
      <c r="AS389" s="612" t="str">
        <f t="shared" si="1102"/>
        <v/>
      </c>
      <c r="AT389" s="612" t="str">
        <f t="shared" si="1102"/>
        <v/>
      </c>
      <c r="AU389" s="612" t="str">
        <f t="shared" si="1102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03">IF(BD387="","",BD387*BD388)</f>
        <v/>
      </c>
      <c r="BE389" s="1201" t="str">
        <f t="shared" si="1103"/>
        <v/>
      </c>
      <c r="BF389" s="1201" t="str">
        <f t="shared" si="1103"/>
        <v/>
      </c>
      <c r="BG389" s="1201" t="str">
        <f t="shared" si="1103"/>
        <v/>
      </c>
      <c r="BH389" s="1201" t="str">
        <f t="shared" si="1103"/>
        <v/>
      </c>
      <c r="BI389" s="1201" t="str">
        <f t="shared" si="1103"/>
        <v/>
      </c>
      <c r="BJ389" s="1201" t="str">
        <f t="shared" si="1103"/>
        <v/>
      </c>
      <c r="BK389" s="1201" t="str">
        <f t="shared" si="1103"/>
        <v/>
      </c>
      <c r="BL389" s="1201" t="str">
        <f t="shared" si="1103"/>
        <v/>
      </c>
      <c r="BM389" s="1201" t="str">
        <f t="shared" si="1103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070"/>
        <v/>
      </c>
      <c r="CA389" s="582" t="str">
        <f t="shared" si="1071"/>
        <v/>
      </c>
      <c r="CB389" s="582" t="str">
        <f t="shared" si="1072"/>
        <v/>
      </c>
      <c r="CC389" s="670" t="str">
        <f t="shared" si="1073"/>
        <v/>
      </c>
      <c r="CD389" s="988" t="str">
        <f t="shared" si="1074"/>
        <v/>
      </c>
      <c r="CE389" s="989" t="str">
        <f t="shared" si="1074"/>
        <v/>
      </c>
      <c r="CF389" s="989" t="str">
        <f t="shared" si="1074"/>
        <v/>
      </c>
      <c r="CG389" s="989" t="str">
        <f t="shared" si="1074"/>
        <v/>
      </c>
      <c r="CH389" s="990" t="str">
        <f t="shared" si="1074"/>
        <v/>
      </c>
      <c r="CI389" s="990" t="str">
        <f t="shared" si="1074"/>
        <v/>
      </c>
      <c r="CJ389" s="989" t="str">
        <f t="shared" si="1074"/>
        <v/>
      </c>
      <c r="CK389" s="989" t="str">
        <f t="shared" si="1074"/>
        <v/>
      </c>
      <c r="CL389" s="989" t="str">
        <f t="shared" si="1074"/>
        <v/>
      </c>
      <c r="CM389" s="988" t="str">
        <f t="shared" si="1074"/>
        <v/>
      </c>
      <c r="CN389" s="533" t="str">
        <f t="shared" si="1075"/>
        <v/>
      </c>
      <c r="CO389" s="534" t="str">
        <f t="shared" si="1076"/>
        <v/>
      </c>
      <c r="CP389" s="535" t="str">
        <f t="shared" si="1077"/>
        <v/>
      </c>
      <c r="CQ389" s="535" t="str">
        <f t="shared" si="1078"/>
        <v/>
      </c>
      <c r="CR389" s="535" t="str">
        <f t="shared" si="1079"/>
        <v/>
      </c>
      <c r="CS389" s="535" t="str">
        <f t="shared" si="1080"/>
        <v/>
      </c>
      <c r="CT389" s="535" t="str">
        <f t="shared" si="1081"/>
        <v/>
      </c>
      <c r="CU389" s="536" t="str">
        <f t="shared" si="1082"/>
        <v/>
      </c>
      <c r="CV389" s="536" t="str">
        <f t="shared" si="1083"/>
        <v/>
      </c>
      <c r="CW389" s="536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5" t="str">
        <f t="shared" si="1087"/>
        <v/>
      </c>
      <c r="DA389" s="535" t="str">
        <f t="shared" si="1088"/>
        <v/>
      </c>
      <c r="DB389" s="535" t="str">
        <f t="shared" si="1089"/>
        <v/>
      </c>
      <c r="DC389" s="534" t="str">
        <f t="shared" si="1090"/>
        <v/>
      </c>
      <c r="DD389" s="533" t="str">
        <f t="shared" si="1091"/>
        <v/>
      </c>
      <c r="DE389" s="635">
        <f t="shared" si="1092"/>
        <v>0</v>
      </c>
      <c r="DF389" s="95">
        <f t="shared" si="1093"/>
        <v>0</v>
      </c>
      <c r="DG389" s="95">
        <f t="shared" si="1094"/>
        <v>0</v>
      </c>
      <c r="DH389" s="95">
        <f t="shared" si="1095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070"/>
        <v/>
      </c>
      <c r="CA390" s="582" t="str">
        <f t="shared" si="1071"/>
        <v/>
      </c>
      <c r="CB390" s="582" t="str">
        <f t="shared" si="1072"/>
        <v/>
      </c>
      <c r="CC390" s="670" t="str">
        <f t="shared" si="1073"/>
        <v/>
      </c>
      <c r="CD390" s="988" t="str">
        <f t="shared" si="1074"/>
        <v/>
      </c>
      <c r="CE390" s="989" t="str">
        <f t="shared" si="1074"/>
        <v/>
      </c>
      <c r="CF390" s="989" t="str">
        <f t="shared" si="1074"/>
        <v/>
      </c>
      <c r="CG390" s="989" t="str">
        <f t="shared" si="1074"/>
        <v/>
      </c>
      <c r="CH390" s="990" t="str">
        <f t="shared" si="1074"/>
        <v/>
      </c>
      <c r="CI390" s="990" t="str">
        <f t="shared" si="1074"/>
        <v/>
      </c>
      <c r="CJ390" s="989" t="str">
        <f t="shared" si="1074"/>
        <v/>
      </c>
      <c r="CK390" s="989" t="str">
        <f t="shared" si="1074"/>
        <v/>
      </c>
      <c r="CL390" s="989" t="str">
        <f t="shared" si="1074"/>
        <v/>
      </c>
      <c r="CM390" s="988" t="str">
        <f t="shared" si="1074"/>
        <v/>
      </c>
      <c r="CN390" s="533" t="str">
        <f t="shared" si="1075"/>
        <v/>
      </c>
      <c r="CO390" s="534" t="str">
        <f t="shared" si="1076"/>
        <v/>
      </c>
      <c r="CP390" s="535" t="str">
        <f t="shared" si="1077"/>
        <v/>
      </c>
      <c r="CQ390" s="535" t="str">
        <f t="shared" si="1078"/>
        <v/>
      </c>
      <c r="CR390" s="535" t="str">
        <f t="shared" si="1079"/>
        <v/>
      </c>
      <c r="CS390" s="535" t="str">
        <f t="shared" si="1080"/>
        <v/>
      </c>
      <c r="CT390" s="535" t="str">
        <f t="shared" si="1081"/>
        <v/>
      </c>
      <c r="CU390" s="536" t="str">
        <f t="shared" si="1082"/>
        <v/>
      </c>
      <c r="CV390" s="536" t="str">
        <f t="shared" si="1083"/>
        <v/>
      </c>
      <c r="CW390" s="536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5" t="str">
        <f t="shared" si="1087"/>
        <v/>
      </c>
      <c r="DA390" s="535" t="str">
        <f t="shared" si="1088"/>
        <v/>
      </c>
      <c r="DB390" s="535" t="str">
        <f t="shared" si="1089"/>
        <v/>
      </c>
      <c r="DC390" s="534" t="str">
        <f t="shared" si="1090"/>
        <v/>
      </c>
      <c r="DD390" s="533" t="str">
        <f t="shared" si="1091"/>
        <v/>
      </c>
      <c r="DE390" s="635">
        <f t="shared" si="1092"/>
        <v>0</v>
      </c>
      <c r="DF390" s="95">
        <f t="shared" si="1093"/>
        <v>0</v>
      </c>
      <c r="DG390" s="95">
        <f t="shared" si="1094"/>
        <v>0</v>
      </c>
      <c r="DH390" s="95">
        <f t="shared" si="1095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04">IF(B385="","",(B385-B387-B390)*B386/B$46/365/$G$1)</f>
        <v/>
      </c>
      <c r="C391" s="615" t="str">
        <f t="shared" si="1104"/>
        <v/>
      </c>
      <c r="D391" s="615" t="str">
        <f t="shared" si="1104"/>
        <v/>
      </c>
      <c r="E391" s="615" t="str">
        <f t="shared" si="1104"/>
        <v/>
      </c>
      <c r="F391" s="615" t="str">
        <f t="shared" si="1104"/>
        <v/>
      </c>
      <c r="G391" s="615" t="str">
        <f t="shared" si="1104"/>
        <v/>
      </c>
      <c r="H391" s="615" t="str">
        <f t="shared" si="1104"/>
        <v/>
      </c>
      <c r="I391" s="615" t="str">
        <f t="shared" si="1104"/>
        <v/>
      </c>
      <c r="J391" s="615" t="str">
        <f t="shared" si="1104"/>
        <v/>
      </c>
      <c r="K391" s="615" t="str">
        <f t="shared" si="1104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05">IF(T385="","",(T385-T387-T390)*T386/T$46/365/$G$1)</f>
        <v/>
      </c>
      <c r="U391" s="615" t="str">
        <f t="shared" si="1105"/>
        <v/>
      </c>
      <c r="V391" s="615" t="str">
        <f t="shared" si="1105"/>
        <v/>
      </c>
      <c r="W391" s="615" t="str">
        <f t="shared" si="1105"/>
        <v/>
      </c>
      <c r="X391" s="615" t="str">
        <f t="shared" si="1105"/>
        <v/>
      </c>
      <c r="Y391" s="615" t="str">
        <f t="shared" si="1105"/>
        <v/>
      </c>
      <c r="Z391" s="615" t="str">
        <f t="shared" si="1105"/>
        <v/>
      </c>
      <c r="AA391" s="615" t="str">
        <f t="shared" si="1105"/>
        <v/>
      </c>
      <c r="AB391" s="615" t="str">
        <f t="shared" si="1105"/>
        <v/>
      </c>
      <c r="AC391" s="615" t="str">
        <f t="shared" si="1105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06">IF(AL385="","",(AL385-AL387-AL390)*AL386/AL$46/365/$G$1)</f>
        <v/>
      </c>
      <c r="AM391" s="615" t="str">
        <f t="shared" si="1106"/>
        <v/>
      </c>
      <c r="AN391" s="615" t="str">
        <f t="shared" si="1106"/>
        <v/>
      </c>
      <c r="AO391" s="615" t="str">
        <f t="shared" si="1106"/>
        <v/>
      </c>
      <c r="AP391" s="615" t="str">
        <f t="shared" si="1106"/>
        <v/>
      </c>
      <c r="AQ391" s="615" t="str">
        <f t="shared" si="1106"/>
        <v/>
      </c>
      <c r="AR391" s="615" t="str">
        <f t="shared" si="1106"/>
        <v/>
      </c>
      <c r="AS391" s="615" t="str">
        <f t="shared" si="1106"/>
        <v/>
      </c>
      <c r="AT391" s="615" t="str">
        <f t="shared" si="1106"/>
        <v/>
      </c>
      <c r="AU391" s="615" t="str">
        <f t="shared" si="1106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07">IF(BD385="","",(BD385-BD387-BD390)*BD386/BD$46/365/$G$1)</f>
        <v/>
      </c>
      <c r="BE391" s="1202" t="str">
        <f t="shared" si="1107"/>
        <v/>
      </c>
      <c r="BF391" s="1202" t="str">
        <f t="shared" si="1107"/>
        <v/>
      </c>
      <c r="BG391" s="1202" t="str">
        <f t="shared" si="1107"/>
        <v/>
      </c>
      <c r="BH391" s="1202" t="str">
        <f t="shared" si="1107"/>
        <v/>
      </c>
      <c r="BI391" s="1202" t="str">
        <f t="shared" si="1107"/>
        <v/>
      </c>
      <c r="BJ391" s="1202" t="str">
        <f t="shared" si="1107"/>
        <v/>
      </c>
      <c r="BK391" s="1202" t="str">
        <f t="shared" si="1107"/>
        <v/>
      </c>
      <c r="BL391" s="1202" t="str">
        <f t="shared" si="1107"/>
        <v/>
      </c>
      <c r="BM391" s="1202" t="str">
        <f t="shared" si="1107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070"/>
        <v/>
      </c>
      <c r="CA391" s="607" t="str">
        <f t="shared" si="1071"/>
        <v/>
      </c>
      <c r="CB391" s="607" t="str">
        <f t="shared" si="1072"/>
        <v/>
      </c>
      <c r="CC391" s="673" t="str">
        <f t="shared" si="1073"/>
        <v/>
      </c>
      <c r="CD391" s="991" t="str">
        <f t="shared" ref="CD391:CD418" si="110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0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09"/>
        <v/>
      </c>
      <c r="CG391" s="992" t="str">
        <f t="shared" si="1109"/>
        <v/>
      </c>
      <c r="CH391" s="993" t="str">
        <f t="shared" si="1109"/>
        <v/>
      </c>
      <c r="CI391" s="993" t="str">
        <f t="shared" si="1109"/>
        <v/>
      </c>
      <c r="CJ391" s="992" t="str">
        <f t="shared" si="1109"/>
        <v/>
      </c>
      <c r="CK391" s="992" t="str">
        <f t="shared" si="1109"/>
        <v/>
      </c>
      <c r="CL391" s="992" t="str">
        <f t="shared" si="1109"/>
        <v/>
      </c>
      <c r="CM391" s="991" t="str">
        <f t="shared" si="1109"/>
        <v/>
      </c>
      <c r="CN391" s="521" t="str">
        <f t="shared" si="1075"/>
        <v/>
      </c>
      <c r="CO391" s="522" t="str">
        <f t="shared" si="1076"/>
        <v/>
      </c>
      <c r="CP391" s="523" t="str">
        <f t="shared" si="1077"/>
        <v/>
      </c>
      <c r="CQ391" s="523" t="str">
        <f t="shared" si="1078"/>
        <v/>
      </c>
      <c r="CR391" s="523" t="str">
        <f t="shared" si="1079"/>
        <v/>
      </c>
      <c r="CS391" s="523" t="str">
        <f t="shared" si="1080"/>
        <v/>
      </c>
      <c r="CT391" s="523" t="str">
        <f t="shared" si="1081"/>
        <v/>
      </c>
      <c r="CU391" s="524" t="str">
        <f t="shared" si="1082"/>
        <v/>
      </c>
      <c r="CV391" s="524" t="str">
        <f t="shared" si="1083"/>
        <v/>
      </c>
      <c r="CW391" s="524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3" t="str">
        <f t="shared" si="1087"/>
        <v/>
      </c>
      <c r="DA391" s="523" t="str">
        <f t="shared" si="1088"/>
        <v/>
      </c>
      <c r="DB391" s="523" t="str">
        <f t="shared" si="1089"/>
        <v/>
      </c>
      <c r="DC391" s="522" t="str">
        <f t="shared" si="1090"/>
        <v/>
      </c>
      <c r="DD391" s="521" t="str">
        <f t="shared" si="1091"/>
        <v/>
      </c>
      <c r="DE391" s="635">
        <f t="shared" si="1092"/>
        <v>0</v>
      </c>
      <c r="DF391" s="95">
        <f t="shared" si="1093"/>
        <v>0</v>
      </c>
      <c r="DG391" s="95">
        <f t="shared" si="1094"/>
        <v>0</v>
      </c>
      <c r="DH391" s="95">
        <f t="shared" si="1095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070"/>
        <v/>
      </c>
      <c r="CA392" s="582" t="str">
        <f t="shared" si="1071"/>
        <v/>
      </c>
      <c r="CB392" s="582" t="str">
        <f t="shared" si="1072"/>
        <v/>
      </c>
      <c r="CC392" s="670" t="str">
        <f t="shared" si="1073"/>
        <v/>
      </c>
      <c r="CD392" s="988" t="str">
        <f t="shared" si="1108"/>
        <v/>
      </c>
      <c r="CE392" s="989" t="str">
        <f t="shared" ref="CE392:CM392" si="111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10"/>
        <v/>
      </c>
      <c r="CG392" s="989" t="str">
        <f t="shared" si="1110"/>
        <v/>
      </c>
      <c r="CH392" s="990" t="str">
        <f t="shared" si="1110"/>
        <v/>
      </c>
      <c r="CI392" s="990" t="str">
        <f t="shared" si="1110"/>
        <v/>
      </c>
      <c r="CJ392" s="989" t="str">
        <f t="shared" si="1110"/>
        <v/>
      </c>
      <c r="CK392" s="989" t="str">
        <f t="shared" si="1110"/>
        <v/>
      </c>
      <c r="CL392" s="989" t="str">
        <f t="shared" si="1110"/>
        <v/>
      </c>
      <c r="CM392" s="988" t="str">
        <f t="shared" si="1110"/>
        <v/>
      </c>
      <c r="CN392" s="533" t="str">
        <f t="shared" si="1075"/>
        <v/>
      </c>
      <c r="CO392" s="534" t="str">
        <f t="shared" si="1076"/>
        <v/>
      </c>
      <c r="CP392" s="535" t="str">
        <f t="shared" si="1077"/>
        <v/>
      </c>
      <c r="CQ392" s="535" t="str">
        <f t="shared" si="1078"/>
        <v/>
      </c>
      <c r="CR392" s="535" t="str">
        <f t="shared" si="1079"/>
        <v/>
      </c>
      <c r="CS392" s="535" t="str">
        <f t="shared" si="1080"/>
        <v/>
      </c>
      <c r="CT392" s="535" t="str">
        <f t="shared" si="1081"/>
        <v/>
      </c>
      <c r="CU392" s="536" t="str">
        <f t="shared" si="1082"/>
        <v/>
      </c>
      <c r="CV392" s="536" t="str">
        <f t="shared" si="1083"/>
        <v/>
      </c>
      <c r="CW392" s="536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5" t="str">
        <f t="shared" si="1087"/>
        <v/>
      </c>
      <c r="DA392" s="535" t="str">
        <f t="shared" si="1088"/>
        <v/>
      </c>
      <c r="DB392" s="535" t="str">
        <f t="shared" si="1089"/>
        <v/>
      </c>
      <c r="DC392" s="534" t="str">
        <f t="shared" si="1090"/>
        <v/>
      </c>
      <c r="DD392" s="533" t="str">
        <f t="shared" si="1091"/>
        <v/>
      </c>
      <c r="DE392" s="635">
        <f t="shared" si="1092"/>
        <v>0</v>
      </c>
      <c r="DF392" s="95">
        <f t="shared" si="1093"/>
        <v>0</v>
      </c>
      <c r="DG392" s="95">
        <f t="shared" si="1094"/>
        <v>0</v>
      </c>
      <c r="DH392" s="95">
        <f t="shared" si="1095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070"/>
        <v/>
      </c>
      <c r="CA393" s="582" t="str">
        <f t="shared" si="1071"/>
        <v/>
      </c>
      <c r="CB393" s="582" t="str">
        <f t="shared" si="1072"/>
        <v/>
      </c>
      <c r="CC393" s="670" t="str">
        <f t="shared" si="1073"/>
        <v/>
      </c>
      <c r="CD393" s="988" t="str">
        <f t="shared" si="1108"/>
        <v/>
      </c>
      <c r="CE393" s="989" t="str">
        <f t="shared" ref="CE393:CM408" si="111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11"/>
        <v/>
      </c>
      <c r="CG393" s="989" t="str">
        <f t="shared" si="1111"/>
        <v/>
      </c>
      <c r="CH393" s="990" t="str">
        <f t="shared" si="1111"/>
        <v/>
      </c>
      <c r="CI393" s="990" t="str">
        <f t="shared" si="1111"/>
        <v/>
      </c>
      <c r="CJ393" s="989" t="str">
        <f t="shared" si="1111"/>
        <v/>
      </c>
      <c r="CK393" s="989" t="str">
        <f t="shared" si="1111"/>
        <v/>
      </c>
      <c r="CL393" s="989" t="str">
        <f t="shared" si="1111"/>
        <v/>
      </c>
      <c r="CM393" s="988" t="str">
        <f t="shared" si="1111"/>
        <v/>
      </c>
      <c r="CN393" s="533" t="str">
        <f t="shared" si="1075"/>
        <v/>
      </c>
      <c r="CO393" s="534" t="str">
        <f t="shared" si="1076"/>
        <v/>
      </c>
      <c r="CP393" s="535" t="str">
        <f t="shared" si="1077"/>
        <v/>
      </c>
      <c r="CQ393" s="535" t="str">
        <f t="shared" si="1078"/>
        <v/>
      </c>
      <c r="CR393" s="535" t="str">
        <f t="shared" si="1079"/>
        <v/>
      </c>
      <c r="CS393" s="535" t="str">
        <f t="shared" si="1080"/>
        <v/>
      </c>
      <c r="CT393" s="535" t="str">
        <f t="shared" si="1081"/>
        <v/>
      </c>
      <c r="CU393" s="536" t="str">
        <f t="shared" si="1082"/>
        <v/>
      </c>
      <c r="CV393" s="536" t="str">
        <f t="shared" si="1083"/>
        <v/>
      </c>
      <c r="CW393" s="536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5" t="str">
        <f t="shared" si="1087"/>
        <v/>
      </c>
      <c r="DA393" s="535" t="str">
        <f t="shared" si="1088"/>
        <v/>
      </c>
      <c r="DB393" s="535" t="str">
        <f t="shared" si="1089"/>
        <v/>
      </c>
      <c r="DC393" s="534" t="str">
        <f t="shared" si="1090"/>
        <v/>
      </c>
      <c r="DD393" s="533" t="str">
        <f t="shared" si="1091"/>
        <v/>
      </c>
      <c r="DE393" s="635">
        <f t="shared" si="1092"/>
        <v>0</v>
      </c>
      <c r="DF393" s="95">
        <f t="shared" si="1093"/>
        <v>0</v>
      </c>
      <c r="DG393" s="95">
        <f t="shared" si="1094"/>
        <v>0</v>
      </c>
      <c r="DH393" s="95">
        <f t="shared" si="1095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12">IF(B392="","",B392*B393)</f>
        <v/>
      </c>
      <c r="C394" s="612" t="str">
        <f t="shared" si="1112"/>
        <v/>
      </c>
      <c r="D394" s="612" t="str">
        <f t="shared" si="1112"/>
        <v/>
      </c>
      <c r="E394" s="612" t="str">
        <f t="shared" si="1112"/>
        <v/>
      </c>
      <c r="F394" s="612" t="str">
        <f t="shared" si="1112"/>
        <v/>
      </c>
      <c r="G394" s="612" t="str">
        <f t="shared" si="1112"/>
        <v/>
      </c>
      <c r="H394" s="612" t="str">
        <f t="shared" si="1112"/>
        <v/>
      </c>
      <c r="I394" s="612" t="str">
        <f t="shared" si="1112"/>
        <v/>
      </c>
      <c r="J394" s="612" t="str">
        <f t="shared" si="1112"/>
        <v/>
      </c>
      <c r="K394" s="612" t="str">
        <f t="shared" si="1112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13">IF(T392="","",T392*T393)</f>
        <v/>
      </c>
      <c r="U394" s="612" t="str">
        <f t="shared" si="1113"/>
        <v/>
      </c>
      <c r="V394" s="612" t="str">
        <f t="shared" si="1113"/>
        <v/>
      </c>
      <c r="W394" s="612" t="str">
        <f t="shared" si="1113"/>
        <v/>
      </c>
      <c r="X394" s="612" t="str">
        <f t="shared" si="1113"/>
        <v/>
      </c>
      <c r="Y394" s="612" t="str">
        <f t="shared" si="1113"/>
        <v/>
      </c>
      <c r="Z394" s="612" t="str">
        <f t="shared" si="1113"/>
        <v/>
      </c>
      <c r="AA394" s="612" t="str">
        <f t="shared" si="1113"/>
        <v/>
      </c>
      <c r="AB394" s="612" t="str">
        <f t="shared" si="1113"/>
        <v/>
      </c>
      <c r="AC394" s="612" t="str">
        <f t="shared" si="1113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14">IF(AL392="","",AL392*AL393)</f>
        <v/>
      </c>
      <c r="AM394" s="612" t="str">
        <f t="shared" si="1114"/>
        <v/>
      </c>
      <c r="AN394" s="612" t="str">
        <f t="shared" si="1114"/>
        <v/>
      </c>
      <c r="AO394" s="612" t="str">
        <f t="shared" si="1114"/>
        <v/>
      </c>
      <c r="AP394" s="612" t="str">
        <f t="shared" si="1114"/>
        <v/>
      </c>
      <c r="AQ394" s="612" t="str">
        <f t="shared" si="1114"/>
        <v/>
      </c>
      <c r="AR394" s="612" t="str">
        <f t="shared" si="1114"/>
        <v/>
      </c>
      <c r="AS394" s="612" t="str">
        <f t="shared" si="1114"/>
        <v/>
      </c>
      <c r="AT394" s="612" t="str">
        <f t="shared" si="1114"/>
        <v/>
      </c>
      <c r="AU394" s="612" t="str">
        <f t="shared" si="1114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15">IF(BD392="","",BD392*BD393)</f>
        <v/>
      </c>
      <c r="BE394" s="1201" t="str">
        <f t="shared" si="1115"/>
        <v/>
      </c>
      <c r="BF394" s="1201" t="str">
        <f t="shared" si="1115"/>
        <v/>
      </c>
      <c r="BG394" s="1201" t="str">
        <f t="shared" si="1115"/>
        <v/>
      </c>
      <c r="BH394" s="1201" t="str">
        <f t="shared" si="1115"/>
        <v/>
      </c>
      <c r="BI394" s="1201" t="str">
        <f t="shared" si="1115"/>
        <v/>
      </c>
      <c r="BJ394" s="1201" t="str">
        <f t="shared" si="1115"/>
        <v/>
      </c>
      <c r="BK394" s="1201" t="str">
        <f t="shared" si="1115"/>
        <v/>
      </c>
      <c r="BL394" s="1201" t="str">
        <f t="shared" si="1115"/>
        <v/>
      </c>
      <c r="BM394" s="1201" t="str">
        <f t="shared" si="1115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070"/>
        <v/>
      </c>
      <c r="CA394" s="582" t="str">
        <f t="shared" si="1071"/>
        <v/>
      </c>
      <c r="CB394" s="582" t="str">
        <f t="shared" si="1072"/>
        <v/>
      </c>
      <c r="CC394" s="670" t="str">
        <f t="shared" si="1073"/>
        <v/>
      </c>
      <c r="CD394" s="988" t="str">
        <f t="shared" si="1108"/>
        <v/>
      </c>
      <c r="CE394" s="989" t="str">
        <f t="shared" si="1111"/>
        <v/>
      </c>
      <c r="CF394" s="989" t="str">
        <f t="shared" si="1111"/>
        <v/>
      </c>
      <c r="CG394" s="989" t="str">
        <f t="shared" si="1111"/>
        <v/>
      </c>
      <c r="CH394" s="990" t="str">
        <f t="shared" si="1111"/>
        <v/>
      </c>
      <c r="CI394" s="990" t="str">
        <f t="shared" si="1111"/>
        <v/>
      </c>
      <c r="CJ394" s="989" t="str">
        <f t="shared" si="1111"/>
        <v/>
      </c>
      <c r="CK394" s="989" t="str">
        <f t="shared" si="1111"/>
        <v/>
      </c>
      <c r="CL394" s="989" t="str">
        <f t="shared" si="1111"/>
        <v/>
      </c>
      <c r="CM394" s="988" t="str">
        <f t="shared" si="1111"/>
        <v/>
      </c>
      <c r="CN394" s="533" t="str">
        <f t="shared" si="1075"/>
        <v/>
      </c>
      <c r="CO394" s="534" t="str">
        <f t="shared" si="1076"/>
        <v/>
      </c>
      <c r="CP394" s="535" t="str">
        <f t="shared" si="1077"/>
        <v/>
      </c>
      <c r="CQ394" s="535" t="str">
        <f t="shared" si="1078"/>
        <v/>
      </c>
      <c r="CR394" s="535" t="str">
        <f t="shared" si="1079"/>
        <v/>
      </c>
      <c r="CS394" s="535" t="str">
        <f t="shared" si="1080"/>
        <v/>
      </c>
      <c r="CT394" s="535" t="str">
        <f t="shared" si="1081"/>
        <v/>
      </c>
      <c r="CU394" s="536" t="str">
        <f t="shared" si="1082"/>
        <v/>
      </c>
      <c r="CV394" s="536" t="str">
        <f t="shared" si="1083"/>
        <v/>
      </c>
      <c r="CW394" s="536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5" t="str">
        <f t="shared" si="1087"/>
        <v/>
      </c>
      <c r="DA394" s="535" t="str">
        <f t="shared" si="1088"/>
        <v/>
      </c>
      <c r="DB394" s="535" t="str">
        <f t="shared" si="1089"/>
        <v/>
      </c>
      <c r="DC394" s="534" t="str">
        <f t="shared" si="1090"/>
        <v/>
      </c>
      <c r="DD394" s="533" t="str">
        <f t="shared" si="1091"/>
        <v/>
      </c>
      <c r="DE394" s="635">
        <f t="shared" si="1092"/>
        <v>0</v>
      </c>
      <c r="DF394" s="95">
        <f t="shared" si="1093"/>
        <v>0</v>
      </c>
      <c r="DG394" s="95">
        <f t="shared" si="1094"/>
        <v>0</v>
      </c>
      <c r="DH394" s="95">
        <f t="shared" si="1095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070"/>
        <v/>
      </c>
      <c r="CA395" s="582" t="str">
        <f t="shared" si="1071"/>
        <v/>
      </c>
      <c r="CB395" s="582" t="str">
        <f t="shared" si="1072"/>
        <v/>
      </c>
      <c r="CC395" s="670" t="str">
        <f t="shared" si="1073"/>
        <v/>
      </c>
      <c r="CD395" s="988" t="str">
        <f t="shared" si="1108"/>
        <v/>
      </c>
      <c r="CE395" s="989" t="str">
        <f t="shared" si="1111"/>
        <v/>
      </c>
      <c r="CF395" s="989" t="str">
        <f t="shared" si="1111"/>
        <v/>
      </c>
      <c r="CG395" s="989" t="str">
        <f t="shared" si="1111"/>
        <v/>
      </c>
      <c r="CH395" s="990" t="str">
        <f t="shared" si="1111"/>
        <v/>
      </c>
      <c r="CI395" s="990" t="str">
        <f t="shared" si="1111"/>
        <v/>
      </c>
      <c r="CJ395" s="989" t="str">
        <f t="shared" si="1111"/>
        <v/>
      </c>
      <c r="CK395" s="989" t="str">
        <f t="shared" si="1111"/>
        <v/>
      </c>
      <c r="CL395" s="989" t="str">
        <f t="shared" si="1111"/>
        <v/>
      </c>
      <c r="CM395" s="988" t="str">
        <f t="shared" si="1111"/>
        <v/>
      </c>
      <c r="CN395" s="533" t="str">
        <f t="shared" si="1075"/>
        <v/>
      </c>
      <c r="CO395" s="534" t="str">
        <f t="shared" si="1076"/>
        <v/>
      </c>
      <c r="CP395" s="535" t="str">
        <f t="shared" si="1077"/>
        <v/>
      </c>
      <c r="CQ395" s="535" t="str">
        <f t="shared" si="1078"/>
        <v/>
      </c>
      <c r="CR395" s="535" t="str">
        <f t="shared" si="1079"/>
        <v/>
      </c>
      <c r="CS395" s="535" t="str">
        <f t="shared" si="1080"/>
        <v/>
      </c>
      <c r="CT395" s="535" t="str">
        <f t="shared" si="1081"/>
        <v/>
      </c>
      <c r="CU395" s="536" t="str">
        <f t="shared" si="1082"/>
        <v/>
      </c>
      <c r="CV395" s="536" t="str">
        <f t="shared" si="1083"/>
        <v/>
      </c>
      <c r="CW395" s="536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5" t="str">
        <f t="shared" si="1087"/>
        <v/>
      </c>
      <c r="DA395" s="535" t="str">
        <f t="shared" si="1088"/>
        <v/>
      </c>
      <c r="DB395" s="535" t="str">
        <f t="shared" si="1089"/>
        <v/>
      </c>
      <c r="DC395" s="534" t="str">
        <f t="shared" si="1090"/>
        <v/>
      </c>
      <c r="DD395" s="533" t="str">
        <f t="shared" si="1091"/>
        <v/>
      </c>
      <c r="DE395" s="635">
        <f t="shared" si="1092"/>
        <v>0</v>
      </c>
      <c r="DF395" s="95">
        <f t="shared" si="1093"/>
        <v>0</v>
      </c>
      <c r="DG395" s="95">
        <f t="shared" si="1094"/>
        <v>0</v>
      </c>
      <c r="DH395" s="95">
        <f t="shared" si="1095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070"/>
        <v/>
      </c>
      <c r="CA396" s="582" t="str">
        <f t="shared" si="1071"/>
        <v/>
      </c>
      <c r="CB396" s="582" t="str">
        <f t="shared" si="1072"/>
        <v/>
      </c>
      <c r="CC396" s="670" t="str">
        <f t="shared" si="1073"/>
        <v/>
      </c>
      <c r="CD396" s="988" t="str">
        <f t="shared" si="1108"/>
        <v/>
      </c>
      <c r="CE396" s="989" t="str">
        <f t="shared" si="1111"/>
        <v/>
      </c>
      <c r="CF396" s="989" t="str">
        <f t="shared" si="1111"/>
        <v/>
      </c>
      <c r="CG396" s="989" t="str">
        <f t="shared" si="1111"/>
        <v/>
      </c>
      <c r="CH396" s="990" t="str">
        <f t="shared" si="1111"/>
        <v/>
      </c>
      <c r="CI396" s="990" t="str">
        <f t="shared" si="1111"/>
        <v/>
      </c>
      <c r="CJ396" s="989" t="str">
        <f t="shared" si="1111"/>
        <v/>
      </c>
      <c r="CK396" s="989" t="str">
        <f t="shared" si="1111"/>
        <v/>
      </c>
      <c r="CL396" s="989" t="str">
        <f t="shared" si="1111"/>
        <v/>
      </c>
      <c r="CM396" s="988" t="str">
        <f t="shared" si="1111"/>
        <v/>
      </c>
      <c r="CN396" s="533" t="str">
        <f t="shared" si="1075"/>
        <v/>
      </c>
      <c r="CO396" s="534" t="str">
        <f t="shared" si="1076"/>
        <v/>
      </c>
      <c r="CP396" s="535" t="str">
        <f t="shared" si="1077"/>
        <v/>
      </c>
      <c r="CQ396" s="535" t="str">
        <f t="shared" si="1078"/>
        <v/>
      </c>
      <c r="CR396" s="535" t="str">
        <f t="shared" si="1079"/>
        <v/>
      </c>
      <c r="CS396" s="535" t="str">
        <f t="shared" si="1080"/>
        <v/>
      </c>
      <c r="CT396" s="535" t="str">
        <f t="shared" si="1081"/>
        <v/>
      </c>
      <c r="CU396" s="536" t="str">
        <f t="shared" si="1082"/>
        <v/>
      </c>
      <c r="CV396" s="536" t="str">
        <f t="shared" si="1083"/>
        <v/>
      </c>
      <c r="CW396" s="536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5" t="str">
        <f t="shared" si="1087"/>
        <v/>
      </c>
      <c r="DA396" s="535" t="str">
        <f t="shared" si="1088"/>
        <v/>
      </c>
      <c r="DB396" s="535" t="str">
        <f t="shared" si="1089"/>
        <v/>
      </c>
      <c r="DC396" s="534" t="str">
        <f t="shared" si="1090"/>
        <v/>
      </c>
      <c r="DD396" s="533" t="str">
        <f t="shared" si="1091"/>
        <v/>
      </c>
      <c r="DE396" s="635">
        <f t="shared" si="1092"/>
        <v>0</v>
      </c>
      <c r="DF396" s="95">
        <f t="shared" si="1093"/>
        <v>0</v>
      </c>
      <c r="DG396" s="95">
        <f t="shared" si="1094"/>
        <v>0</v>
      </c>
      <c r="DH396" s="95">
        <f t="shared" si="1095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16">IF(B395="","",B395*B396)</f>
        <v/>
      </c>
      <c r="C397" s="612" t="str">
        <f t="shared" si="1116"/>
        <v/>
      </c>
      <c r="D397" s="612" t="str">
        <f t="shared" si="1116"/>
        <v/>
      </c>
      <c r="E397" s="612" t="str">
        <f t="shared" si="1116"/>
        <v/>
      </c>
      <c r="F397" s="612" t="str">
        <f t="shared" si="1116"/>
        <v/>
      </c>
      <c r="G397" s="612" t="str">
        <f t="shared" si="1116"/>
        <v/>
      </c>
      <c r="H397" s="612" t="str">
        <f t="shared" si="1116"/>
        <v/>
      </c>
      <c r="I397" s="612" t="str">
        <f t="shared" si="1116"/>
        <v/>
      </c>
      <c r="J397" s="612" t="str">
        <f t="shared" si="1116"/>
        <v/>
      </c>
      <c r="K397" s="612" t="str">
        <f t="shared" si="1116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117">IF(T395="","",T395*T396)</f>
        <v/>
      </c>
      <c r="U397" s="612" t="str">
        <f t="shared" si="1117"/>
        <v/>
      </c>
      <c r="V397" s="612" t="str">
        <f t="shared" si="1117"/>
        <v/>
      </c>
      <c r="W397" s="612" t="str">
        <f t="shared" si="1117"/>
        <v/>
      </c>
      <c r="X397" s="612" t="str">
        <f t="shared" si="1117"/>
        <v/>
      </c>
      <c r="Y397" s="612" t="str">
        <f t="shared" si="1117"/>
        <v/>
      </c>
      <c r="Z397" s="612" t="str">
        <f t="shared" si="1117"/>
        <v/>
      </c>
      <c r="AA397" s="612" t="str">
        <f t="shared" si="1117"/>
        <v/>
      </c>
      <c r="AB397" s="612" t="str">
        <f t="shared" si="1117"/>
        <v/>
      </c>
      <c r="AC397" s="612" t="str">
        <f t="shared" si="1117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118">IF(AL395="","",AL395*AL396)</f>
        <v/>
      </c>
      <c r="AM397" s="612" t="str">
        <f t="shared" si="1118"/>
        <v/>
      </c>
      <c r="AN397" s="612" t="str">
        <f t="shared" si="1118"/>
        <v/>
      </c>
      <c r="AO397" s="612" t="str">
        <f t="shared" si="1118"/>
        <v/>
      </c>
      <c r="AP397" s="612" t="str">
        <f t="shared" si="1118"/>
        <v/>
      </c>
      <c r="AQ397" s="612" t="str">
        <f t="shared" si="1118"/>
        <v/>
      </c>
      <c r="AR397" s="612" t="str">
        <f t="shared" si="1118"/>
        <v/>
      </c>
      <c r="AS397" s="612" t="str">
        <f t="shared" si="1118"/>
        <v/>
      </c>
      <c r="AT397" s="612" t="str">
        <f t="shared" si="1118"/>
        <v/>
      </c>
      <c r="AU397" s="612" t="str">
        <f t="shared" si="1118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119">IF(BD395="","",BD395*BD396)</f>
        <v/>
      </c>
      <c r="BE397" s="1201" t="str">
        <f t="shared" si="1119"/>
        <v/>
      </c>
      <c r="BF397" s="1201" t="str">
        <f t="shared" si="1119"/>
        <v/>
      </c>
      <c r="BG397" s="1201" t="str">
        <f t="shared" si="1119"/>
        <v/>
      </c>
      <c r="BH397" s="1201" t="str">
        <f t="shared" si="1119"/>
        <v/>
      </c>
      <c r="BI397" s="1201" t="str">
        <f t="shared" si="1119"/>
        <v/>
      </c>
      <c r="BJ397" s="1201" t="str">
        <f t="shared" si="1119"/>
        <v/>
      </c>
      <c r="BK397" s="1201" t="str">
        <f t="shared" si="1119"/>
        <v/>
      </c>
      <c r="BL397" s="1201" t="str">
        <f t="shared" si="1119"/>
        <v/>
      </c>
      <c r="BM397" s="1201" t="str">
        <f t="shared" si="1119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070"/>
        <v/>
      </c>
      <c r="CA397" s="582" t="str">
        <f t="shared" si="1071"/>
        <v/>
      </c>
      <c r="CB397" s="582" t="str">
        <f t="shared" si="1072"/>
        <v/>
      </c>
      <c r="CC397" s="670" t="str">
        <f t="shared" si="1073"/>
        <v/>
      </c>
      <c r="CD397" s="988" t="str">
        <f t="shared" si="1108"/>
        <v/>
      </c>
      <c r="CE397" s="989" t="str">
        <f t="shared" si="1111"/>
        <v/>
      </c>
      <c r="CF397" s="989" t="str">
        <f t="shared" si="1111"/>
        <v/>
      </c>
      <c r="CG397" s="989" t="str">
        <f t="shared" si="1111"/>
        <v/>
      </c>
      <c r="CH397" s="990" t="str">
        <f t="shared" si="1111"/>
        <v/>
      </c>
      <c r="CI397" s="990" t="str">
        <f t="shared" si="1111"/>
        <v/>
      </c>
      <c r="CJ397" s="989" t="str">
        <f t="shared" si="1111"/>
        <v/>
      </c>
      <c r="CK397" s="989" t="str">
        <f t="shared" si="1111"/>
        <v/>
      </c>
      <c r="CL397" s="989" t="str">
        <f t="shared" si="1111"/>
        <v/>
      </c>
      <c r="CM397" s="988" t="str">
        <f t="shared" si="1111"/>
        <v/>
      </c>
      <c r="CN397" s="533" t="str">
        <f t="shared" si="1075"/>
        <v/>
      </c>
      <c r="CO397" s="534" t="str">
        <f t="shared" si="1076"/>
        <v/>
      </c>
      <c r="CP397" s="535" t="str">
        <f t="shared" si="1077"/>
        <v/>
      </c>
      <c r="CQ397" s="535" t="str">
        <f t="shared" si="1078"/>
        <v/>
      </c>
      <c r="CR397" s="535" t="str">
        <f t="shared" si="1079"/>
        <v/>
      </c>
      <c r="CS397" s="535" t="str">
        <f t="shared" si="1080"/>
        <v/>
      </c>
      <c r="CT397" s="535" t="str">
        <f t="shared" si="1081"/>
        <v/>
      </c>
      <c r="CU397" s="536" t="str">
        <f t="shared" si="1082"/>
        <v/>
      </c>
      <c r="CV397" s="536" t="str">
        <f t="shared" si="1083"/>
        <v/>
      </c>
      <c r="CW397" s="536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5" t="str">
        <f t="shared" si="1087"/>
        <v/>
      </c>
      <c r="DA397" s="535" t="str">
        <f t="shared" si="1088"/>
        <v/>
      </c>
      <c r="DB397" s="535" t="str">
        <f t="shared" si="1089"/>
        <v/>
      </c>
      <c r="DC397" s="534" t="str">
        <f t="shared" si="1090"/>
        <v/>
      </c>
      <c r="DD397" s="533" t="str">
        <f t="shared" si="1091"/>
        <v/>
      </c>
      <c r="DE397" s="635">
        <f t="shared" si="1092"/>
        <v>0</v>
      </c>
      <c r="DF397" s="95">
        <f t="shared" si="1093"/>
        <v>0</v>
      </c>
      <c r="DG397" s="95">
        <f t="shared" si="1094"/>
        <v>0</v>
      </c>
      <c r="DH397" s="95">
        <f t="shared" si="1095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070"/>
        <v/>
      </c>
      <c r="CA398" s="582" t="str">
        <f t="shared" si="1071"/>
        <v/>
      </c>
      <c r="CB398" s="582" t="str">
        <f t="shared" si="1072"/>
        <v/>
      </c>
      <c r="CC398" s="670" t="str">
        <f t="shared" si="1073"/>
        <v/>
      </c>
      <c r="CD398" s="988" t="str">
        <f t="shared" si="1108"/>
        <v/>
      </c>
      <c r="CE398" s="989" t="str">
        <f t="shared" si="1111"/>
        <v/>
      </c>
      <c r="CF398" s="989" t="str">
        <f t="shared" si="1111"/>
        <v/>
      </c>
      <c r="CG398" s="989" t="str">
        <f t="shared" si="1111"/>
        <v/>
      </c>
      <c r="CH398" s="990" t="str">
        <f t="shared" si="1111"/>
        <v/>
      </c>
      <c r="CI398" s="990" t="str">
        <f t="shared" si="1111"/>
        <v/>
      </c>
      <c r="CJ398" s="989" t="str">
        <f t="shared" si="1111"/>
        <v/>
      </c>
      <c r="CK398" s="989" t="str">
        <f t="shared" si="1111"/>
        <v/>
      </c>
      <c r="CL398" s="989" t="str">
        <f t="shared" si="1111"/>
        <v/>
      </c>
      <c r="CM398" s="988" t="str">
        <f t="shared" si="1111"/>
        <v/>
      </c>
      <c r="CN398" s="533" t="str">
        <f t="shared" si="1075"/>
        <v/>
      </c>
      <c r="CO398" s="534" t="str">
        <f t="shared" si="1076"/>
        <v/>
      </c>
      <c r="CP398" s="535" t="str">
        <f t="shared" si="1077"/>
        <v/>
      </c>
      <c r="CQ398" s="535" t="str">
        <f t="shared" si="1078"/>
        <v/>
      </c>
      <c r="CR398" s="535" t="str">
        <f t="shared" si="1079"/>
        <v/>
      </c>
      <c r="CS398" s="535" t="str">
        <f t="shared" si="1080"/>
        <v/>
      </c>
      <c r="CT398" s="535" t="str">
        <f t="shared" si="1081"/>
        <v/>
      </c>
      <c r="CU398" s="536" t="str">
        <f t="shared" si="1082"/>
        <v/>
      </c>
      <c r="CV398" s="536" t="str">
        <f t="shared" si="1083"/>
        <v/>
      </c>
      <c r="CW398" s="536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5" t="str">
        <f t="shared" si="1087"/>
        <v/>
      </c>
      <c r="DA398" s="535" t="str">
        <f t="shared" si="1088"/>
        <v/>
      </c>
      <c r="DB398" s="535" t="str">
        <f t="shared" si="1089"/>
        <v/>
      </c>
      <c r="DC398" s="534" t="str">
        <f t="shared" si="1090"/>
        <v/>
      </c>
      <c r="DD398" s="533" t="str">
        <f t="shared" si="1091"/>
        <v/>
      </c>
      <c r="DE398" s="635">
        <f t="shared" si="1092"/>
        <v>0</v>
      </c>
      <c r="DF398" s="95">
        <f t="shared" si="1093"/>
        <v>0</v>
      </c>
      <c r="DG398" s="95">
        <f t="shared" si="1094"/>
        <v>0</v>
      </c>
      <c r="DH398" s="95">
        <f t="shared" si="1095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070"/>
        <v/>
      </c>
      <c r="CA399" s="582" t="str">
        <f t="shared" si="1071"/>
        <v/>
      </c>
      <c r="CB399" s="582" t="str">
        <f t="shared" si="1072"/>
        <v/>
      </c>
      <c r="CC399" s="670" t="str">
        <f t="shared" si="1073"/>
        <v/>
      </c>
      <c r="CD399" s="988" t="str">
        <f t="shared" si="1108"/>
        <v/>
      </c>
      <c r="CE399" s="989" t="str">
        <f t="shared" si="1111"/>
        <v/>
      </c>
      <c r="CF399" s="989" t="str">
        <f t="shared" si="1111"/>
        <v/>
      </c>
      <c r="CG399" s="989" t="str">
        <f t="shared" si="1111"/>
        <v/>
      </c>
      <c r="CH399" s="990" t="str">
        <f t="shared" si="1111"/>
        <v/>
      </c>
      <c r="CI399" s="990" t="str">
        <f t="shared" si="1111"/>
        <v/>
      </c>
      <c r="CJ399" s="989" t="str">
        <f t="shared" si="1111"/>
        <v/>
      </c>
      <c r="CK399" s="989" t="str">
        <f t="shared" si="1111"/>
        <v/>
      </c>
      <c r="CL399" s="989" t="str">
        <f t="shared" si="1111"/>
        <v/>
      </c>
      <c r="CM399" s="988" t="str">
        <f t="shared" si="1111"/>
        <v/>
      </c>
      <c r="CN399" s="533" t="str">
        <f t="shared" si="1075"/>
        <v/>
      </c>
      <c r="CO399" s="534" t="str">
        <f t="shared" si="1076"/>
        <v/>
      </c>
      <c r="CP399" s="535" t="str">
        <f t="shared" si="1077"/>
        <v/>
      </c>
      <c r="CQ399" s="535" t="str">
        <f t="shared" si="1078"/>
        <v/>
      </c>
      <c r="CR399" s="535" t="str">
        <f t="shared" si="1079"/>
        <v/>
      </c>
      <c r="CS399" s="535" t="str">
        <f t="shared" si="1080"/>
        <v/>
      </c>
      <c r="CT399" s="535" t="str">
        <f t="shared" si="1081"/>
        <v/>
      </c>
      <c r="CU399" s="536" t="str">
        <f t="shared" si="1082"/>
        <v/>
      </c>
      <c r="CV399" s="536" t="str">
        <f t="shared" si="1083"/>
        <v/>
      </c>
      <c r="CW399" s="536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5" t="str">
        <f t="shared" si="1087"/>
        <v/>
      </c>
      <c r="DA399" s="535" t="str">
        <f t="shared" si="1088"/>
        <v/>
      </c>
      <c r="DB399" s="535" t="str">
        <f t="shared" si="1089"/>
        <v/>
      </c>
      <c r="DC399" s="534" t="str">
        <f t="shared" si="1090"/>
        <v/>
      </c>
      <c r="DD399" s="533" t="str">
        <f t="shared" si="1091"/>
        <v/>
      </c>
      <c r="DE399" s="635">
        <f t="shared" si="1092"/>
        <v>0</v>
      </c>
      <c r="DF399" s="95">
        <f t="shared" si="1093"/>
        <v>0</v>
      </c>
      <c r="DG399" s="95">
        <f t="shared" si="1094"/>
        <v>0</v>
      </c>
      <c r="DH399" s="95">
        <f t="shared" si="1095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120">IF(B398="","",B398*B399)</f>
        <v/>
      </c>
      <c r="C400" s="612" t="str">
        <f t="shared" si="1120"/>
        <v/>
      </c>
      <c r="D400" s="612" t="str">
        <f t="shared" si="1120"/>
        <v/>
      </c>
      <c r="E400" s="612" t="str">
        <f t="shared" si="1120"/>
        <v/>
      </c>
      <c r="F400" s="612" t="str">
        <f t="shared" si="1120"/>
        <v/>
      </c>
      <c r="G400" s="612" t="str">
        <f t="shared" si="1120"/>
        <v/>
      </c>
      <c r="H400" s="612" t="str">
        <f t="shared" si="1120"/>
        <v/>
      </c>
      <c r="I400" s="612" t="str">
        <f t="shared" si="1120"/>
        <v/>
      </c>
      <c r="J400" s="612" t="str">
        <f t="shared" si="1120"/>
        <v/>
      </c>
      <c r="K400" s="612" t="str">
        <f t="shared" si="1120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121">IF(T398="","",T398*T399)</f>
        <v/>
      </c>
      <c r="U400" s="612" t="str">
        <f t="shared" si="1121"/>
        <v/>
      </c>
      <c r="V400" s="612" t="str">
        <f t="shared" si="1121"/>
        <v/>
      </c>
      <c r="W400" s="612" t="str">
        <f t="shared" si="1121"/>
        <v/>
      </c>
      <c r="X400" s="612" t="str">
        <f t="shared" si="1121"/>
        <v/>
      </c>
      <c r="Y400" s="612" t="str">
        <f t="shared" si="1121"/>
        <v/>
      </c>
      <c r="Z400" s="612" t="str">
        <f t="shared" si="1121"/>
        <v/>
      </c>
      <c r="AA400" s="612" t="str">
        <f t="shared" si="1121"/>
        <v/>
      </c>
      <c r="AB400" s="612" t="str">
        <f t="shared" si="1121"/>
        <v/>
      </c>
      <c r="AC400" s="612" t="str">
        <f t="shared" si="1121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122">IF(AL398="","",AL398*AL399)</f>
        <v/>
      </c>
      <c r="AM400" s="612" t="str">
        <f t="shared" si="1122"/>
        <v/>
      </c>
      <c r="AN400" s="612" t="str">
        <f t="shared" si="1122"/>
        <v/>
      </c>
      <c r="AO400" s="612" t="str">
        <f t="shared" si="1122"/>
        <v/>
      </c>
      <c r="AP400" s="612" t="str">
        <f t="shared" si="1122"/>
        <v/>
      </c>
      <c r="AQ400" s="612" t="str">
        <f t="shared" si="1122"/>
        <v/>
      </c>
      <c r="AR400" s="612" t="str">
        <f t="shared" si="1122"/>
        <v/>
      </c>
      <c r="AS400" s="612" t="str">
        <f t="shared" si="1122"/>
        <v/>
      </c>
      <c r="AT400" s="612" t="str">
        <f t="shared" si="1122"/>
        <v/>
      </c>
      <c r="AU400" s="612" t="str">
        <f t="shared" si="1122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123">IF(BD398="","",BD398*BD399)</f>
        <v/>
      </c>
      <c r="BE400" s="1201" t="str">
        <f t="shared" si="1123"/>
        <v/>
      </c>
      <c r="BF400" s="1201" t="str">
        <f t="shared" si="1123"/>
        <v/>
      </c>
      <c r="BG400" s="1201" t="str">
        <f t="shared" si="1123"/>
        <v/>
      </c>
      <c r="BH400" s="1201" t="str">
        <f t="shared" si="1123"/>
        <v/>
      </c>
      <c r="BI400" s="1201" t="str">
        <f t="shared" si="1123"/>
        <v/>
      </c>
      <c r="BJ400" s="1201" t="str">
        <f t="shared" si="1123"/>
        <v/>
      </c>
      <c r="BK400" s="1201" t="str">
        <f t="shared" si="1123"/>
        <v/>
      </c>
      <c r="BL400" s="1201" t="str">
        <f t="shared" si="1123"/>
        <v/>
      </c>
      <c r="BM400" s="1201" t="str">
        <f t="shared" si="1123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070"/>
        <v/>
      </c>
      <c r="CA400" s="582" t="str">
        <f t="shared" si="1071"/>
        <v/>
      </c>
      <c r="CB400" s="582" t="str">
        <f t="shared" si="1072"/>
        <v/>
      </c>
      <c r="CC400" s="670" t="str">
        <f t="shared" si="1073"/>
        <v/>
      </c>
      <c r="CD400" s="988" t="str">
        <f t="shared" si="1108"/>
        <v/>
      </c>
      <c r="CE400" s="989" t="str">
        <f t="shared" si="1111"/>
        <v/>
      </c>
      <c r="CF400" s="989" t="str">
        <f t="shared" si="1111"/>
        <v/>
      </c>
      <c r="CG400" s="989" t="str">
        <f t="shared" si="1111"/>
        <v/>
      </c>
      <c r="CH400" s="990" t="str">
        <f t="shared" si="1111"/>
        <v/>
      </c>
      <c r="CI400" s="990" t="str">
        <f t="shared" si="1111"/>
        <v/>
      </c>
      <c r="CJ400" s="989" t="str">
        <f t="shared" si="1111"/>
        <v/>
      </c>
      <c r="CK400" s="989" t="str">
        <f t="shared" si="1111"/>
        <v/>
      </c>
      <c r="CL400" s="989" t="str">
        <f t="shared" si="1111"/>
        <v/>
      </c>
      <c r="CM400" s="988" t="str">
        <f t="shared" si="1111"/>
        <v/>
      </c>
      <c r="CN400" s="533" t="str">
        <f t="shared" si="1075"/>
        <v/>
      </c>
      <c r="CO400" s="534" t="str">
        <f t="shared" si="1076"/>
        <v/>
      </c>
      <c r="CP400" s="535" t="str">
        <f t="shared" si="1077"/>
        <v/>
      </c>
      <c r="CQ400" s="535" t="str">
        <f t="shared" si="1078"/>
        <v/>
      </c>
      <c r="CR400" s="535" t="str">
        <f t="shared" si="1079"/>
        <v/>
      </c>
      <c r="CS400" s="535" t="str">
        <f t="shared" si="1080"/>
        <v/>
      </c>
      <c r="CT400" s="535" t="str">
        <f t="shared" si="1081"/>
        <v/>
      </c>
      <c r="CU400" s="536" t="str">
        <f t="shared" si="1082"/>
        <v/>
      </c>
      <c r="CV400" s="536" t="str">
        <f t="shared" si="1083"/>
        <v/>
      </c>
      <c r="CW400" s="536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5" t="str">
        <f t="shared" si="1087"/>
        <v/>
      </c>
      <c r="DA400" s="535" t="str">
        <f t="shared" si="1088"/>
        <v/>
      </c>
      <c r="DB400" s="535" t="str">
        <f t="shared" si="1089"/>
        <v/>
      </c>
      <c r="DC400" s="534" t="str">
        <f t="shared" si="1090"/>
        <v/>
      </c>
      <c r="DD400" s="533" t="str">
        <f t="shared" si="1091"/>
        <v/>
      </c>
      <c r="DE400" s="635">
        <f t="shared" si="1092"/>
        <v>0</v>
      </c>
      <c r="DF400" s="95">
        <f t="shared" si="1093"/>
        <v>0</v>
      </c>
      <c r="DG400" s="95">
        <f t="shared" si="1094"/>
        <v>0</v>
      </c>
      <c r="DH400" s="95">
        <f t="shared" si="1095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070"/>
        <v/>
      </c>
      <c r="CA401" s="582" t="str">
        <f t="shared" si="1071"/>
        <v/>
      </c>
      <c r="CB401" s="582" t="str">
        <f t="shared" si="1072"/>
        <v/>
      </c>
      <c r="CC401" s="670" t="str">
        <f t="shared" si="1073"/>
        <v/>
      </c>
      <c r="CD401" s="988" t="str">
        <f t="shared" si="1108"/>
        <v/>
      </c>
      <c r="CE401" s="989" t="str">
        <f t="shared" si="1111"/>
        <v/>
      </c>
      <c r="CF401" s="989" t="str">
        <f t="shared" si="1111"/>
        <v/>
      </c>
      <c r="CG401" s="989" t="str">
        <f t="shared" si="1111"/>
        <v/>
      </c>
      <c r="CH401" s="990" t="str">
        <f t="shared" si="1111"/>
        <v/>
      </c>
      <c r="CI401" s="990" t="str">
        <f t="shared" si="1111"/>
        <v/>
      </c>
      <c r="CJ401" s="989" t="str">
        <f t="shared" si="1111"/>
        <v/>
      </c>
      <c r="CK401" s="989" t="str">
        <f t="shared" si="1111"/>
        <v/>
      </c>
      <c r="CL401" s="989" t="str">
        <f t="shared" si="1111"/>
        <v/>
      </c>
      <c r="CM401" s="988" t="str">
        <f t="shared" si="1111"/>
        <v/>
      </c>
      <c r="CN401" s="533" t="str">
        <f t="shared" si="1075"/>
        <v/>
      </c>
      <c r="CO401" s="534" t="str">
        <f t="shared" si="1076"/>
        <v/>
      </c>
      <c r="CP401" s="535" t="str">
        <f t="shared" si="1077"/>
        <v/>
      </c>
      <c r="CQ401" s="535" t="str">
        <f t="shared" si="1078"/>
        <v/>
      </c>
      <c r="CR401" s="535" t="str">
        <f t="shared" si="1079"/>
        <v/>
      </c>
      <c r="CS401" s="535" t="str">
        <f t="shared" si="1080"/>
        <v/>
      </c>
      <c r="CT401" s="535" t="str">
        <f t="shared" si="1081"/>
        <v/>
      </c>
      <c r="CU401" s="536" t="str">
        <f t="shared" si="1082"/>
        <v/>
      </c>
      <c r="CV401" s="536" t="str">
        <f t="shared" si="1083"/>
        <v/>
      </c>
      <c r="CW401" s="536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5" t="str">
        <f t="shared" si="1087"/>
        <v/>
      </c>
      <c r="DA401" s="535" t="str">
        <f t="shared" si="1088"/>
        <v/>
      </c>
      <c r="DB401" s="535" t="str">
        <f t="shared" si="1089"/>
        <v/>
      </c>
      <c r="DC401" s="534" t="str">
        <f t="shared" si="1090"/>
        <v/>
      </c>
      <c r="DD401" s="533" t="str">
        <f t="shared" si="1091"/>
        <v/>
      </c>
      <c r="DE401" s="635">
        <f t="shared" si="1092"/>
        <v>0</v>
      </c>
      <c r="DF401" s="95">
        <f t="shared" si="1093"/>
        <v>0</v>
      </c>
      <c r="DG401" s="95">
        <f t="shared" si="1094"/>
        <v>0</v>
      </c>
      <c r="DH401" s="95">
        <f t="shared" si="1095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070"/>
        <v/>
      </c>
      <c r="CA402" s="582" t="str">
        <f t="shared" si="1071"/>
        <v/>
      </c>
      <c r="CB402" s="582" t="str">
        <f t="shared" si="1072"/>
        <v/>
      </c>
      <c r="CC402" s="670" t="str">
        <f t="shared" si="1073"/>
        <v/>
      </c>
      <c r="CD402" s="988" t="str">
        <f t="shared" si="1108"/>
        <v/>
      </c>
      <c r="CE402" s="989" t="str">
        <f t="shared" si="1111"/>
        <v/>
      </c>
      <c r="CF402" s="989" t="str">
        <f t="shared" si="1111"/>
        <v/>
      </c>
      <c r="CG402" s="989" t="str">
        <f t="shared" si="1111"/>
        <v/>
      </c>
      <c r="CH402" s="990" t="str">
        <f t="shared" si="1111"/>
        <v/>
      </c>
      <c r="CI402" s="990" t="str">
        <f t="shared" si="1111"/>
        <v/>
      </c>
      <c r="CJ402" s="989" t="str">
        <f t="shared" si="1111"/>
        <v/>
      </c>
      <c r="CK402" s="989" t="str">
        <f t="shared" si="1111"/>
        <v/>
      </c>
      <c r="CL402" s="989" t="str">
        <f t="shared" si="1111"/>
        <v/>
      </c>
      <c r="CM402" s="988" t="str">
        <f t="shared" si="1111"/>
        <v/>
      </c>
      <c r="CN402" s="533" t="str">
        <f t="shared" si="1075"/>
        <v/>
      </c>
      <c r="CO402" s="534" t="str">
        <f t="shared" si="1076"/>
        <v/>
      </c>
      <c r="CP402" s="535" t="str">
        <f t="shared" si="1077"/>
        <v/>
      </c>
      <c r="CQ402" s="535" t="str">
        <f t="shared" si="1078"/>
        <v/>
      </c>
      <c r="CR402" s="535" t="str">
        <f t="shared" si="1079"/>
        <v/>
      </c>
      <c r="CS402" s="535" t="str">
        <f t="shared" si="1080"/>
        <v/>
      </c>
      <c r="CT402" s="535" t="str">
        <f t="shared" si="1081"/>
        <v/>
      </c>
      <c r="CU402" s="536" t="str">
        <f t="shared" si="1082"/>
        <v/>
      </c>
      <c r="CV402" s="536" t="str">
        <f t="shared" si="1083"/>
        <v/>
      </c>
      <c r="CW402" s="536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5" t="str">
        <f t="shared" si="1087"/>
        <v/>
      </c>
      <c r="DA402" s="535" t="str">
        <f t="shared" si="1088"/>
        <v/>
      </c>
      <c r="DB402" s="535" t="str">
        <f t="shared" si="1089"/>
        <v/>
      </c>
      <c r="DC402" s="534" t="str">
        <f t="shared" si="1090"/>
        <v/>
      </c>
      <c r="DD402" s="533" t="str">
        <f t="shared" si="1091"/>
        <v/>
      </c>
      <c r="DE402" s="635">
        <f t="shared" si="1092"/>
        <v>0</v>
      </c>
      <c r="DF402" s="95">
        <f t="shared" si="1093"/>
        <v>0</v>
      </c>
      <c r="DG402" s="95">
        <f t="shared" si="1094"/>
        <v>0</v>
      </c>
      <c r="DH402" s="95">
        <f t="shared" si="1095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124">IF(B401="","",B401*B402)</f>
        <v/>
      </c>
      <c r="C403" s="612" t="str">
        <f t="shared" si="1124"/>
        <v/>
      </c>
      <c r="D403" s="612" t="str">
        <f t="shared" si="1124"/>
        <v/>
      </c>
      <c r="E403" s="612" t="str">
        <f t="shared" si="1124"/>
        <v/>
      </c>
      <c r="F403" s="612" t="str">
        <f t="shared" si="1124"/>
        <v/>
      </c>
      <c r="G403" s="612" t="str">
        <f t="shared" si="1124"/>
        <v/>
      </c>
      <c r="H403" s="612" t="str">
        <f t="shared" si="1124"/>
        <v/>
      </c>
      <c r="I403" s="612" t="str">
        <f t="shared" si="1124"/>
        <v/>
      </c>
      <c r="J403" s="612" t="str">
        <f t="shared" si="1124"/>
        <v/>
      </c>
      <c r="K403" s="612" t="str">
        <f t="shared" si="1124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125">IF(T401="","",T401*T402)</f>
        <v/>
      </c>
      <c r="U403" s="612" t="str">
        <f t="shared" si="1125"/>
        <v/>
      </c>
      <c r="V403" s="612" t="str">
        <f t="shared" si="1125"/>
        <v/>
      </c>
      <c r="W403" s="612" t="str">
        <f t="shared" si="1125"/>
        <v/>
      </c>
      <c r="X403" s="612" t="str">
        <f t="shared" si="1125"/>
        <v/>
      </c>
      <c r="Y403" s="612" t="str">
        <f t="shared" si="1125"/>
        <v/>
      </c>
      <c r="Z403" s="612" t="str">
        <f t="shared" si="1125"/>
        <v/>
      </c>
      <c r="AA403" s="612" t="str">
        <f t="shared" si="1125"/>
        <v/>
      </c>
      <c r="AB403" s="612" t="str">
        <f t="shared" si="1125"/>
        <v/>
      </c>
      <c r="AC403" s="612" t="str">
        <f t="shared" si="1125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126">IF(AL401="","",AL401*AL402)</f>
        <v/>
      </c>
      <c r="AM403" s="612" t="str">
        <f t="shared" si="1126"/>
        <v/>
      </c>
      <c r="AN403" s="612" t="str">
        <f t="shared" si="1126"/>
        <v/>
      </c>
      <c r="AO403" s="612" t="str">
        <f t="shared" si="1126"/>
        <v/>
      </c>
      <c r="AP403" s="612" t="str">
        <f t="shared" si="1126"/>
        <v/>
      </c>
      <c r="AQ403" s="612" t="str">
        <f t="shared" si="1126"/>
        <v/>
      </c>
      <c r="AR403" s="612" t="str">
        <f t="shared" si="1126"/>
        <v/>
      </c>
      <c r="AS403" s="612" t="str">
        <f t="shared" si="1126"/>
        <v/>
      </c>
      <c r="AT403" s="612" t="str">
        <f t="shared" si="1126"/>
        <v/>
      </c>
      <c r="AU403" s="612" t="str">
        <f t="shared" si="1126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127">IF(BD401="","",BD401*BD402)</f>
        <v/>
      </c>
      <c r="BE403" s="1201" t="str">
        <f t="shared" si="1127"/>
        <v/>
      </c>
      <c r="BF403" s="1201" t="str">
        <f t="shared" si="1127"/>
        <v/>
      </c>
      <c r="BG403" s="1201" t="str">
        <f t="shared" si="1127"/>
        <v/>
      </c>
      <c r="BH403" s="1201" t="str">
        <f t="shared" si="1127"/>
        <v/>
      </c>
      <c r="BI403" s="1201" t="str">
        <f t="shared" si="1127"/>
        <v/>
      </c>
      <c r="BJ403" s="1201" t="str">
        <f t="shared" si="1127"/>
        <v/>
      </c>
      <c r="BK403" s="1201" t="str">
        <f t="shared" si="1127"/>
        <v/>
      </c>
      <c r="BL403" s="1201" t="str">
        <f t="shared" si="1127"/>
        <v/>
      </c>
      <c r="BM403" s="1201" t="str">
        <f t="shared" si="1127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070"/>
        <v/>
      </c>
      <c r="CA403" s="582" t="str">
        <f t="shared" si="1071"/>
        <v/>
      </c>
      <c r="CB403" s="582" t="str">
        <f t="shared" si="1072"/>
        <v/>
      </c>
      <c r="CC403" s="670" t="str">
        <f t="shared" si="1073"/>
        <v/>
      </c>
      <c r="CD403" s="988" t="str">
        <f t="shared" si="1108"/>
        <v/>
      </c>
      <c r="CE403" s="989" t="str">
        <f t="shared" si="1111"/>
        <v/>
      </c>
      <c r="CF403" s="989" t="str">
        <f t="shared" si="1111"/>
        <v/>
      </c>
      <c r="CG403" s="989" t="str">
        <f t="shared" si="1111"/>
        <v/>
      </c>
      <c r="CH403" s="990" t="str">
        <f t="shared" si="1111"/>
        <v/>
      </c>
      <c r="CI403" s="990" t="str">
        <f t="shared" si="1111"/>
        <v/>
      </c>
      <c r="CJ403" s="989" t="str">
        <f t="shared" si="1111"/>
        <v/>
      </c>
      <c r="CK403" s="989" t="str">
        <f t="shared" si="1111"/>
        <v/>
      </c>
      <c r="CL403" s="989" t="str">
        <f t="shared" si="1111"/>
        <v/>
      </c>
      <c r="CM403" s="988" t="str">
        <f t="shared" si="1111"/>
        <v/>
      </c>
      <c r="CN403" s="533" t="str">
        <f t="shared" si="1075"/>
        <v/>
      </c>
      <c r="CO403" s="534" t="str">
        <f t="shared" si="1076"/>
        <v/>
      </c>
      <c r="CP403" s="535" t="str">
        <f t="shared" si="1077"/>
        <v/>
      </c>
      <c r="CQ403" s="535" t="str">
        <f t="shared" si="1078"/>
        <v/>
      </c>
      <c r="CR403" s="535" t="str">
        <f t="shared" si="1079"/>
        <v/>
      </c>
      <c r="CS403" s="535" t="str">
        <f t="shared" si="1080"/>
        <v/>
      </c>
      <c r="CT403" s="535" t="str">
        <f t="shared" si="1081"/>
        <v/>
      </c>
      <c r="CU403" s="536" t="str">
        <f t="shared" si="1082"/>
        <v/>
      </c>
      <c r="CV403" s="536" t="str">
        <f t="shared" si="1083"/>
        <v/>
      </c>
      <c r="CW403" s="536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5" t="str">
        <f t="shared" si="1087"/>
        <v/>
      </c>
      <c r="DA403" s="535" t="str">
        <f t="shared" si="1088"/>
        <v/>
      </c>
      <c r="DB403" s="535" t="str">
        <f t="shared" si="1089"/>
        <v/>
      </c>
      <c r="DC403" s="534" t="str">
        <f t="shared" si="1090"/>
        <v/>
      </c>
      <c r="DD403" s="533" t="str">
        <f t="shared" si="1091"/>
        <v/>
      </c>
      <c r="DE403" s="635">
        <f t="shared" si="1092"/>
        <v>0</v>
      </c>
      <c r="DF403" s="95">
        <f t="shared" si="1093"/>
        <v>0</v>
      </c>
      <c r="DG403" s="95">
        <f t="shared" si="1094"/>
        <v>0</v>
      </c>
      <c r="DH403" s="95">
        <f t="shared" si="1095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070"/>
        <v/>
      </c>
      <c r="CA404" s="582" t="str">
        <f t="shared" si="1071"/>
        <v/>
      </c>
      <c r="CB404" s="582" t="str">
        <f t="shared" si="1072"/>
        <v/>
      </c>
      <c r="CC404" s="670" t="str">
        <f t="shared" si="1073"/>
        <v/>
      </c>
      <c r="CD404" s="988" t="str">
        <f t="shared" si="1108"/>
        <v/>
      </c>
      <c r="CE404" s="989" t="str">
        <f t="shared" si="1111"/>
        <v/>
      </c>
      <c r="CF404" s="989" t="str">
        <f t="shared" si="1111"/>
        <v/>
      </c>
      <c r="CG404" s="989" t="str">
        <f t="shared" si="1111"/>
        <v/>
      </c>
      <c r="CH404" s="990" t="str">
        <f t="shared" si="1111"/>
        <v/>
      </c>
      <c r="CI404" s="990" t="str">
        <f t="shared" si="1111"/>
        <v/>
      </c>
      <c r="CJ404" s="989" t="str">
        <f t="shared" si="1111"/>
        <v/>
      </c>
      <c r="CK404" s="989" t="str">
        <f t="shared" si="1111"/>
        <v/>
      </c>
      <c r="CL404" s="989" t="str">
        <f t="shared" si="1111"/>
        <v/>
      </c>
      <c r="CM404" s="988" t="str">
        <f t="shared" si="1111"/>
        <v/>
      </c>
      <c r="CN404" s="533" t="str">
        <f t="shared" si="1075"/>
        <v/>
      </c>
      <c r="CO404" s="534" t="str">
        <f t="shared" si="1076"/>
        <v/>
      </c>
      <c r="CP404" s="535" t="str">
        <f t="shared" si="1077"/>
        <v/>
      </c>
      <c r="CQ404" s="535" t="str">
        <f t="shared" si="1078"/>
        <v/>
      </c>
      <c r="CR404" s="535" t="str">
        <f t="shared" si="1079"/>
        <v/>
      </c>
      <c r="CS404" s="535" t="str">
        <f t="shared" si="1080"/>
        <v/>
      </c>
      <c r="CT404" s="535" t="str">
        <f t="shared" si="1081"/>
        <v/>
      </c>
      <c r="CU404" s="536" t="str">
        <f t="shared" si="1082"/>
        <v/>
      </c>
      <c r="CV404" s="536" t="str">
        <f t="shared" si="1083"/>
        <v/>
      </c>
      <c r="CW404" s="536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5" t="str">
        <f t="shared" si="1087"/>
        <v/>
      </c>
      <c r="DA404" s="535" t="str">
        <f t="shared" si="1088"/>
        <v/>
      </c>
      <c r="DB404" s="535" t="str">
        <f t="shared" si="1089"/>
        <v/>
      </c>
      <c r="DC404" s="534" t="str">
        <f t="shared" si="1090"/>
        <v/>
      </c>
      <c r="DD404" s="533" t="str">
        <f t="shared" si="1091"/>
        <v/>
      </c>
      <c r="DE404" s="635">
        <f t="shared" si="1092"/>
        <v>0</v>
      </c>
      <c r="DF404" s="95">
        <f t="shared" si="1093"/>
        <v>0</v>
      </c>
      <c r="DG404" s="95">
        <f t="shared" si="1094"/>
        <v>0</v>
      </c>
      <c r="DH404" s="95">
        <f t="shared" si="1095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070"/>
        <v/>
      </c>
      <c r="CA405" s="582" t="str">
        <f t="shared" si="1071"/>
        <v/>
      </c>
      <c r="CB405" s="582" t="str">
        <f t="shared" si="1072"/>
        <v/>
      </c>
      <c r="CC405" s="670" t="str">
        <f t="shared" si="1073"/>
        <v/>
      </c>
      <c r="CD405" s="988" t="str">
        <f t="shared" si="1108"/>
        <v/>
      </c>
      <c r="CE405" s="989" t="str">
        <f t="shared" si="1111"/>
        <v/>
      </c>
      <c r="CF405" s="989" t="str">
        <f t="shared" si="1111"/>
        <v/>
      </c>
      <c r="CG405" s="989" t="str">
        <f t="shared" si="1111"/>
        <v/>
      </c>
      <c r="CH405" s="990" t="str">
        <f t="shared" si="1111"/>
        <v/>
      </c>
      <c r="CI405" s="990" t="str">
        <f t="shared" si="1111"/>
        <v/>
      </c>
      <c r="CJ405" s="989" t="str">
        <f t="shared" si="1111"/>
        <v/>
      </c>
      <c r="CK405" s="989" t="str">
        <f t="shared" si="1111"/>
        <v/>
      </c>
      <c r="CL405" s="989" t="str">
        <f t="shared" si="1111"/>
        <v/>
      </c>
      <c r="CM405" s="988" t="str">
        <f t="shared" si="1111"/>
        <v/>
      </c>
      <c r="CN405" s="533" t="str">
        <f t="shared" si="1075"/>
        <v/>
      </c>
      <c r="CO405" s="534" t="str">
        <f t="shared" si="1076"/>
        <v/>
      </c>
      <c r="CP405" s="535" t="str">
        <f t="shared" si="1077"/>
        <v/>
      </c>
      <c r="CQ405" s="535" t="str">
        <f t="shared" si="1078"/>
        <v/>
      </c>
      <c r="CR405" s="535" t="str">
        <f t="shared" si="1079"/>
        <v/>
      </c>
      <c r="CS405" s="535" t="str">
        <f t="shared" si="1080"/>
        <v/>
      </c>
      <c r="CT405" s="535" t="str">
        <f t="shared" si="1081"/>
        <v/>
      </c>
      <c r="CU405" s="536" t="str">
        <f t="shared" si="1082"/>
        <v/>
      </c>
      <c r="CV405" s="536" t="str">
        <f t="shared" si="1083"/>
        <v/>
      </c>
      <c r="CW405" s="536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5" t="str">
        <f t="shared" si="1087"/>
        <v/>
      </c>
      <c r="DA405" s="535" t="str">
        <f t="shared" si="1088"/>
        <v/>
      </c>
      <c r="DB405" s="535" t="str">
        <f t="shared" si="1089"/>
        <v/>
      </c>
      <c r="DC405" s="534" t="str">
        <f t="shared" si="1090"/>
        <v/>
      </c>
      <c r="DD405" s="533" t="str">
        <f t="shared" si="1091"/>
        <v/>
      </c>
      <c r="DE405" s="635">
        <f t="shared" si="1092"/>
        <v>0</v>
      </c>
      <c r="DF405" s="95">
        <f t="shared" si="1093"/>
        <v>0</v>
      </c>
      <c r="DG405" s="95">
        <f t="shared" si="1094"/>
        <v>0</v>
      </c>
      <c r="DH405" s="95">
        <f t="shared" si="1095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128">IF(B404="","",B404*B405)</f>
        <v/>
      </c>
      <c r="C406" s="612" t="str">
        <f t="shared" si="1128"/>
        <v/>
      </c>
      <c r="D406" s="612" t="str">
        <f t="shared" si="1128"/>
        <v/>
      </c>
      <c r="E406" s="612" t="str">
        <f t="shared" si="1128"/>
        <v/>
      </c>
      <c r="F406" s="612" t="str">
        <f t="shared" si="1128"/>
        <v/>
      </c>
      <c r="G406" s="612" t="str">
        <f t="shared" si="1128"/>
        <v/>
      </c>
      <c r="H406" s="612" t="str">
        <f t="shared" si="1128"/>
        <v/>
      </c>
      <c r="I406" s="612" t="str">
        <f t="shared" si="1128"/>
        <v/>
      </c>
      <c r="J406" s="612" t="str">
        <f t="shared" si="1128"/>
        <v/>
      </c>
      <c r="K406" s="612" t="str">
        <f t="shared" si="1128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129">IF(T404="","",T404*T405)</f>
        <v/>
      </c>
      <c r="U406" s="612" t="str">
        <f t="shared" si="1129"/>
        <v/>
      </c>
      <c r="V406" s="612" t="str">
        <f t="shared" si="1129"/>
        <v/>
      </c>
      <c r="W406" s="612" t="str">
        <f t="shared" si="1129"/>
        <v/>
      </c>
      <c r="X406" s="612" t="str">
        <f t="shared" si="1129"/>
        <v/>
      </c>
      <c r="Y406" s="612" t="str">
        <f t="shared" si="1129"/>
        <v/>
      </c>
      <c r="Z406" s="612" t="str">
        <f t="shared" si="1129"/>
        <v/>
      </c>
      <c r="AA406" s="612" t="str">
        <f t="shared" si="1129"/>
        <v/>
      </c>
      <c r="AB406" s="612" t="str">
        <f t="shared" si="1129"/>
        <v/>
      </c>
      <c r="AC406" s="612" t="str">
        <f t="shared" si="1129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130">IF(AL404="","",AL404*AL405)</f>
        <v/>
      </c>
      <c r="AM406" s="612" t="str">
        <f t="shared" si="1130"/>
        <v/>
      </c>
      <c r="AN406" s="612" t="str">
        <f t="shared" si="1130"/>
        <v/>
      </c>
      <c r="AO406" s="612" t="str">
        <f t="shared" si="1130"/>
        <v/>
      </c>
      <c r="AP406" s="612" t="str">
        <f t="shared" si="1130"/>
        <v/>
      </c>
      <c r="AQ406" s="612" t="str">
        <f t="shared" si="1130"/>
        <v/>
      </c>
      <c r="AR406" s="612" t="str">
        <f t="shared" si="1130"/>
        <v/>
      </c>
      <c r="AS406" s="612" t="str">
        <f t="shared" si="1130"/>
        <v/>
      </c>
      <c r="AT406" s="612" t="str">
        <f t="shared" si="1130"/>
        <v/>
      </c>
      <c r="AU406" s="612" t="str">
        <f t="shared" si="1130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131">IF(BD404="","",BD404*BD405)</f>
        <v/>
      </c>
      <c r="BE406" s="1201" t="str">
        <f t="shared" si="1131"/>
        <v/>
      </c>
      <c r="BF406" s="1201" t="str">
        <f t="shared" si="1131"/>
        <v/>
      </c>
      <c r="BG406" s="1201" t="str">
        <f t="shared" si="1131"/>
        <v/>
      </c>
      <c r="BH406" s="1201" t="str">
        <f t="shared" si="1131"/>
        <v/>
      </c>
      <c r="BI406" s="1201" t="str">
        <f t="shared" si="1131"/>
        <v/>
      </c>
      <c r="BJ406" s="1201" t="str">
        <f t="shared" si="1131"/>
        <v/>
      </c>
      <c r="BK406" s="1201" t="str">
        <f t="shared" si="1131"/>
        <v/>
      </c>
      <c r="BL406" s="1201" t="str">
        <f t="shared" si="1131"/>
        <v/>
      </c>
      <c r="BM406" s="1201" t="str">
        <f t="shared" si="1131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070"/>
        <v/>
      </c>
      <c r="CA406" s="582" t="str">
        <f t="shared" si="1071"/>
        <v/>
      </c>
      <c r="CB406" s="582" t="str">
        <f t="shared" si="1072"/>
        <v/>
      </c>
      <c r="CC406" s="670" t="str">
        <f t="shared" si="1073"/>
        <v/>
      </c>
      <c r="CD406" s="988" t="str">
        <f t="shared" si="1108"/>
        <v/>
      </c>
      <c r="CE406" s="989" t="str">
        <f t="shared" si="1111"/>
        <v/>
      </c>
      <c r="CF406" s="989" t="str">
        <f t="shared" si="1111"/>
        <v/>
      </c>
      <c r="CG406" s="989" t="str">
        <f t="shared" si="1111"/>
        <v/>
      </c>
      <c r="CH406" s="990" t="str">
        <f t="shared" si="1111"/>
        <v/>
      </c>
      <c r="CI406" s="990" t="str">
        <f t="shared" si="1111"/>
        <v/>
      </c>
      <c r="CJ406" s="989" t="str">
        <f t="shared" si="1111"/>
        <v/>
      </c>
      <c r="CK406" s="989" t="str">
        <f t="shared" si="1111"/>
        <v/>
      </c>
      <c r="CL406" s="989" t="str">
        <f t="shared" si="1111"/>
        <v/>
      </c>
      <c r="CM406" s="988" t="str">
        <f t="shared" si="1111"/>
        <v/>
      </c>
      <c r="CN406" s="533" t="str">
        <f t="shared" si="1075"/>
        <v/>
      </c>
      <c r="CO406" s="534" t="str">
        <f t="shared" si="1076"/>
        <v/>
      </c>
      <c r="CP406" s="535" t="str">
        <f t="shared" si="1077"/>
        <v/>
      </c>
      <c r="CQ406" s="535" t="str">
        <f t="shared" si="1078"/>
        <v/>
      </c>
      <c r="CR406" s="535" t="str">
        <f t="shared" si="1079"/>
        <v/>
      </c>
      <c r="CS406" s="535" t="str">
        <f t="shared" si="1080"/>
        <v/>
      </c>
      <c r="CT406" s="535" t="str">
        <f t="shared" si="1081"/>
        <v/>
      </c>
      <c r="CU406" s="536" t="str">
        <f t="shared" si="1082"/>
        <v/>
      </c>
      <c r="CV406" s="536" t="str">
        <f t="shared" si="1083"/>
        <v/>
      </c>
      <c r="CW406" s="536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5" t="str">
        <f t="shared" si="1087"/>
        <v/>
      </c>
      <c r="DA406" s="535" t="str">
        <f t="shared" si="1088"/>
        <v/>
      </c>
      <c r="DB406" s="535" t="str">
        <f t="shared" si="1089"/>
        <v/>
      </c>
      <c r="DC406" s="534" t="str">
        <f t="shared" si="1090"/>
        <v/>
      </c>
      <c r="DD406" s="533" t="str">
        <f t="shared" si="1091"/>
        <v/>
      </c>
      <c r="DE406" s="635">
        <f t="shared" si="1092"/>
        <v>0</v>
      </c>
      <c r="DF406" s="95">
        <f t="shared" si="1093"/>
        <v>0</v>
      </c>
      <c r="DG406" s="95">
        <f t="shared" si="1094"/>
        <v>0</v>
      </c>
      <c r="DH406" s="95">
        <f t="shared" si="1095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070"/>
        <v/>
      </c>
      <c r="CA407" s="582" t="str">
        <f t="shared" si="1071"/>
        <v/>
      </c>
      <c r="CB407" s="582" t="str">
        <f t="shared" si="1072"/>
        <v/>
      </c>
      <c r="CC407" s="670" t="str">
        <f t="shared" si="1073"/>
        <v/>
      </c>
      <c r="CD407" s="988" t="str">
        <f t="shared" si="1108"/>
        <v/>
      </c>
      <c r="CE407" s="989" t="str">
        <f t="shared" si="1111"/>
        <v/>
      </c>
      <c r="CF407" s="989" t="str">
        <f t="shared" si="1111"/>
        <v/>
      </c>
      <c r="CG407" s="989" t="str">
        <f t="shared" si="1111"/>
        <v/>
      </c>
      <c r="CH407" s="990" t="str">
        <f t="shared" si="1111"/>
        <v/>
      </c>
      <c r="CI407" s="990" t="str">
        <f t="shared" si="1111"/>
        <v/>
      </c>
      <c r="CJ407" s="989" t="str">
        <f t="shared" si="1111"/>
        <v/>
      </c>
      <c r="CK407" s="989" t="str">
        <f t="shared" si="1111"/>
        <v/>
      </c>
      <c r="CL407" s="989" t="str">
        <f t="shared" si="1111"/>
        <v/>
      </c>
      <c r="CM407" s="988" t="str">
        <f t="shared" si="1111"/>
        <v/>
      </c>
      <c r="CN407" s="533" t="str">
        <f t="shared" si="1075"/>
        <v/>
      </c>
      <c r="CO407" s="534" t="str">
        <f t="shared" si="1076"/>
        <v/>
      </c>
      <c r="CP407" s="535" t="str">
        <f t="shared" si="1077"/>
        <v/>
      </c>
      <c r="CQ407" s="535" t="str">
        <f t="shared" si="1078"/>
        <v/>
      </c>
      <c r="CR407" s="535" t="str">
        <f t="shared" si="1079"/>
        <v/>
      </c>
      <c r="CS407" s="535" t="str">
        <f t="shared" si="1080"/>
        <v/>
      </c>
      <c r="CT407" s="535" t="str">
        <f t="shared" si="1081"/>
        <v/>
      </c>
      <c r="CU407" s="536" t="str">
        <f t="shared" si="1082"/>
        <v/>
      </c>
      <c r="CV407" s="536" t="str">
        <f t="shared" si="1083"/>
        <v/>
      </c>
      <c r="CW407" s="536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5" t="str">
        <f t="shared" si="1087"/>
        <v/>
      </c>
      <c r="DA407" s="535" t="str">
        <f t="shared" si="1088"/>
        <v/>
      </c>
      <c r="DB407" s="535" t="str">
        <f t="shared" si="1089"/>
        <v/>
      </c>
      <c r="DC407" s="534" t="str">
        <f t="shared" si="1090"/>
        <v/>
      </c>
      <c r="DD407" s="533" t="str">
        <f t="shared" si="1091"/>
        <v/>
      </c>
      <c r="DE407" s="635">
        <f t="shared" si="1092"/>
        <v>0</v>
      </c>
      <c r="DF407" s="95">
        <f t="shared" si="1093"/>
        <v>0</v>
      </c>
      <c r="DG407" s="95">
        <f t="shared" si="1094"/>
        <v>0</v>
      </c>
      <c r="DH407" s="95">
        <f t="shared" si="1095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070"/>
        <v/>
      </c>
      <c r="CA408" s="582" t="str">
        <f t="shared" si="1071"/>
        <v/>
      </c>
      <c r="CB408" s="582" t="str">
        <f t="shared" si="1072"/>
        <v/>
      </c>
      <c r="CC408" s="670" t="str">
        <f t="shared" si="1073"/>
        <v/>
      </c>
      <c r="CD408" s="988" t="str">
        <f t="shared" si="1108"/>
        <v/>
      </c>
      <c r="CE408" s="989" t="str">
        <f t="shared" si="1111"/>
        <v/>
      </c>
      <c r="CF408" s="989" t="str">
        <f t="shared" si="1111"/>
        <v/>
      </c>
      <c r="CG408" s="989" t="str">
        <f t="shared" si="1111"/>
        <v/>
      </c>
      <c r="CH408" s="990" t="str">
        <f t="shared" si="1111"/>
        <v/>
      </c>
      <c r="CI408" s="990" t="str">
        <f t="shared" si="1111"/>
        <v/>
      </c>
      <c r="CJ408" s="989" t="str">
        <f t="shared" si="1111"/>
        <v/>
      </c>
      <c r="CK408" s="989" t="str">
        <f t="shared" si="1111"/>
        <v/>
      </c>
      <c r="CL408" s="989" t="str">
        <f t="shared" si="1111"/>
        <v/>
      </c>
      <c r="CM408" s="988" t="str">
        <f t="shared" si="1111"/>
        <v/>
      </c>
      <c r="CN408" s="533" t="str">
        <f t="shared" si="1075"/>
        <v/>
      </c>
      <c r="CO408" s="534" t="str">
        <f t="shared" si="1076"/>
        <v/>
      </c>
      <c r="CP408" s="535" t="str">
        <f t="shared" si="1077"/>
        <v/>
      </c>
      <c r="CQ408" s="535" t="str">
        <f t="shared" si="1078"/>
        <v/>
      </c>
      <c r="CR408" s="535" t="str">
        <f t="shared" si="1079"/>
        <v/>
      </c>
      <c r="CS408" s="535" t="str">
        <f t="shared" si="1080"/>
        <v/>
      </c>
      <c r="CT408" s="535" t="str">
        <f t="shared" si="1081"/>
        <v/>
      </c>
      <c r="CU408" s="536" t="str">
        <f t="shared" si="1082"/>
        <v/>
      </c>
      <c r="CV408" s="536" t="str">
        <f t="shared" si="1083"/>
        <v/>
      </c>
      <c r="CW408" s="536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5" t="str">
        <f t="shared" si="1087"/>
        <v/>
      </c>
      <c r="DA408" s="535" t="str">
        <f t="shared" si="1088"/>
        <v/>
      </c>
      <c r="DB408" s="535" t="str">
        <f t="shared" si="1089"/>
        <v/>
      </c>
      <c r="DC408" s="534" t="str">
        <f t="shared" si="1090"/>
        <v/>
      </c>
      <c r="DD408" s="533" t="str">
        <f t="shared" si="1091"/>
        <v/>
      </c>
      <c r="DE408" s="635">
        <f t="shared" si="1092"/>
        <v>0</v>
      </c>
      <c r="DF408" s="95">
        <f t="shared" si="1093"/>
        <v>0</v>
      </c>
      <c r="DG408" s="95">
        <f t="shared" si="1094"/>
        <v>0</v>
      </c>
      <c r="DH408" s="95">
        <f t="shared" si="1095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132">IF(B407="","",B407*B408)</f>
        <v/>
      </c>
      <c r="C409" s="612" t="str">
        <f t="shared" si="1132"/>
        <v/>
      </c>
      <c r="D409" s="612" t="str">
        <f t="shared" si="1132"/>
        <v/>
      </c>
      <c r="E409" s="612" t="str">
        <f t="shared" si="1132"/>
        <v/>
      </c>
      <c r="F409" s="612" t="str">
        <f t="shared" si="1132"/>
        <v/>
      </c>
      <c r="G409" s="612" t="str">
        <f t="shared" si="1132"/>
        <v/>
      </c>
      <c r="H409" s="612" t="str">
        <f t="shared" si="1132"/>
        <v/>
      </c>
      <c r="I409" s="612" t="str">
        <f t="shared" si="1132"/>
        <v/>
      </c>
      <c r="J409" s="612" t="str">
        <f t="shared" si="1132"/>
        <v/>
      </c>
      <c r="K409" s="612" t="str">
        <f t="shared" si="1132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133">IF(T407="","",T407*T408)</f>
        <v/>
      </c>
      <c r="U409" s="612" t="str">
        <f t="shared" si="1133"/>
        <v/>
      </c>
      <c r="V409" s="612" t="str">
        <f t="shared" si="1133"/>
        <v/>
      </c>
      <c r="W409" s="612" t="str">
        <f t="shared" si="1133"/>
        <v/>
      </c>
      <c r="X409" s="612" t="str">
        <f t="shared" si="1133"/>
        <v/>
      </c>
      <c r="Y409" s="612" t="str">
        <f t="shared" si="1133"/>
        <v/>
      </c>
      <c r="Z409" s="612" t="str">
        <f t="shared" si="1133"/>
        <v/>
      </c>
      <c r="AA409" s="612" t="str">
        <f t="shared" si="1133"/>
        <v/>
      </c>
      <c r="AB409" s="612" t="str">
        <f t="shared" si="1133"/>
        <v/>
      </c>
      <c r="AC409" s="612" t="str">
        <f t="shared" si="1133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134">IF(AL407="","",AL407*AL408)</f>
        <v/>
      </c>
      <c r="AM409" s="612" t="str">
        <f t="shared" si="1134"/>
        <v/>
      </c>
      <c r="AN409" s="612" t="str">
        <f t="shared" si="1134"/>
        <v/>
      </c>
      <c r="AO409" s="612" t="str">
        <f t="shared" si="1134"/>
        <v/>
      </c>
      <c r="AP409" s="612" t="str">
        <f t="shared" si="1134"/>
        <v/>
      </c>
      <c r="AQ409" s="612" t="str">
        <f t="shared" si="1134"/>
        <v/>
      </c>
      <c r="AR409" s="612" t="str">
        <f t="shared" si="1134"/>
        <v/>
      </c>
      <c r="AS409" s="612" t="str">
        <f t="shared" si="1134"/>
        <v/>
      </c>
      <c r="AT409" s="612" t="str">
        <f t="shared" si="1134"/>
        <v/>
      </c>
      <c r="AU409" s="612" t="str">
        <f t="shared" si="1134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135">IF(BD407="","",BD407*BD408)</f>
        <v/>
      </c>
      <c r="BE409" s="1201" t="str">
        <f t="shared" si="1135"/>
        <v/>
      </c>
      <c r="BF409" s="1201" t="str">
        <f t="shared" si="1135"/>
        <v/>
      </c>
      <c r="BG409" s="1201" t="str">
        <f t="shared" si="1135"/>
        <v/>
      </c>
      <c r="BH409" s="1201" t="str">
        <f t="shared" si="1135"/>
        <v/>
      </c>
      <c r="BI409" s="1201" t="str">
        <f t="shared" si="1135"/>
        <v/>
      </c>
      <c r="BJ409" s="1201" t="str">
        <f t="shared" si="1135"/>
        <v/>
      </c>
      <c r="BK409" s="1201" t="str">
        <f t="shared" si="1135"/>
        <v/>
      </c>
      <c r="BL409" s="1201" t="str">
        <f t="shared" si="1135"/>
        <v/>
      </c>
      <c r="BM409" s="1201" t="str">
        <f t="shared" si="1135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070"/>
        <v/>
      </c>
      <c r="CA409" s="582" t="str">
        <f t="shared" si="1071"/>
        <v/>
      </c>
      <c r="CB409" s="582" t="str">
        <f t="shared" si="1072"/>
        <v/>
      </c>
      <c r="CC409" s="670" t="str">
        <f t="shared" si="1073"/>
        <v/>
      </c>
      <c r="CD409" s="988" t="str">
        <f t="shared" si="1108"/>
        <v/>
      </c>
      <c r="CE409" s="989" t="str">
        <f t="shared" ref="CE409:CM418" si="113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136"/>
        <v/>
      </c>
      <c r="CG409" s="989" t="str">
        <f t="shared" si="1136"/>
        <v/>
      </c>
      <c r="CH409" s="990" t="str">
        <f t="shared" si="1136"/>
        <v/>
      </c>
      <c r="CI409" s="990" t="str">
        <f t="shared" si="1136"/>
        <v/>
      </c>
      <c r="CJ409" s="989" t="str">
        <f t="shared" si="1136"/>
        <v/>
      </c>
      <c r="CK409" s="989" t="str">
        <f t="shared" si="1136"/>
        <v/>
      </c>
      <c r="CL409" s="989" t="str">
        <f t="shared" si="1136"/>
        <v/>
      </c>
      <c r="CM409" s="988" t="str">
        <f t="shared" si="1136"/>
        <v/>
      </c>
      <c r="CN409" s="533" t="str">
        <f t="shared" si="1075"/>
        <v/>
      </c>
      <c r="CO409" s="534" t="str">
        <f t="shared" si="1076"/>
        <v/>
      </c>
      <c r="CP409" s="535" t="str">
        <f t="shared" si="1077"/>
        <v/>
      </c>
      <c r="CQ409" s="535" t="str">
        <f t="shared" si="1078"/>
        <v/>
      </c>
      <c r="CR409" s="535" t="str">
        <f t="shared" si="1079"/>
        <v/>
      </c>
      <c r="CS409" s="535" t="str">
        <f t="shared" si="1080"/>
        <v/>
      </c>
      <c r="CT409" s="535" t="str">
        <f t="shared" si="1081"/>
        <v/>
      </c>
      <c r="CU409" s="536" t="str">
        <f t="shared" si="1082"/>
        <v/>
      </c>
      <c r="CV409" s="536" t="str">
        <f t="shared" si="1083"/>
        <v/>
      </c>
      <c r="CW409" s="536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5" t="str">
        <f t="shared" si="1087"/>
        <v/>
      </c>
      <c r="DA409" s="535" t="str">
        <f t="shared" si="1088"/>
        <v/>
      </c>
      <c r="DB409" s="535" t="str">
        <f t="shared" si="1089"/>
        <v/>
      </c>
      <c r="DC409" s="534" t="str">
        <f t="shared" si="1090"/>
        <v/>
      </c>
      <c r="DD409" s="533" t="str">
        <f t="shared" si="1091"/>
        <v/>
      </c>
      <c r="DE409" s="635">
        <f t="shared" si="1092"/>
        <v>0</v>
      </c>
      <c r="DF409" s="95">
        <f t="shared" si="1093"/>
        <v>0</v>
      </c>
      <c r="DG409" s="95">
        <f t="shared" si="1094"/>
        <v>0</v>
      </c>
      <c r="DH409" s="95">
        <f t="shared" si="1095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070"/>
        <v/>
      </c>
      <c r="CA410" s="582" t="str">
        <f t="shared" si="1071"/>
        <v/>
      </c>
      <c r="CB410" s="582" t="str">
        <f t="shared" si="1072"/>
        <v/>
      </c>
      <c r="CC410" s="670" t="str">
        <f t="shared" si="1073"/>
        <v/>
      </c>
      <c r="CD410" s="988" t="str">
        <f t="shared" si="1108"/>
        <v/>
      </c>
      <c r="CE410" s="989" t="str">
        <f t="shared" si="1136"/>
        <v/>
      </c>
      <c r="CF410" s="989" t="str">
        <f t="shared" si="1136"/>
        <v/>
      </c>
      <c r="CG410" s="989" t="str">
        <f t="shared" si="1136"/>
        <v/>
      </c>
      <c r="CH410" s="990" t="str">
        <f t="shared" si="1136"/>
        <v/>
      </c>
      <c r="CI410" s="990" t="str">
        <f t="shared" si="1136"/>
        <v/>
      </c>
      <c r="CJ410" s="989" t="str">
        <f t="shared" si="1136"/>
        <v/>
      </c>
      <c r="CK410" s="989" t="str">
        <f t="shared" si="1136"/>
        <v/>
      </c>
      <c r="CL410" s="989" t="str">
        <f t="shared" si="1136"/>
        <v/>
      </c>
      <c r="CM410" s="988" t="str">
        <f t="shared" si="1136"/>
        <v/>
      </c>
      <c r="CN410" s="533" t="str">
        <f t="shared" si="1075"/>
        <v/>
      </c>
      <c r="CO410" s="534" t="str">
        <f t="shared" si="1076"/>
        <v/>
      </c>
      <c r="CP410" s="535" t="str">
        <f t="shared" si="1077"/>
        <v/>
      </c>
      <c r="CQ410" s="535" t="str">
        <f t="shared" si="1078"/>
        <v/>
      </c>
      <c r="CR410" s="535" t="str">
        <f t="shared" si="1079"/>
        <v/>
      </c>
      <c r="CS410" s="535" t="str">
        <f t="shared" si="1080"/>
        <v/>
      </c>
      <c r="CT410" s="535" t="str">
        <f t="shared" si="1081"/>
        <v/>
      </c>
      <c r="CU410" s="536" t="str">
        <f t="shared" si="1082"/>
        <v/>
      </c>
      <c r="CV410" s="536" t="str">
        <f t="shared" si="1083"/>
        <v/>
      </c>
      <c r="CW410" s="536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5" t="str">
        <f t="shared" si="1087"/>
        <v/>
      </c>
      <c r="DA410" s="535" t="str">
        <f t="shared" si="1088"/>
        <v/>
      </c>
      <c r="DB410" s="535" t="str">
        <f t="shared" si="1089"/>
        <v/>
      </c>
      <c r="DC410" s="534" t="str">
        <f t="shared" si="1090"/>
        <v/>
      </c>
      <c r="DD410" s="533" t="str">
        <f t="shared" si="1091"/>
        <v/>
      </c>
      <c r="DE410" s="635">
        <f t="shared" si="1092"/>
        <v>0</v>
      </c>
      <c r="DF410" s="95">
        <f t="shared" si="1093"/>
        <v>0</v>
      </c>
      <c r="DG410" s="95">
        <f t="shared" si="1094"/>
        <v>0</v>
      </c>
      <c r="DH410" s="95">
        <f t="shared" si="1095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070"/>
        <v/>
      </c>
      <c r="CA411" s="582" t="str">
        <f t="shared" si="1071"/>
        <v/>
      </c>
      <c r="CB411" s="582" t="str">
        <f t="shared" si="1072"/>
        <v/>
      </c>
      <c r="CC411" s="670" t="str">
        <f t="shared" si="1073"/>
        <v/>
      </c>
      <c r="CD411" s="988" t="str">
        <f t="shared" si="1108"/>
        <v/>
      </c>
      <c r="CE411" s="989" t="str">
        <f t="shared" si="1136"/>
        <v/>
      </c>
      <c r="CF411" s="989" t="str">
        <f t="shared" si="1136"/>
        <v/>
      </c>
      <c r="CG411" s="989" t="str">
        <f t="shared" si="1136"/>
        <v/>
      </c>
      <c r="CH411" s="990" t="str">
        <f t="shared" si="1136"/>
        <v/>
      </c>
      <c r="CI411" s="990" t="str">
        <f t="shared" si="1136"/>
        <v/>
      </c>
      <c r="CJ411" s="989" t="str">
        <f t="shared" si="1136"/>
        <v/>
      </c>
      <c r="CK411" s="989" t="str">
        <f t="shared" si="1136"/>
        <v/>
      </c>
      <c r="CL411" s="989" t="str">
        <f t="shared" si="1136"/>
        <v/>
      </c>
      <c r="CM411" s="988" t="str">
        <f t="shared" si="1136"/>
        <v/>
      </c>
      <c r="CN411" s="533" t="str">
        <f t="shared" si="1075"/>
        <v/>
      </c>
      <c r="CO411" s="534" t="str">
        <f t="shared" si="1076"/>
        <v/>
      </c>
      <c r="CP411" s="535" t="str">
        <f t="shared" si="1077"/>
        <v/>
      </c>
      <c r="CQ411" s="535" t="str">
        <f t="shared" si="1078"/>
        <v/>
      </c>
      <c r="CR411" s="535" t="str">
        <f t="shared" si="1079"/>
        <v/>
      </c>
      <c r="CS411" s="535" t="str">
        <f t="shared" si="1080"/>
        <v/>
      </c>
      <c r="CT411" s="535" t="str">
        <f t="shared" si="1081"/>
        <v/>
      </c>
      <c r="CU411" s="536" t="str">
        <f t="shared" si="1082"/>
        <v/>
      </c>
      <c r="CV411" s="536" t="str">
        <f t="shared" si="1083"/>
        <v/>
      </c>
      <c r="CW411" s="536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5" t="str">
        <f t="shared" si="1087"/>
        <v/>
      </c>
      <c r="DA411" s="535" t="str">
        <f t="shared" si="1088"/>
        <v/>
      </c>
      <c r="DB411" s="535" t="str">
        <f t="shared" si="1089"/>
        <v/>
      </c>
      <c r="DC411" s="534" t="str">
        <f t="shared" si="1090"/>
        <v/>
      </c>
      <c r="DD411" s="533" t="str">
        <f t="shared" si="1091"/>
        <v/>
      </c>
      <c r="DE411" s="635">
        <f t="shared" si="1092"/>
        <v>0</v>
      </c>
      <c r="DF411" s="95">
        <f t="shared" si="1093"/>
        <v>0</v>
      </c>
      <c r="DG411" s="95">
        <f t="shared" si="1094"/>
        <v>0</v>
      </c>
      <c r="DH411" s="95">
        <f t="shared" si="1095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137">IF(B410="","",B410*B411)</f>
        <v/>
      </c>
      <c r="C412" s="612" t="str">
        <f t="shared" si="1137"/>
        <v/>
      </c>
      <c r="D412" s="612" t="str">
        <f t="shared" si="1137"/>
        <v/>
      </c>
      <c r="E412" s="612" t="str">
        <f t="shared" si="1137"/>
        <v/>
      </c>
      <c r="F412" s="612" t="str">
        <f t="shared" si="1137"/>
        <v/>
      </c>
      <c r="G412" s="612" t="str">
        <f t="shared" si="1137"/>
        <v/>
      </c>
      <c r="H412" s="612" t="str">
        <f t="shared" si="1137"/>
        <v/>
      </c>
      <c r="I412" s="612" t="str">
        <f t="shared" si="1137"/>
        <v/>
      </c>
      <c r="J412" s="612" t="str">
        <f t="shared" si="1137"/>
        <v/>
      </c>
      <c r="K412" s="612" t="str">
        <f t="shared" si="1137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138">IF(T410="","",T410*T411)</f>
        <v/>
      </c>
      <c r="U412" s="612" t="str">
        <f t="shared" si="1138"/>
        <v/>
      </c>
      <c r="V412" s="612" t="str">
        <f t="shared" si="1138"/>
        <v/>
      </c>
      <c r="W412" s="612" t="str">
        <f t="shared" si="1138"/>
        <v/>
      </c>
      <c r="X412" s="612" t="str">
        <f t="shared" si="1138"/>
        <v/>
      </c>
      <c r="Y412" s="612" t="str">
        <f t="shared" si="1138"/>
        <v/>
      </c>
      <c r="Z412" s="612" t="str">
        <f t="shared" si="1138"/>
        <v/>
      </c>
      <c r="AA412" s="612" t="str">
        <f t="shared" si="1138"/>
        <v/>
      </c>
      <c r="AB412" s="612" t="str">
        <f t="shared" si="1138"/>
        <v/>
      </c>
      <c r="AC412" s="612" t="str">
        <f t="shared" si="1138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139">IF(AL410="","",AL410*AL411)</f>
        <v/>
      </c>
      <c r="AM412" s="612" t="str">
        <f t="shared" si="1139"/>
        <v/>
      </c>
      <c r="AN412" s="612" t="str">
        <f t="shared" si="1139"/>
        <v/>
      </c>
      <c r="AO412" s="612" t="str">
        <f t="shared" si="1139"/>
        <v/>
      </c>
      <c r="AP412" s="612" t="str">
        <f t="shared" si="1139"/>
        <v/>
      </c>
      <c r="AQ412" s="612" t="str">
        <f t="shared" si="1139"/>
        <v/>
      </c>
      <c r="AR412" s="612" t="str">
        <f t="shared" si="1139"/>
        <v/>
      </c>
      <c r="AS412" s="612" t="str">
        <f t="shared" si="1139"/>
        <v/>
      </c>
      <c r="AT412" s="612" t="str">
        <f t="shared" si="1139"/>
        <v/>
      </c>
      <c r="AU412" s="612" t="str">
        <f t="shared" si="1139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140">IF(BD410="","",BD410*BD411)</f>
        <v/>
      </c>
      <c r="BE412" s="1201" t="str">
        <f t="shared" si="1140"/>
        <v/>
      </c>
      <c r="BF412" s="1201" t="str">
        <f t="shared" si="1140"/>
        <v/>
      </c>
      <c r="BG412" s="1201" t="str">
        <f t="shared" si="1140"/>
        <v/>
      </c>
      <c r="BH412" s="1201" t="str">
        <f t="shared" si="1140"/>
        <v/>
      </c>
      <c r="BI412" s="1201" t="str">
        <f t="shared" si="1140"/>
        <v/>
      </c>
      <c r="BJ412" s="1201" t="str">
        <f t="shared" si="1140"/>
        <v/>
      </c>
      <c r="BK412" s="1201" t="str">
        <f t="shared" si="1140"/>
        <v/>
      </c>
      <c r="BL412" s="1201" t="str">
        <f t="shared" si="1140"/>
        <v/>
      </c>
      <c r="BM412" s="1201" t="str">
        <f t="shared" si="1140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070"/>
        <v/>
      </c>
      <c r="CA412" s="582" t="str">
        <f t="shared" si="1071"/>
        <v/>
      </c>
      <c r="CB412" s="582" t="str">
        <f t="shared" si="1072"/>
        <v/>
      </c>
      <c r="CC412" s="670" t="str">
        <f t="shared" si="1073"/>
        <v/>
      </c>
      <c r="CD412" s="988" t="str">
        <f t="shared" si="1108"/>
        <v/>
      </c>
      <c r="CE412" s="989" t="str">
        <f t="shared" si="1136"/>
        <v/>
      </c>
      <c r="CF412" s="989" t="str">
        <f t="shared" si="1136"/>
        <v/>
      </c>
      <c r="CG412" s="989" t="str">
        <f t="shared" si="1136"/>
        <v/>
      </c>
      <c r="CH412" s="990" t="str">
        <f t="shared" si="1136"/>
        <v/>
      </c>
      <c r="CI412" s="990" t="str">
        <f t="shared" si="1136"/>
        <v/>
      </c>
      <c r="CJ412" s="989" t="str">
        <f t="shared" si="1136"/>
        <v/>
      </c>
      <c r="CK412" s="989" t="str">
        <f t="shared" si="1136"/>
        <v/>
      </c>
      <c r="CL412" s="989" t="str">
        <f t="shared" si="1136"/>
        <v/>
      </c>
      <c r="CM412" s="988" t="str">
        <f t="shared" si="1136"/>
        <v/>
      </c>
      <c r="CN412" s="533" t="str">
        <f t="shared" si="1075"/>
        <v/>
      </c>
      <c r="CO412" s="534" t="str">
        <f t="shared" si="1076"/>
        <v/>
      </c>
      <c r="CP412" s="535" t="str">
        <f t="shared" si="1077"/>
        <v/>
      </c>
      <c r="CQ412" s="535" t="str">
        <f t="shared" si="1078"/>
        <v/>
      </c>
      <c r="CR412" s="535" t="str">
        <f t="shared" si="1079"/>
        <v/>
      </c>
      <c r="CS412" s="535" t="str">
        <f t="shared" si="1080"/>
        <v/>
      </c>
      <c r="CT412" s="535" t="str">
        <f t="shared" si="1081"/>
        <v/>
      </c>
      <c r="CU412" s="536" t="str">
        <f t="shared" si="1082"/>
        <v/>
      </c>
      <c r="CV412" s="536" t="str">
        <f t="shared" si="1083"/>
        <v/>
      </c>
      <c r="CW412" s="536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5" t="str">
        <f t="shared" si="1087"/>
        <v/>
      </c>
      <c r="DA412" s="535" t="str">
        <f t="shared" si="1088"/>
        <v/>
      </c>
      <c r="DB412" s="535" t="str">
        <f t="shared" si="1089"/>
        <v/>
      </c>
      <c r="DC412" s="534" t="str">
        <f t="shared" si="1090"/>
        <v/>
      </c>
      <c r="DD412" s="533" t="str">
        <f t="shared" si="1091"/>
        <v/>
      </c>
      <c r="DE412" s="635">
        <f t="shared" si="1092"/>
        <v>0</v>
      </c>
      <c r="DF412" s="95">
        <f t="shared" si="1093"/>
        <v>0</v>
      </c>
      <c r="DG412" s="95">
        <f t="shared" si="1094"/>
        <v>0</v>
      </c>
      <c r="DH412" s="95">
        <f t="shared" si="1095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070"/>
        <v/>
      </c>
      <c r="CA413" s="582" t="str">
        <f t="shared" si="1071"/>
        <v/>
      </c>
      <c r="CB413" s="582" t="str">
        <f t="shared" si="1072"/>
        <v/>
      </c>
      <c r="CC413" s="670" t="str">
        <f t="shared" si="1073"/>
        <v/>
      </c>
      <c r="CD413" s="988" t="str">
        <f t="shared" si="1108"/>
        <v/>
      </c>
      <c r="CE413" s="989" t="str">
        <f t="shared" si="1136"/>
        <v/>
      </c>
      <c r="CF413" s="989" t="str">
        <f t="shared" si="1136"/>
        <v/>
      </c>
      <c r="CG413" s="989" t="str">
        <f t="shared" si="1136"/>
        <v/>
      </c>
      <c r="CH413" s="990" t="str">
        <f t="shared" si="1136"/>
        <v/>
      </c>
      <c r="CI413" s="990" t="str">
        <f t="shared" si="1136"/>
        <v/>
      </c>
      <c r="CJ413" s="989" t="str">
        <f t="shared" si="1136"/>
        <v/>
      </c>
      <c r="CK413" s="989" t="str">
        <f t="shared" si="1136"/>
        <v/>
      </c>
      <c r="CL413" s="989" t="str">
        <f t="shared" si="1136"/>
        <v/>
      </c>
      <c r="CM413" s="988" t="str">
        <f t="shared" si="1136"/>
        <v/>
      </c>
      <c r="CN413" s="533" t="str">
        <f t="shared" si="1075"/>
        <v/>
      </c>
      <c r="CO413" s="534" t="str">
        <f t="shared" si="1076"/>
        <v/>
      </c>
      <c r="CP413" s="535" t="str">
        <f t="shared" si="1077"/>
        <v/>
      </c>
      <c r="CQ413" s="535" t="str">
        <f t="shared" si="1078"/>
        <v/>
      </c>
      <c r="CR413" s="535" t="str">
        <f t="shared" si="1079"/>
        <v/>
      </c>
      <c r="CS413" s="535" t="str">
        <f t="shared" si="1080"/>
        <v/>
      </c>
      <c r="CT413" s="535" t="str">
        <f t="shared" si="1081"/>
        <v/>
      </c>
      <c r="CU413" s="536" t="str">
        <f t="shared" si="1082"/>
        <v/>
      </c>
      <c r="CV413" s="536" t="str">
        <f t="shared" si="1083"/>
        <v/>
      </c>
      <c r="CW413" s="536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5" t="str">
        <f t="shared" si="1087"/>
        <v/>
      </c>
      <c r="DA413" s="535" t="str">
        <f t="shared" si="1088"/>
        <v/>
      </c>
      <c r="DB413" s="535" t="str">
        <f t="shared" si="1089"/>
        <v/>
      </c>
      <c r="DC413" s="534" t="str">
        <f t="shared" si="1090"/>
        <v/>
      </c>
      <c r="DD413" s="533" t="str">
        <f t="shared" si="1091"/>
        <v/>
      </c>
      <c r="DE413" s="635">
        <f t="shared" si="1092"/>
        <v>0</v>
      </c>
      <c r="DF413" s="95">
        <f t="shared" si="1093"/>
        <v>0</v>
      </c>
      <c r="DG413" s="95">
        <f t="shared" si="1094"/>
        <v>0</v>
      </c>
      <c r="DH413" s="95">
        <f t="shared" si="1095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070"/>
        <v/>
      </c>
      <c r="CA414" s="582" t="str">
        <f t="shared" si="1071"/>
        <v/>
      </c>
      <c r="CB414" s="582" t="str">
        <f t="shared" si="1072"/>
        <v/>
      </c>
      <c r="CC414" s="670" t="str">
        <f t="shared" si="1073"/>
        <v/>
      </c>
      <c r="CD414" s="988" t="str">
        <f t="shared" si="1108"/>
        <v/>
      </c>
      <c r="CE414" s="989" t="str">
        <f t="shared" si="1136"/>
        <v/>
      </c>
      <c r="CF414" s="989" t="str">
        <f t="shared" si="1136"/>
        <v/>
      </c>
      <c r="CG414" s="989" t="str">
        <f t="shared" si="1136"/>
        <v/>
      </c>
      <c r="CH414" s="990" t="str">
        <f t="shared" si="1136"/>
        <v/>
      </c>
      <c r="CI414" s="990" t="str">
        <f t="shared" si="1136"/>
        <v/>
      </c>
      <c r="CJ414" s="989" t="str">
        <f t="shared" si="1136"/>
        <v/>
      </c>
      <c r="CK414" s="989" t="str">
        <f t="shared" si="1136"/>
        <v/>
      </c>
      <c r="CL414" s="989" t="str">
        <f t="shared" si="1136"/>
        <v/>
      </c>
      <c r="CM414" s="988" t="str">
        <f t="shared" si="1136"/>
        <v/>
      </c>
      <c r="CN414" s="533" t="str">
        <f t="shared" si="1075"/>
        <v/>
      </c>
      <c r="CO414" s="534" t="str">
        <f t="shared" si="1076"/>
        <v/>
      </c>
      <c r="CP414" s="535" t="str">
        <f t="shared" si="1077"/>
        <v/>
      </c>
      <c r="CQ414" s="535" t="str">
        <f t="shared" si="1078"/>
        <v/>
      </c>
      <c r="CR414" s="535" t="str">
        <f t="shared" si="1079"/>
        <v/>
      </c>
      <c r="CS414" s="535" t="str">
        <f t="shared" si="1080"/>
        <v/>
      </c>
      <c r="CT414" s="535" t="str">
        <f t="shared" si="1081"/>
        <v/>
      </c>
      <c r="CU414" s="536" t="str">
        <f t="shared" si="1082"/>
        <v/>
      </c>
      <c r="CV414" s="536" t="str">
        <f t="shared" si="1083"/>
        <v/>
      </c>
      <c r="CW414" s="536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5" t="str">
        <f t="shared" si="1087"/>
        <v/>
      </c>
      <c r="DA414" s="535" t="str">
        <f t="shared" si="1088"/>
        <v/>
      </c>
      <c r="DB414" s="535" t="str">
        <f t="shared" si="1089"/>
        <v/>
      </c>
      <c r="DC414" s="534" t="str">
        <f t="shared" si="1090"/>
        <v/>
      </c>
      <c r="DD414" s="533" t="str">
        <f t="shared" si="1091"/>
        <v/>
      </c>
      <c r="DE414" s="635">
        <f t="shared" si="1092"/>
        <v>0</v>
      </c>
      <c r="DF414" s="95">
        <f t="shared" si="1093"/>
        <v>0</v>
      </c>
      <c r="DG414" s="95">
        <f t="shared" si="1094"/>
        <v>0</v>
      </c>
      <c r="DH414" s="95">
        <f t="shared" si="1095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141">IF(B413="","",B413*B414)</f>
        <v/>
      </c>
      <c r="C415" s="612" t="str">
        <f t="shared" si="1141"/>
        <v/>
      </c>
      <c r="D415" s="612" t="str">
        <f t="shared" si="1141"/>
        <v/>
      </c>
      <c r="E415" s="612" t="str">
        <f t="shared" si="1141"/>
        <v/>
      </c>
      <c r="F415" s="612" t="str">
        <f t="shared" si="1141"/>
        <v/>
      </c>
      <c r="G415" s="612" t="str">
        <f t="shared" si="1141"/>
        <v/>
      </c>
      <c r="H415" s="612" t="str">
        <f t="shared" si="1141"/>
        <v/>
      </c>
      <c r="I415" s="612" t="str">
        <f t="shared" si="1141"/>
        <v/>
      </c>
      <c r="J415" s="612" t="str">
        <f t="shared" si="1141"/>
        <v/>
      </c>
      <c r="K415" s="612" t="str">
        <f t="shared" si="1141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142">IF(T413="","",T413*T414)</f>
        <v/>
      </c>
      <c r="U415" s="612" t="str">
        <f t="shared" si="1142"/>
        <v/>
      </c>
      <c r="V415" s="612" t="str">
        <f t="shared" si="1142"/>
        <v/>
      </c>
      <c r="W415" s="612" t="str">
        <f t="shared" si="1142"/>
        <v/>
      </c>
      <c r="X415" s="612" t="str">
        <f t="shared" si="1142"/>
        <v/>
      </c>
      <c r="Y415" s="612" t="str">
        <f t="shared" si="1142"/>
        <v/>
      </c>
      <c r="Z415" s="612" t="str">
        <f t="shared" si="1142"/>
        <v/>
      </c>
      <c r="AA415" s="612" t="str">
        <f t="shared" si="1142"/>
        <v/>
      </c>
      <c r="AB415" s="612" t="str">
        <f t="shared" si="1142"/>
        <v/>
      </c>
      <c r="AC415" s="612" t="str">
        <f t="shared" si="1142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143">IF(AL413="","",AL413*AL414)</f>
        <v/>
      </c>
      <c r="AM415" s="612" t="str">
        <f t="shared" si="1143"/>
        <v/>
      </c>
      <c r="AN415" s="612" t="str">
        <f t="shared" si="1143"/>
        <v/>
      </c>
      <c r="AO415" s="612" t="str">
        <f t="shared" si="1143"/>
        <v/>
      </c>
      <c r="AP415" s="612" t="str">
        <f t="shared" si="1143"/>
        <v/>
      </c>
      <c r="AQ415" s="612" t="str">
        <f t="shared" si="1143"/>
        <v/>
      </c>
      <c r="AR415" s="612" t="str">
        <f t="shared" si="1143"/>
        <v/>
      </c>
      <c r="AS415" s="612" t="str">
        <f t="shared" si="1143"/>
        <v/>
      </c>
      <c r="AT415" s="612" t="str">
        <f t="shared" si="1143"/>
        <v/>
      </c>
      <c r="AU415" s="612" t="str">
        <f t="shared" si="1143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144">IF(BD413="","",BD413*BD414)</f>
        <v/>
      </c>
      <c r="BE415" s="1201" t="str">
        <f t="shared" si="1144"/>
        <v/>
      </c>
      <c r="BF415" s="1201" t="str">
        <f t="shared" si="1144"/>
        <v/>
      </c>
      <c r="BG415" s="1201" t="str">
        <f t="shared" si="1144"/>
        <v/>
      </c>
      <c r="BH415" s="1201" t="str">
        <f t="shared" si="1144"/>
        <v/>
      </c>
      <c r="BI415" s="1201" t="str">
        <f t="shared" si="1144"/>
        <v/>
      </c>
      <c r="BJ415" s="1201" t="str">
        <f t="shared" si="1144"/>
        <v/>
      </c>
      <c r="BK415" s="1201" t="str">
        <f t="shared" si="1144"/>
        <v/>
      </c>
      <c r="BL415" s="1201" t="str">
        <f t="shared" si="1144"/>
        <v/>
      </c>
      <c r="BM415" s="1201" t="str">
        <f t="shared" si="1144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070"/>
        <v/>
      </c>
      <c r="CA415" s="582" t="str">
        <f t="shared" si="1071"/>
        <v/>
      </c>
      <c r="CB415" s="582" t="str">
        <f t="shared" si="1072"/>
        <v/>
      </c>
      <c r="CC415" s="670" t="str">
        <f t="shared" si="1073"/>
        <v/>
      </c>
      <c r="CD415" s="988" t="str">
        <f t="shared" si="1108"/>
        <v/>
      </c>
      <c r="CE415" s="989" t="str">
        <f t="shared" si="1136"/>
        <v/>
      </c>
      <c r="CF415" s="989" t="str">
        <f t="shared" si="1136"/>
        <v/>
      </c>
      <c r="CG415" s="989" t="str">
        <f t="shared" si="1136"/>
        <v/>
      </c>
      <c r="CH415" s="990" t="str">
        <f t="shared" si="1136"/>
        <v/>
      </c>
      <c r="CI415" s="990" t="str">
        <f t="shared" si="1136"/>
        <v/>
      </c>
      <c r="CJ415" s="989" t="str">
        <f t="shared" si="1136"/>
        <v/>
      </c>
      <c r="CK415" s="989" t="str">
        <f t="shared" si="1136"/>
        <v/>
      </c>
      <c r="CL415" s="989" t="str">
        <f t="shared" si="1136"/>
        <v/>
      </c>
      <c r="CM415" s="988" t="str">
        <f t="shared" si="1136"/>
        <v/>
      </c>
      <c r="CN415" s="533" t="str">
        <f t="shared" si="1075"/>
        <v/>
      </c>
      <c r="CO415" s="534" t="str">
        <f t="shared" si="1076"/>
        <v/>
      </c>
      <c r="CP415" s="535" t="str">
        <f t="shared" si="1077"/>
        <v/>
      </c>
      <c r="CQ415" s="535" t="str">
        <f t="shared" si="1078"/>
        <v/>
      </c>
      <c r="CR415" s="535" t="str">
        <f t="shared" si="1079"/>
        <v/>
      </c>
      <c r="CS415" s="535" t="str">
        <f t="shared" si="1080"/>
        <v/>
      </c>
      <c r="CT415" s="535" t="str">
        <f t="shared" si="1081"/>
        <v/>
      </c>
      <c r="CU415" s="536" t="str">
        <f t="shared" si="1082"/>
        <v/>
      </c>
      <c r="CV415" s="536" t="str">
        <f t="shared" si="1083"/>
        <v/>
      </c>
      <c r="CW415" s="536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5" t="str">
        <f t="shared" si="1087"/>
        <v/>
      </c>
      <c r="DA415" s="535" t="str">
        <f t="shared" si="1088"/>
        <v/>
      </c>
      <c r="DB415" s="535" t="str">
        <f t="shared" si="1089"/>
        <v/>
      </c>
      <c r="DC415" s="534" t="str">
        <f t="shared" si="1090"/>
        <v/>
      </c>
      <c r="DD415" s="533" t="str">
        <f t="shared" si="1091"/>
        <v/>
      </c>
      <c r="DE415" s="635">
        <f t="shared" si="1092"/>
        <v>0</v>
      </c>
      <c r="DF415" s="95">
        <f t="shared" si="1093"/>
        <v>0</v>
      </c>
      <c r="DG415" s="95">
        <f t="shared" si="1094"/>
        <v>0</v>
      </c>
      <c r="DH415" s="95">
        <f t="shared" si="1095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070"/>
        <v/>
      </c>
      <c r="CA416" s="582" t="str">
        <f t="shared" si="1071"/>
        <v/>
      </c>
      <c r="CB416" s="582" t="str">
        <f t="shared" si="1072"/>
        <v/>
      </c>
      <c r="CC416" s="670" t="str">
        <f t="shared" si="1073"/>
        <v/>
      </c>
      <c r="CD416" s="988" t="str">
        <f t="shared" si="1108"/>
        <v/>
      </c>
      <c r="CE416" s="989" t="str">
        <f t="shared" si="1136"/>
        <v/>
      </c>
      <c r="CF416" s="989" t="str">
        <f t="shared" si="1136"/>
        <v/>
      </c>
      <c r="CG416" s="989" t="str">
        <f t="shared" si="1136"/>
        <v/>
      </c>
      <c r="CH416" s="990" t="str">
        <f t="shared" si="1136"/>
        <v/>
      </c>
      <c r="CI416" s="990" t="str">
        <f t="shared" si="1136"/>
        <v/>
      </c>
      <c r="CJ416" s="989" t="str">
        <f t="shared" si="1136"/>
        <v/>
      </c>
      <c r="CK416" s="989" t="str">
        <f t="shared" si="1136"/>
        <v/>
      </c>
      <c r="CL416" s="989" t="str">
        <f t="shared" si="1136"/>
        <v/>
      </c>
      <c r="CM416" s="988" t="str">
        <f t="shared" si="1136"/>
        <v/>
      </c>
      <c r="CN416" s="533" t="str">
        <f t="shared" si="1075"/>
        <v/>
      </c>
      <c r="CO416" s="534" t="str">
        <f t="shared" si="1076"/>
        <v/>
      </c>
      <c r="CP416" s="535" t="str">
        <f t="shared" si="1077"/>
        <v/>
      </c>
      <c r="CQ416" s="535" t="str">
        <f t="shared" si="1078"/>
        <v/>
      </c>
      <c r="CR416" s="535" t="str">
        <f t="shared" si="1079"/>
        <v/>
      </c>
      <c r="CS416" s="535" t="str">
        <f t="shared" si="1080"/>
        <v/>
      </c>
      <c r="CT416" s="535" t="str">
        <f t="shared" si="1081"/>
        <v/>
      </c>
      <c r="CU416" s="536" t="str">
        <f t="shared" si="1082"/>
        <v/>
      </c>
      <c r="CV416" s="536" t="str">
        <f t="shared" si="1083"/>
        <v/>
      </c>
      <c r="CW416" s="536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5" t="str">
        <f t="shared" si="1087"/>
        <v/>
      </c>
      <c r="DA416" s="535" t="str">
        <f t="shared" si="1088"/>
        <v/>
      </c>
      <c r="DB416" s="535" t="str">
        <f t="shared" si="1089"/>
        <v/>
      </c>
      <c r="DC416" s="534" t="str">
        <f t="shared" si="1090"/>
        <v/>
      </c>
      <c r="DD416" s="533" t="str">
        <f t="shared" si="1091"/>
        <v/>
      </c>
      <c r="DE416" s="635">
        <f t="shared" si="1092"/>
        <v>0</v>
      </c>
      <c r="DF416" s="95">
        <f t="shared" si="1093"/>
        <v>0</v>
      </c>
      <c r="DG416" s="95">
        <f t="shared" si="1094"/>
        <v>0</v>
      </c>
      <c r="DH416" s="95">
        <f t="shared" si="1095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070"/>
        <v/>
      </c>
      <c r="CA417" s="582" t="str">
        <f t="shared" si="1071"/>
        <v/>
      </c>
      <c r="CB417" s="582" t="str">
        <f t="shared" si="1072"/>
        <v/>
      </c>
      <c r="CC417" s="670" t="str">
        <f t="shared" si="1073"/>
        <v/>
      </c>
      <c r="CD417" s="988" t="str">
        <f t="shared" si="1108"/>
        <v/>
      </c>
      <c r="CE417" s="989" t="str">
        <f t="shared" si="1136"/>
        <v/>
      </c>
      <c r="CF417" s="989" t="str">
        <f t="shared" si="1136"/>
        <v/>
      </c>
      <c r="CG417" s="989" t="str">
        <f t="shared" si="1136"/>
        <v/>
      </c>
      <c r="CH417" s="990" t="str">
        <f t="shared" si="1136"/>
        <v/>
      </c>
      <c r="CI417" s="990" t="str">
        <f t="shared" si="1136"/>
        <v/>
      </c>
      <c r="CJ417" s="989" t="str">
        <f t="shared" si="1136"/>
        <v/>
      </c>
      <c r="CK417" s="989" t="str">
        <f t="shared" si="1136"/>
        <v/>
      </c>
      <c r="CL417" s="989" t="str">
        <f t="shared" si="1136"/>
        <v/>
      </c>
      <c r="CM417" s="988" t="str">
        <f t="shared" si="1136"/>
        <v/>
      </c>
      <c r="CN417" s="533" t="str">
        <f t="shared" si="1075"/>
        <v/>
      </c>
      <c r="CO417" s="534" t="str">
        <f t="shared" si="1076"/>
        <v/>
      </c>
      <c r="CP417" s="535" t="str">
        <f t="shared" si="1077"/>
        <v/>
      </c>
      <c r="CQ417" s="535" t="str">
        <f t="shared" si="1078"/>
        <v/>
      </c>
      <c r="CR417" s="535" t="str">
        <f t="shared" si="1079"/>
        <v/>
      </c>
      <c r="CS417" s="535" t="str">
        <f t="shared" si="1080"/>
        <v/>
      </c>
      <c r="CT417" s="535" t="str">
        <f t="shared" si="1081"/>
        <v/>
      </c>
      <c r="CU417" s="536" t="str">
        <f t="shared" si="1082"/>
        <v/>
      </c>
      <c r="CV417" s="536" t="str">
        <f t="shared" si="1083"/>
        <v/>
      </c>
      <c r="CW417" s="536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5" t="str">
        <f t="shared" si="1087"/>
        <v/>
      </c>
      <c r="DA417" s="535" t="str">
        <f t="shared" si="1088"/>
        <v/>
      </c>
      <c r="DB417" s="535" t="str">
        <f t="shared" si="1089"/>
        <v/>
      </c>
      <c r="DC417" s="534" t="str">
        <f t="shared" si="1090"/>
        <v/>
      </c>
      <c r="DD417" s="533" t="str">
        <f t="shared" si="1091"/>
        <v/>
      </c>
      <c r="DE417" s="635">
        <f t="shared" si="1092"/>
        <v>0</v>
      </c>
      <c r="DF417" s="95">
        <f t="shared" si="1093"/>
        <v>0</v>
      </c>
      <c r="DG417" s="95">
        <f t="shared" si="1094"/>
        <v>0</v>
      </c>
      <c r="DH417" s="95">
        <f t="shared" si="1095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145">IF(B416="","",B416*B417)</f>
        <v/>
      </c>
      <c r="C418" s="612" t="str">
        <f t="shared" si="1145"/>
        <v/>
      </c>
      <c r="D418" s="612" t="str">
        <f t="shared" si="1145"/>
        <v/>
      </c>
      <c r="E418" s="612" t="str">
        <f t="shared" si="1145"/>
        <v/>
      </c>
      <c r="F418" s="612" t="str">
        <f t="shared" si="1145"/>
        <v/>
      </c>
      <c r="G418" s="612" t="str">
        <f t="shared" si="1145"/>
        <v/>
      </c>
      <c r="H418" s="612" t="str">
        <f t="shared" si="1145"/>
        <v/>
      </c>
      <c r="I418" s="612" t="str">
        <f t="shared" si="1145"/>
        <v/>
      </c>
      <c r="J418" s="612" t="str">
        <f t="shared" si="1145"/>
        <v/>
      </c>
      <c r="K418" s="612" t="str">
        <f t="shared" si="1145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146">IF(T416="","",T416*T417)</f>
        <v/>
      </c>
      <c r="U418" s="612" t="str">
        <f t="shared" si="1146"/>
        <v/>
      </c>
      <c r="V418" s="612" t="str">
        <f t="shared" si="1146"/>
        <v/>
      </c>
      <c r="W418" s="612" t="str">
        <f t="shared" si="1146"/>
        <v/>
      </c>
      <c r="X418" s="612" t="str">
        <f t="shared" si="1146"/>
        <v/>
      </c>
      <c r="Y418" s="612" t="str">
        <f t="shared" si="1146"/>
        <v/>
      </c>
      <c r="Z418" s="612" t="str">
        <f t="shared" si="1146"/>
        <v/>
      </c>
      <c r="AA418" s="612" t="str">
        <f t="shared" si="1146"/>
        <v/>
      </c>
      <c r="AB418" s="612" t="str">
        <f t="shared" si="1146"/>
        <v/>
      </c>
      <c r="AC418" s="612" t="str">
        <f t="shared" si="1146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147">IF(AL416="","",AL416*AL417)</f>
        <v/>
      </c>
      <c r="AM418" s="612" t="str">
        <f t="shared" si="1147"/>
        <v/>
      </c>
      <c r="AN418" s="612" t="str">
        <f t="shared" si="1147"/>
        <v/>
      </c>
      <c r="AO418" s="612" t="str">
        <f t="shared" si="1147"/>
        <v/>
      </c>
      <c r="AP418" s="612" t="str">
        <f t="shared" si="1147"/>
        <v/>
      </c>
      <c r="AQ418" s="612" t="str">
        <f t="shared" si="1147"/>
        <v/>
      </c>
      <c r="AR418" s="612" t="str">
        <f t="shared" si="1147"/>
        <v/>
      </c>
      <c r="AS418" s="612" t="str">
        <f t="shared" si="1147"/>
        <v/>
      </c>
      <c r="AT418" s="612" t="str">
        <f t="shared" si="1147"/>
        <v/>
      </c>
      <c r="AU418" s="612" t="str">
        <f t="shared" si="1147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148">IF(BD416="","",BD416*BD417)</f>
        <v/>
      </c>
      <c r="BE418" s="1201" t="str">
        <f t="shared" si="1148"/>
        <v/>
      </c>
      <c r="BF418" s="1201" t="str">
        <f t="shared" si="1148"/>
        <v/>
      </c>
      <c r="BG418" s="1201" t="str">
        <f t="shared" si="1148"/>
        <v/>
      </c>
      <c r="BH418" s="1201" t="str">
        <f t="shared" si="1148"/>
        <v/>
      </c>
      <c r="BI418" s="1201" t="str">
        <f t="shared" si="1148"/>
        <v/>
      </c>
      <c r="BJ418" s="1201" t="str">
        <f t="shared" si="1148"/>
        <v/>
      </c>
      <c r="BK418" s="1201" t="str">
        <f t="shared" si="1148"/>
        <v/>
      </c>
      <c r="BL418" s="1201" t="str">
        <f t="shared" si="1148"/>
        <v/>
      </c>
      <c r="BM418" s="1201" t="str">
        <f t="shared" si="1148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070"/>
        <v/>
      </c>
      <c r="CA418" s="582" t="str">
        <f t="shared" si="1071"/>
        <v/>
      </c>
      <c r="CB418" s="582" t="str">
        <f t="shared" si="1072"/>
        <v/>
      </c>
      <c r="CC418" s="670" t="str">
        <f t="shared" si="1073"/>
        <v/>
      </c>
      <c r="CD418" s="988" t="str">
        <f t="shared" si="1108"/>
        <v/>
      </c>
      <c r="CE418" s="989" t="str">
        <f t="shared" si="1136"/>
        <v/>
      </c>
      <c r="CF418" s="989" t="str">
        <f t="shared" si="1136"/>
        <v/>
      </c>
      <c r="CG418" s="989" t="str">
        <f t="shared" si="1136"/>
        <v/>
      </c>
      <c r="CH418" s="990" t="str">
        <f t="shared" si="1136"/>
        <v/>
      </c>
      <c r="CI418" s="990" t="str">
        <f t="shared" si="1136"/>
        <v/>
      </c>
      <c r="CJ418" s="989" t="str">
        <f t="shared" si="1136"/>
        <v/>
      </c>
      <c r="CK418" s="989" t="str">
        <f t="shared" si="1136"/>
        <v/>
      </c>
      <c r="CL418" s="989" t="str">
        <f t="shared" si="1136"/>
        <v/>
      </c>
      <c r="CM418" s="988" t="str">
        <f t="shared" si="1136"/>
        <v/>
      </c>
      <c r="CN418" s="533" t="str">
        <f t="shared" si="1075"/>
        <v/>
      </c>
      <c r="CO418" s="534" t="str">
        <f t="shared" si="1076"/>
        <v/>
      </c>
      <c r="CP418" s="535" t="str">
        <f t="shared" si="1077"/>
        <v/>
      </c>
      <c r="CQ418" s="535" t="str">
        <f t="shared" si="1078"/>
        <v/>
      </c>
      <c r="CR418" s="535" t="str">
        <f t="shared" si="1079"/>
        <v/>
      </c>
      <c r="CS418" s="535" t="str">
        <f t="shared" si="1080"/>
        <v/>
      </c>
      <c r="CT418" s="535" t="str">
        <f t="shared" si="1081"/>
        <v/>
      </c>
      <c r="CU418" s="536" t="str">
        <f t="shared" si="1082"/>
        <v/>
      </c>
      <c r="CV418" s="536" t="str">
        <f t="shared" si="1083"/>
        <v/>
      </c>
      <c r="CW418" s="536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5" t="str">
        <f t="shared" si="1087"/>
        <v/>
      </c>
      <c r="DA418" s="535" t="str">
        <f t="shared" si="1088"/>
        <v/>
      </c>
      <c r="DB418" s="535" t="str">
        <f t="shared" si="1089"/>
        <v/>
      </c>
      <c r="DC418" s="534" t="str">
        <f t="shared" si="1090"/>
        <v/>
      </c>
      <c r="DD418" s="533" t="str">
        <f t="shared" si="1091"/>
        <v/>
      </c>
      <c r="DE418" s="635">
        <f t="shared" si="1092"/>
        <v>0</v>
      </c>
      <c r="DF418" s="95">
        <f t="shared" si="1093"/>
        <v>0</v>
      </c>
      <c r="DG418" s="95">
        <f t="shared" si="1094"/>
        <v>0</v>
      </c>
      <c r="DH418" s="95">
        <f t="shared" si="1095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14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149"/>
        <v/>
      </c>
      <c r="CF420" s="989" t="str">
        <f t="shared" si="1149"/>
        <v/>
      </c>
      <c r="CG420" s="989" t="str">
        <f t="shared" si="1149"/>
        <v/>
      </c>
      <c r="CH420" s="990" t="str">
        <f t="shared" si="1149"/>
        <v/>
      </c>
      <c r="CI420" s="990" t="str">
        <f t="shared" si="1149"/>
        <v/>
      </c>
      <c r="CJ420" s="989" t="str">
        <f t="shared" si="1149"/>
        <v/>
      </c>
      <c r="CK420" s="989" t="str">
        <f t="shared" si="1149"/>
        <v/>
      </c>
      <c r="CL420" s="989" t="str">
        <f t="shared" si="1149"/>
        <v/>
      </c>
      <c r="CM420" s="988" t="str">
        <f t="shared" si="1149"/>
        <v/>
      </c>
      <c r="CN420" s="533" t="str">
        <f t="shared" ref="CN420:CW422" si="115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150"/>
        <v/>
      </c>
      <c r="CP420" s="535" t="str">
        <f t="shared" si="1150"/>
        <v/>
      </c>
      <c r="CQ420" s="535" t="str">
        <f t="shared" si="1150"/>
        <v/>
      </c>
      <c r="CR420" s="535" t="str">
        <f t="shared" si="1150"/>
        <v/>
      </c>
      <c r="CS420" s="535" t="str">
        <f t="shared" si="1150"/>
        <v/>
      </c>
      <c r="CT420" s="535" t="str">
        <f t="shared" si="1150"/>
        <v/>
      </c>
      <c r="CU420" s="536" t="str">
        <f t="shared" si="1150"/>
        <v/>
      </c>
      <c r="CV420" s="536" t="str">
        <f t="shared" si="1150"/>
        <v/>
      </c>
      <c r="CW420" s="536" t="str">
        <f t="shared" si="1150"/>
        <v/>
      </c>
      <c r="CX420" s="535" t="str">
        <f t="shared" ref="CX420:DD422" si="115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151"/>
        <v/>
      </c>
      <c r="CZ420" s="535" t="str">
        <f t="shared" si="1151"/>
        <v/>
      </c>
      <c r="DA420" s="535" t="str">
        <f t="shared" si="1151"/>
        <v/>
      </c>
      <c r="DB420" s="535" t="str">
        <f t="shared" si="1151"/>
        <v/>
      </c>
      <c r="DC420" s="534" t="str">
        <f t="shared" si="1151"/>
        <v/>
      </c>
      <c r="DD420" s="533" t="str">
        <f t="shared" si="1151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15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152"/>
        <v/>
      </c>
      <c r="CG421" s="989" t="str">
        <f t="shared" si="1152"/>
        <v/>
      </c>
      <c r="CH421" s="990" t="str">
        <f t="shared" si="1152"/>
        <v/>
      </c>
      <c r="CI421" s="990" t="str">
        <f t="shared" si="1152"/>
        <v/>
      </c>
      <c r="CJ421" s="989" t="str">
        <f t="shared" si="1152"/>
        <v/>
      </c>
      <c r="CK421" s="989" t="str">
        <f t="shared" si="1152"/>
        <v/>
      </c>
      <c r="CL421" s="989" t="str">
        <f t="shared" si="1152"/>
        <v/>
      </c>
      <c r="CM421" s="988" t="str">
        <f t="shared" si="1152"/>
        <v/>
      </c>
      <c r="CN421" s="533" t="str">
        <f t="shared" si="1150"/>
        <v/>
      </c>
      <c r="CO421" s="534" t="str">
        <f t="shared" si="1150"/>
        <v/>
      </c>
      <c r="CP421" s="535" t="str">
        <f t="shared" si="1150"/>
        <v/>
      </c>
      <c r="CQ421" s="535" t="str">
        <f t="shared" si="1150"/>
        <v/>
      </c>
      <c r="CR421" s="535" t="str">
        <f t="shared" si="1150"/>
        <v/>
      </c>
      <c r="CS421" s="535" t="str">
        <f t="shared" si="1150"/>
        <v/>
      </c>
      <c r="CT421" s="535" t="str">
        <f t="shared" si="1150"/>
        <v/>
      </c>
      <c r="CU421" s="536" t="str">
        <f t="shared" si="1150"/>
        <v/>
      </c>
      <c r="CV421" s="536" t="str">
        <f t="shared" si="1150"/>
        <v/>
      </c>
      <c r="CW421" s="536" t="str">
        <f t="shared" si="1150"/>
        <v/>
      </c>
      <c r="CX421" s="535" t="str">
        <f t="shared" si="1151"/>
        <v/>
      </c>
      <c r="CY421" s="535" t="str">
        <f t="shared" si="1151"/>
        <v/>
      </c>
      <c r="CZ421" s="535" t="str">
        <f t="shared" si="1151"/>
        <v/>
      </c>
      <c r="DA421" s="535" t="str">
        <f t="shared" si="1151"/>
        <v/>
      </c>
      <c r="DB421" s="535" t="str">
        <f t="shared" si="1151"/>
        <v/>
      </c>
      <c r="DC421" s="534" t="str">
        <f t="shared" si="1151"/>
        <v/>
      </c>
      <c r="DD421" s="533" t="str">
        <f t="shared" si="1151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153">IF(B420="","",B420*B421)</f>
        <v/>
      </c>
      <c r="C422" s="612" t="str">
        <f t="shared" si="1153"/>
        <v/>
      </c>
      <c r="D422" s="612" t="str">
        <f t="shared" si="1153"/>
        <v/>
      </c>
      <c r="E422" s="612" t="str">
        <f t="shared" si="1153"/>
        <v/>
      </c>
      <c r="F422" s="612" t="str">
        <f t="shared" si="1153"/>
        <v/>
      </c>
      <c r="G422" s="612" t="str">
        <f t="shared" si="1153"/>
        <v/>
      </c>
      <c r="H422" s="612" t="str">
        <f t="shared" si="1153"/>
        <v/>
      </c>
      <c r="I422" s="612" t="str">
        <f t="shared" si="1153"/>
        <v/>
      </c>
      <c r="J422" s="612" t="str">
        <f t="shared" si="1153"/>
        <v/>
      </c>
      <c r="K422" s="612" t="str">
        <f t="shared" si="1153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154">IF(T420="","",T420*T421)</f>
        <v/>
      </c>
      <c r="U422" s="612" t="str">
        <f t="shared" si="1154"/>
        <v/>
      </c>
      <c r="V422" s="612" t="str">
        <f t="shared" si="1154"/>
        <v/>
      </c>
      <c r="W422" s="612" t="str">
        <f t="shared" si="1154"/>
        <v/>
      </c>
      <c r="X422" s="612" t="str">
        <f t="shared" si="1154"/>
        <v/>
      </c>
      <c r="Y422" s="612" t="str">
        <f t="shared" si="1154"/>
        <v/>
      </c>
      <c r="Z422" s="612" t="str">
        <f t="shared" si="1154"/>
        <v/>
      </c>
      <c r="AA422" s="612" t="str">
        <f t="shared" si="1154"/>
        <v/>
      </c>
      <c r="AB422" s="612" t="str">
        <f t="shared" si="1154"/>
        <v/>
      </c>
      <c r="AC422" s="612" t="str">
        <f t="shared" si="1154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155">IF(AL420="","",AL420*AL421)</f>
        <v/>
      </c>
      <c r="AM422" s="612" t="str">
        <f t="shared" si="1155"/>
        <v/>
      </c>
      <c r="AN422" s="612" t="str">
        <f t="shared" si="1155"/>
        <v/>
      </c>
      <c r="AO422" s="612" t="str">
        <f t="shared" si="1155"/>
        <v/>
      </c>
      <c r="AP422" s="612" t="str">
        <f t="shared" si="1155"/>
        <v/>
      </c>
      <c r="AQ422" s="612" t="str">
        <f t="shared" si="1155"/>
        <v/>
      </c>
      <c r="AR422" s="612" t="str">
        <f t="shared" si="1155"/>
        <v/>
      </c>
      <c r="AS422" s="612" t="str">
        <f t="shared" si="1155"/>
        <v/>
      </c>
      <c r="AT422" s="612" t="str">
        <f t="shared" si="1155"/>
        <v/>
      </c>
      <c r="AU422" s="612" t="str">
        <f t="shared" si="1155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156">IF(BD420="","",BD420*BD421)</f>
        <v/>
      </c>
      <c r="BE422" s="1201" t="str">
        <f t="shared" si="1156"/>
        <v/>
      </c>
      <c r="BF422" s="1201" t="str">
        <f t="shared" si="1156"/>
        <v/>
      </c>
      <c r="BG422" s="1201" t="str">
        <f t="shared" si="1156"/>
        <v/>
      </c>
      <c r="BH422" s="1201" t="str">
        <f t="shared" si="1156"/>
        <v/>
      </c>
      <c r="BI422" s="1201" t="str">
        <f t="shared" si="1156"/>
        <v/>
      </c>
      <c r="BJ422" s="1201" t="str">
        <f t="shared" si="1156"/>
        <v/>
      </c>
      <c r="BK422" s="1201" t="str">
        <f t="shared" si="1156"/>
        <v/>
      </c>
      <c r="BL422" s="1201" t="str">
        <f t="shared" si="1156"/>
        <v/>
      </c>
      <c r="BM422" s="1201" t="str">
        <f t="shared" si="1156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152"/>
        <v/>
      </c>
      <c r="CF422" s="989" t="str">
        <f t="shared" si="1152"/>
        <v/>
      </c>
      <c r="CG422" s="989" t="str">
        <f t="shared" si="1152"/>
        <v/>
      </c>
      <c r="CH422" s="990" t="str">
        <f t="shared" si="1152"/>
        <v/>
      </c>
      <c r="CI422" s="990" t="str">
        <f t="shared" si="1152"/>
        <v/>
      </c>
      <c r="CJ422" s="989" t="str">
        <f t="shared" si="1152"/>
        <v/>
      </c>
      <c r="CK422" s="989" t="str">
        <f t="shared" si="1152"/>
        <v/>
      </c>
      <c r="CL422" s="989" t="str">
        <f t="shared" si="1152"/>
        <v/>
      </c>
      <c r="CM422" s="988" t="str">
        <f t="shared" si="1152"/>
        <v/>
      </c>
      <c r="CN422" s="533" t="str">
        <f t="shared" si="1150"/>
        <v/>
      </c>
      <c r="CO422" s="534" t="str">
        <f t="shared" si="1150"/>
        <v/>
      </c>
      <c r="CP422" s="535" t="str">
        <f t="shared" si="1150"/>
        <v/>
      </c>
      <c r="CQ422" s="535" t="str">
        <f t="shared" si="1150"/>
        <v/>
      </c>
      <c r="CR422" s="535" t="str">
        <f t="shared" si="1150"/>
        <v/>
      </c>
      <c r="CS422" s="535" t="str">
        <f t="shared" si="1150"/>
        <v/>
      </c>
      <c r="CT422" s="535" t="str">
        <f t="shared" si="1150"/>
        <v/>
      </c>
      <c r="CU422" s="536" t="str">
        <f t="shared" si="1150"/>
        <v/>
      </c>
      <c r="CV422" s="536" t="str">
        <f t="shared" si="1150"/>
        <v/>
      </c>
      <c r="CW422" s="536" t="str">
        <f t="shared" si="1150"/>
        <v/>
      </c>
      <c r="CX422" s="535" t="str">
        <f t="shared" si="1151"/>
        <v/>
      </c>
      <c r="CY422" s="535" t="str">
        <f t="shared" si="1151"/>
        <v/>
      </c>
      <c r="CZ422" s="535" t="str">
        <f t="shared" si="1151"/>
        <v/>
      </c>
      <c r="DA422" s="535" t="str">
        <f t="shared" si="1151"/>
        <v/>
      </c>
      <c r="DB422" s="535" t="str">
        <f t="shared" si="1151"/>
        <v/>
      </c>
      <c r="DC422" s="534" t="str">
        <f t="shared" si="1151"/>
        <v/>
      </c>
      <c r="DD422" s="533" t="str">
        <f t="shared" si="1151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15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157"/>
        <v/>
      </c>
      <c r="CG424" s="989" t="str">
        <f t="shared" si="1157"/>
        <v/>
      </c>
      <c r="CH424" s="990" t="str">
        <f t="shared" si="1157"/>
        <v/>
      </c>
      <c r="CI424" s="990" t="str">
        <f t="shared" si="1157"/>
        <v/>
      </c>
      <c r="CJ424" s="989" t="str">
        <f t="shared" si="1157"/>
        <v/>
      </c>
      <c r="CK424" s="989" t="str">
        <f t="shared" si="1157"/>
        <v/>
      </c>
      <c r="CL424" s="989" t="str">
        <f t="shared" si="1157"/>
        <v/>
      </c>
      <c r="CM424" s="988" t="str">
        <f t="shared" si="1157"/>
        <v/>
      </c>
      <c r="CN424" s="533" t="str">
        <f t="shared" ref="CN424:CW426" si="115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158"/>
        <v/>
      </c>
      <c r="CP424" s="535" t="str">
        <f t="shared" si="1158"/>
        <v/>
      </c>
      <c r="CQ424" s="535" t="str">
        <f t="shared" si="1158"/>
        <v/>
      </c>
      <c r="CR424" s="535" t="str">
        <f t="shared" si="1158"/>
        <v/>
      </c>
      <c r="CS424" s="535" t="str">
        <f t="shared" si="1158"/>
        <v/>
      </c>
      <c r="CT424" s="535" t="str">
        <f t="shared" si="1158"/>
        <v/>
      </c>
      <c r="CU424" s="536" t="str">
        <f t="shared" si="1158"/>
        <v/>
      </c>
      <c r="CV424" s="536" t="str">
        <f t="shared" si="1158"/>
        <v/>
      </c>
      <c r="CW424" s="536" t="str">
        <f t="shared" si="1158"/>
        <v/>
      </c>
      <c r="CX424" s="535" t="str">
        <f t="shared" ref="CX424:DD426" si="115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159"/>
        <v/>
      </c>
      <c r="CZ424" s="535" t="str">
        <f t="shared" si="1159"/>
        <v/>
      </c>
      <c r="DA424" s="535" t="str">
        <f t="shared" si="1159"/>
        <v/>
      </c>
      <c r="DB424" s="535" t="str">
        <f t="shared" si="1159"/>
        <v/>
      </c>
      <c r="DC424" s="534" t="str">
        <f t="shared" si="1159"/>
        <v/>
      </c>
      <c r="DD424" s="533" t="str">
        <f t="shared" si="1159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157"/>
        <v/>
      </c>
      <c r="CF425" s="989" t="str">
        <f t="shared" si="1157"/>
        <v/>
      </c>
      <c r="CG425" s="989" t="str">
        <f t="shared" si="1157"/>
        <v/>
      </c>
      <c r="CH425" s="990" t="str">
        <f t="shared" si="1157"/>
        <v/>
      </c>
      <c r="CI425" s="990" t="str">
        <f t="shared" si="1157"/>
        <v/>
      </c>
      <c r="CJ425" s="989" t="str">
        <f t="shared" si="1157"/>
        <v/>
      </c>
      <c r="CK425" s="989" t="str">
        <f t="shared" si="1157"/>
        <v/>
      </c>
      <c r="CL425" s="989" t="str">
        <f t="shared" si="1157"/>
        <v/>
      </c>
      <c r="CM425" s="988" t="str">
        <f t="shared" si="1157"/>
        <v/>
      </c>
      <c r="CN425" s="533" t="str">
        <f t="shared" si="1158"/>
        <v/>
      </c>
      <c r="CO425" s="534" t="str">
        <f t="shared" si="1158"/>
        <v/>
      </c>
      <c r="CP425" s="535" t="str">
        <f t="shared" si="1158"/>
        <v/>
      </c>
      <c r="CQ425" s="535" t="str">
        <f t="shared" si="1158"/>
        <v/>
      </c>
      <c r="CR425" s="535" t="str">
        <f t="shared" si="1158"/>
        <v/>
      </c>
      <c r="CS425" s="535" t="str">
        <f t="shared" si="1158"/>
        <v/>
      </c>
      <c r="CT425" s="535" t="str">
        <f t="shared" si="1158"/>
        <v/>
      </c>
      <c r="CU425" s="536" t="str">
        <f t="shared" si="1158"/>
        <v/>
      </c>
      <c r="CV425" s="536" t="str">
        <f t="shared" si="1158"/>
        <v/>
      </c>
      <c r="CW425" s="536" t="str">
        <f t="shared" si="1158"/>
        <v/>
      </c>
      <c r="CX425" s="535" t="str">
        <f t="shared" si="1159"/>
        <v/>
      </c>
      <c r="CY425" s="535" t="str">
        <f t="shared" si="1159"/>
        <v/>
      </c>
      <c r="CZ425" s="535" t="str">
        <f t="shared" si="1159"/>
        <v/>
      </c>
      <c r="DA425" s="535" t="str">
        <f t="shared" si="1159"/>
        <v/>
      </c>
      <c r="DB425" s="535" t="str">
        <f t="shared" si="1159"/>
        <v/>
      </c>
      <c r="DC425" s="534" t="str">
        <f t="shared" si="1159"/>
        <v/>
      </c>
      <c r="DD425" s="533" t="str">
        <f t="shared" si="1159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160">IF(B424="","",B424*B425)</f>
        <v/>
      </c>
      <c r="C426" s="612" t="str">
        <f t="shared" si="1160"/>
        <v/>
      </c>
      <c r="D426" s="612" t="str">
        <f t="shared" si="1160"/>
        <v/>
      </c>
      <c r="E426" s="612" t="str">
        <f t="shared" si="1160"/>
        <v/>
      </c>
      <c r="F426" s="612" t="str">
        <f t="shared" si="1160"/>
        <v/>
      </c>
      <c r="G426" s="612" t="str">
        <f t="shared" si="1160"/>
        <v/>
      </c>
      <c r="H426" s="612" t="str">
        <f t="shared" si="1160"/>
        <v/>
      </c>
      <c r="I426" s="612" t="str">
        <f t="shared" si="1160"/>
        <v/>
      </c>
      <c r="J426" s="612" t="str">
        <f t="shared" si="1160"/>
        <v/>
      </c>
      <c r="K426" s="612" t="str">
        <f t="shared" si="1160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161">IF(T424="","",T424*T425)</f>
        <v/>
      </c>
      <c r="U426" s="612" t="str">
        <f t="shared" si="1161"/>
        <v/>
      </c>
      <c r="V426" s="612" t="str">
        <f t="shared" si="1161"/>
        <v/>
      </c>
      <c r="W426" s="612" t="str">
        <f t="shared" si="1161"/>
        <v/>
      </c>
      <c r="X426" s="612" t="str">
        <f t="shared" si="1161"/>
        <v/>
      </c>
      <c r="Y426" s="612" t="str">
        <f t="shared" si="1161"/>
        <v/>
      </c>
      <c r="Z426" s="612" t="str">
        <f t="shared" si="1161"/>
        <v/>
      </c>
      <c r="AA426" s="612" t="str">
        <f t="shared" si="1161"/>
        <v/>
      </c>
      <c r="AB426" s="612" t="str">
        <f t="shared" si="1161"/>
        <v/>
      </c>
      <c r="AC426" s="612" t="str">
        <f t="shared" si="1161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162">IF(AL424="","",AL424*AL425)</f>
        <v/>
      </c>
      <c r="AM426" s="612" t="str">
        <f t="shared" si="1162"/>
        <v/>
      </c>
      <c r="AN426" s="612" t="str">
        <f t="shared" si="1162"/>
        <v/>
      </c>
      <c r="AO426" s="612" t="str">
        <f t="shared" si="1162"/>
        <v/>
      </c>
      <c r="AP426" s="612" t="str">
        <f t="shared" si="1162"/>
        <v/>
      </c>
      <c r="AQ426" s="612" t="str">
        <f t="shared" si="1162"/>
        <v/>
      </c>
      <c r="AR426" s="612" t="str">
        <f t="shared" si="1162"/>
        <v/>
      </c>
      <c r="AS426" s="612" t="str">
        <f t="shared" si="1162"/>
        <v/>
      </c>
      <c r="AT426" s="612" t="str">
        <f t="shared" si="1162"/>
        <v/>
      </c>
      <c r="AU426" s="612" t="str">
        <f t="shared" si="1162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163">IF(BD424="","",BD424*BD425)</f>
        <v/>
      </c>
      <c r="BE426" s="1201" t="str">
        <f t="shared" si="1163"/>
        <v/>
      </c>
      <c r="BF426" s="1201" t="str">
        <f t="shared" si="1163"/>
        <v/>
      </c>
      <c r="BG426" s="1201" t="str">
        <f t="shared" si="1163"/>
        <v/>
      </c>
      <c r="BH426" s="1201" t="str">
        <f t="shared" si="1163"/>
        <v/>
      </c>
      <c r="BI426" s="1201" t="str">
        <f t="shared" si="1163"/>
        <v/>
      </c>
      <c r="BJ426" s="1201" t="str">
        <f t="shared" si="1163"/>
        <v/>
      </c>
      <c r="BK426" s="1201" t="str">
        <f t="shared" si="1163"/>
        <v/>
      </c>
      <c r="BL426" s="1201" t="str">
        <f t="shared" si="1163"/>
        <v/>
      </c>
      <c r="BM426" s="1201" t="str">
        <f t="shared" si="1163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157"/>
        <v/>
      </c>
      <c r="CF426" s="989" t="str">
        <f t="shared" si="1157"/>
        <v/>
      </c>
      <c r="CG426" s="989" t="str">
        <f t="shared" si="1157"/>
        <v/>
      </c>
      <c r="CH426" s="990" t="str">
        <f t="shared" si="1157"/>
        <v/>
      </c>
      <c r="CI426" s="990" t="str">
        <f t="shared" si="1157"/>
        <v/>
      </c>
      <c r="CJ426" s="989" t="str">
        <f t="shared" si="1157"/>
        <v/>
      </c>
      <c r="CK426" s="989" t="str">
        <f t="shared" si="1157"/>
        <v/>
      </c>
      <c r="CL426" s="989" t="str">
        <f t="shared" si="1157"/>
        <v/>
      </c>
      <c r="CM426" s="988" t="str">
        <f t="shared" si="1157"/>
        <v/>
      </c>
      <c r="CN426" s="533" t="str">
        <f t="shared" si="1158"/>
        <v/>
      </c>
      <c r="CO426" s="534" t="str">
        <f t="shared" si="1158"/>
        <v/>
      </c>
      <c r="CP426" s="535" t="str">
        <f t="shared" si="1158"/>
        <v/>
      </c>
      <c r="CQ426" s="535" t="str">
        <f t="shared" si="1158"/>
        <v/>
      </c>
      <c r="CR426" s="535" t="str">
        <f t="shared" si="1158"/>
        <v/>
      </c>
      <c r="CS426" s="535" t="str">
        <f t="shared" si="1158"/>
        <v/>
      </c>
      <c r="CT426" s="535" t="str">
        <f t="shared" si="1158"/>
        <v/>
      </c>
      <c r="CU426" s="536" t="str">
        <f t="shared" si="1158"/>
        <v/>
      </c>
      <c r="CV426" s="536" t="str">
        <f t="shared" si="1158"/>
        <v/>
      </c>
      <c r="CW426" s="536" t="str">
        <f t="shared" si="1158"/>
        <v/>
      </c>
      <c r="CX426" s="535" t="str">
        <f t="shared" si="1159"/>
        <v/>
      </c>
      <c r="CY426" s="535" t="str">
        <f t="shared" si="1159"/>
        <v/>
      </c>
      <c r="CZ426" s="535" t="str">
        <f t="shared" si="1159"/>
        <v/>
      </c>
      <c r="DA426" s="535" t="str">
        <f t="shared" si="1159"/>
        <v/>
      </c>
      <c r="DB426" s="535" t="str">
        <f t="shared" si="1159"/>
        <v/>
      </c>
      <c r="DC426" s="534" t="str">
        <f t="shared" si="1159"/>
        <v/>
      </c>
      <c r="DD426" s="533" t="str">
        <f t="shared" si="1159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164">IF(DE430&lt;3,"",(SUM(B430:R430)-MIN(B430:R430)-MAX(B430:R430))/(DE430-2))</f>
        <v/>
      </c>
      <c r="CA430" s="582" t="str">
        <f t="shared" ref="CA430:CA438" si="1165">IF(DF430&lt;3,"",(SUM(T430:AJ430)-MIN(T430:AJ430)-MAX(T430:AJ430))/(DF430-2))</f>
        <v/>
      </c>
      <c r="CB430" s="582" t="str">
        <f t="shared" ref="CB430:CB438" si="1166">IF(DG430&lt;3,"",(SUM(AL430:BB430)-MIN(AL430:BB430)-MAX(AL430:BB430))/(DG430-2))</f>
        <v/>
      </c>
      <c r="CC430" s="670" t="str">
        <f t="shared" ref="CC430:CC438" si="1167">IF(DH430&lt;3,"",(SUM(BD430:BT430)-MIN(BD430:BT430)-MAX(BD430:BT430))/(DH430-2))</f>
        <v/>
      </c>
      <c r="CD430" s="988" t="str">
        <f t="shared" ref="CD430:CD436" si="116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16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17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17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17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17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17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17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17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17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17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17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8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18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18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18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18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8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18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18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8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8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19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19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19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19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195">IF(B428="","",B428*B430)</f>
        <v/>
      </c>
      <c r="C431" s="612" t="str">
        <f t="shared" si="1195"/>
        <v/>
      </c>
      <c r="D431" s="612" t="str">
        <f t="shared" si="1195"/>
        <v/>
      </c>
      <c r="E431" s="612" t="str">
        <f t="shared" si="1195"/>
        <v/>
      </c>
      <c r="F431" s="612" t="str">
        <f t="shared" si="1195"/>
        <v/>
      </c>
      <c r="G431" s="612" t="str">
        <f t="shared" si="1195"/>
        <v/>
      </c>
      <c r="H431" s="612" t="str">
        <f t="shared" si="1195"/>
        <v/>
      </c>
      <c r="I431" s="612" t="str">
        <f t="shared" si="1195"/>
        <v/>
      </c>
      <c r="J431" s="612" t="str">
        <f t="shared" si="1195"/>
        <v/>
      </c>
      <c r="K431" s="612" t="str">
        <f t="shared" si="1195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196">IF(T428="","",T428*T430)</f>
        <v/>
      </c>
      <c r="U431" s="612" t="str">
        <f t="shared" si="1196"/>
        <v/>
      </c>
      <c r="V431" s="612" t="str">
        <f t="shared" si="1196"/>
        <v/>
      </c>
      <c r="W431" s="612" t="str">
        <f t="shared" si="1196"/>
        <v/>
      </c>
      <c r="X431" s="612" t="str">
        <f t="shared" si="1196"/>
        <v/>
      </c>
      <c r="Y431" s="612" t="str">
        <f t="shared" si="1196"/>
        <v/>
      </c>
      <c r="Z431" s="612" t="str">
        <f t="shared" si="1196"/>
        <v/>
      </c>
      <c r="AA431" s="612" t="str">
        <f t="shared" si="1196"/>
        <v/>
      </c>
      <c r="AB431" s="612" t="str">
        <f t="shared" si="1196"/>
        <v/>
      </c>
      <c r="AC431" s="612" t="str">
        <f t="shared" si="1196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197">IF(AL428="","",AL428*AL430)</f>
        <v/>
      </c>
      <c r="AM431" s="612" t="str">
        <f t="shared" si="1197"/>
        <v/>
      </c>
      <c r="AN431" s="612" t="str">
        <f t="shared" si="1197"/>
        <v/>
      </c>
      <c r="AO431" s="612" t="str">
        <f t="shared" si="1197"/>
        <v/>
      </c>
      <c r="AP431" s="612" t="str">
        <f t="shared" si="1197"/>
        <v/>
      </c>
      <c r="AQ431" s="612" t="str">
        <f t="shared" si="1197"/>
        <v/>
      </c>
      <c r="AR431" s="612" t="str">
        <f t="shared" si="1197"/>
        <v/>
      </c>
      <c r="AS431" s="612" t="str">
        <f t="shared" si="1197"/>
        <v/>
      </c>
      <c r="AT431" s="612" t="str">
        <f t="shared" si="1197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164"/>
        <v/>
      </c>
      <c r="CA431" s="582" t="str">
        <f t="shared" si="1165"/>
        <v/>
      </c>
      <c r="CB431" s="582" t="str">
        <f t="shared" si="1166"/>
        <v/>
      </c>
      <c r="CC431" s="670" t="str">
        <f t="shared" si="1167"/>
        <v/>
      </c>
      <c r="CD431" s="988" t="str">
        <f t="shared" si="1168"/>
        <v/>
      </c>
      <c r="CE431" s="989" t="str">
        <f t="shared" si="1169"/>
        <v/>
      </c>
      <c r="CF431" s="989" t="str">
        <f t="shared" si="1170"/>
        <v/>
      </c>
      <c r="CG431" s="989" t="str">
        <f t="shared" si="1171"/>
        <v/>
      </c>
      <c r="CH431" s="990" t="str">
        <f t="shared" si="1172"/>
        <v/>
      </c>
      <c r="CI431" s="990" t="str">
        <f t="shared" si="1173"/>
        <v/>
      </c>
      <c r="CJ431" s="989" t="str">
        <f t="shared" si="1174"/>
        <v/>
      </c>
      <c r="CK431" s="989" t="str">
        <f t="shared" si="1175"/>
        <v/>
      </c>
      <c r="CL431" s="989" t="str">
        <f t="shared" si="1176"/>
        <v/>
      </c>
      <c r="CM431" s="988" t="str">
        <f t="shared" si="1177"/>
        <v/>
      </c>
      <c r="CN431" s="533" t="str">
        <f t="shared" si="1178"/>
        <v/>
      </c>
      <c r="CO431" s="534" t="str">
        <f t="shared" si="1179"/>
        <v/>
      </c>
      <c r="CP431" s="535" t="str">
        <f t="shared" si="1180"/>
        <v/>
      </c>
      <c r="CQ431" s="535" t="str">
        <f t="shared" si="1181"/>
        <v/>
      </c>
      <c r="CR431" s="535" t="str">
        <f t="shared" si="1182"/>
        <v/>
      </c>
      <c r="CS431" s="535" t="str">
        <f t="shared" si="1183"/>
        <v/>
      </c>
      <c r="CT431" s="535" t="str">
        <f t="shared" si="1184"/>
        <v/>
      </c>
      <c r="CU431" s="536" t="str">
        <f t="shared" si="1185"/>
        <v/>
      </c>
      <c r="CV431" s="536" t="str">
        <f t="shared" si="1186"/>
        <v/>
      </c>
      <c r="CW431" s="536" t="str">
        <f t="shared" si="1187"/>
        <v/>
      </c>
      <c r="CX431" s="535" t="str">
        <f t="shared" si="1188"/>
        <v/>
      </c>
      <c r="CY431" s="535" t="str">
        <f t="shared" si="1189"/>
        <v/>
      </c>
      <c r="CZ431" s="535" t="str">
        <f t="shared" si="1190"/>
        <v/>
      </c>
      <c r="DA431" s="535" t="str">
        <f t="shared" si="1191"/>
        <v/>
      </c>
      <c r="DB431" s="535" t="str">
        <f t="shared" si="1192"/>
        <v/>
      </c>
      <c r="DC431" s="534" t="str">
        <f t="shared" si="1193"/>
        <v/>
      </c>
      <c r="DD431" s="533" t="str">
        <f t="shared" si="1194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164"/>
        <v/>
      </c>
      <c r="CA432" s="582" t="str">
        <f t="shared" si="1165"/>
        <v/>
      </c>
      <c r="CB432" s="582" t="str">
        <f t="shared" si="1166"/>
        <v/>
      </c>
      <c r="CC432" s="670" t="str">
        <f t="shared" si="1167"/>
        <v/>
      </c>
      <c r="CD432" s="988" t="str">
        <f t="shared" si="1168"/>
        <v/>
      </c>
      <c r="CE432" s="989" t="str">
        <f t="shared" si="1169"/>
        <v/>
      </c>
      <c r="CF432" s="989" t="str">
        <f t="shared" si="1170"/>
        <v/>
      </c>
      <c r="CG432" s="989" t="str">
        <f t="shared" si="1171"/>
        <v/>
      </c>
      <c r="CH432" s="990" t="str">
        <f t="shared" si="1172"/>
        <v/>
      </c>
      <c r="CI432" s="990" t="str">
        <f t="shared" si="1173"/>
        <v/>
      </c>
      <c r="CJ432" s="989" t="str">
        <f t="shared" si="1174"/>
        <v/>
      </c>
      <c r="CK432" s="989" t="str">
        <f t="shared" si="1175"/>
        <v/>
      </c>
      <c r="CL432" s="989" t="str">
        <f t="shared" si="1176"/>
        <v/>
      </c>
      <c r="CM432" s="988" t="str">
        <f t="shared" si="1177"/>
        <v/>
      </c>
      <c r="CN432" s="533" t="str">
        <f t="shared" si="1178"/>
        <v/>
      </c>
      <c r="CO432" s="534" t="str">
        <f t="shared" si="1179"/>
        <v/>
      </c>
      <c r="CP432" s="535" t="str">
        <f t="shared" si="1180"/>
        <v/>
      </c>
      <c r="CQ432" s="535" t="str">
        <f t="shared" si="1181"/>
        <v/>
      </c>
      <c r="CR432" s="535" t="str">
        <f t="shared" si="1182"/>
        <v/>
      </c>
      <c r="CS432" s="535" t="str">
        <f t="shared" si="1183"/>
        <v/>
      </c>
      <c r="CT432" s="535" t="str">
        <f t="shared" si="1184"/>
        <v/>
      </c>
      <c r="CU432" s="536" t="str">
        <f t="shared" si="1185"/>
        <v/>
      </c>
      <c r="CV432" s="536" t="str">
        <f t="shared" si="1186"/>
        <v/>
      </c>
      <c r="CW432" s="536" t="str">
        <f t="shared" si="1187"/>
        <v/>
      </c>
      <c r="CX432" s="535" t="str">
        <f t="shared" si="1188"/>
        <v/>
      </c>
      <c r="CY432" s="535" t="str">
        <f t="shared" si="1189"/>
        <v/>
      </c>
      <c r="CZ432" s="535" t="str">
        <f t="shared" si="1190"/>
        <v/>
      </c>
      <c r="DA432" s="535" t="str">
        <f t="shared" si="1191"/>
        <v/>
      </c>
      <c r="DB432" s="535" t="str">
        <f t="shared" si="1192"/>
        <v/>
      </c>
      <c r="DC432" s="534" t="str">
        <f t="shared" si="1193"/>
        <v/>
      </c>
      <c r="DD432" s="533" t="str">
        <f t="shared" si="1194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164"/>
        <v/>
      </c>
      <c r="CA433" s="582" t="str">
        <f t="shared" si="1165"/>
        <v/>
      </c>
      <c r="CB433" s="582" t="str">
        <f t="shared" si="1166"/>
        <v/>
      </c>
      <c r="CC433" s="670" t="str">
        <f t="shared" si="1167"/>
        <v/>
      </c>
      <c r="CD433" s="988" t="str">
        <f t="shared" si="1168"/>
        <v/>
      </c>
      <c r="CE433" s="989" t="str">
        <f t="shared" si="1169"/>
        <v/>
      </c>
      <c r="CF433" s="989" t="str">
        <f t="shared" si="1170"/>
        <v/>
      </c>
      <c r="CG433" s="989" t="str">
        <f t="shared" si="1171"/>
        <v/>
      </c>
      <c r="CH433" s="990" t="str">
        <f t="shared" si="1172"/>
        <v/>
      </c>
      <c r="CI433" s="990" t="str">
        <f t="shared" si="1173"/>
        <v/>
      </c>
      <c r="CJ433" s="989" t="str">
        <f t="shared" si="1174"/>
        <v/>
      </c>
      <c r="CK433" s="989" t="str">
        <f t="shared" si="1175"/>
        <v/>
      </c>
      <c r="CL433" s="989" t="str">
        <f t="shared" si="1176"/>
        <v/>
      </c>
      <c r="CM433" s="988" t="str">
        <f t="shared" si="1177"/>
        <v/>
      </c>
      <c r="CN433" s="533" t="str">
        <f t="shared" si="1178"/>
        <v/>
      </c>
      <c r="CO433" s="534" t="str">
        <f t="shared" si="1179"/>
        <v/>
      </c>
      <c r="CP433" s="535" t="str">
        <f t="shared" si="1180"/>
        <v/>
      </c>
      <c r="CQ433" s="535" t="str">
        <f t="shared" si="1181"/>
        <v/>
      </c>
      <c r="CR433" s="535" t="str">
        <f t="shared" si="1182"/>
        <v/>
      </c>
      <c r="CS433" s="535" t="str">
        <f t="shared" si="1183"/>
        <v/>
      </c>
      <c r="CT433" s="535" t="str">
        <f t="shared" si="1184"/>
        <v/>
      </c>
      <c r="CU433" s="536" t="str">
        <f t="shared" si="1185"/>
        <v/>
      </c>
      <c r="CV433" s="536" t="str">
        <f t="shared" si="1186"/>
        <v/>
      </c>
      <c r="CW433" s="536" t="str">
        <f t="shared" si="1187"/>
        <v/>
      </c>
      <c r="CX433" s="535" t="str">
        <f t="shared" si="1188"/>
        <v/>
      </c>
      <c r="CY433" s="535" t="str">
        <f t="shared" si="1189"/>
        <v/>
      </c>
      <c r="CZ433" s="535" t="str">
        <f t="shared" si="1190"/>
        <v/>
      </c>
      <c r="DA433" s="535" t="str">
        <f t="shared" si="1191"/>
        <v/>
      </c>
      <c r="DB433" s="535" t="str">
        <f t="shared" si="1192"/>
        <v/>
      </c>
      <c r="DC433" s="534" t="str">
        <f t="shared" si="1193"/>
        <v/>
      </c>
      <c r="DD433" s="533" t="str">
        <f t="shared" si="1194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164"/>
        <v/>
      </c>
      <c r="CA434" s="582" t="str">
        <f t="shared" si="1165"/>
        <v/>
      </c>
      <c r="CB434" s="582" t="str">
        <f t="shared" si="1166"/>
        <v/>
      </c>
      <c r="CC434" s="670" t="str">
        <f t="shared" si="1167"/>
        <v/>
      </c>
      <c r="CD434" s="988" t="str">
        <f t="shared" si="1168"/>
        <v/>
      </c>
      <c r="CE434" s="989" t="str">
        <f t="shared" si="1169"/>
        <v/>
      </c>
      <c r="CF434" s="989" t="str">
        <f t="shared" si="1170"/>
        <v/>
      </c>
      <c r="CG434" s="989" t="str">
        <f t="shared" si="1171"/>
        <v/>
      </c>
      <c r="CH434" s="990" t="str">
        <f t="shared" si="1172"/>
        <v/>
      </c>
      <c r="CI434" s="990" t="str">
        <f t="shared" si="1173"/>
        <v/>
      </c>
      <c r="CJ434" s="989" t="str">
        <f t="shared" si="1174"/>
        <v/>
      </c>
      <c r="CK434" s="989" t="str">
        <f t="shared" si="1175"/>
        <v/>
      </c>
      <c r="CL434" s="989" t="str">
        <f t="shared" si="1176"/>
        <v/>
      </c>
      <c r="CM434" s="988" t="str">
        <f t="shared" si="1177"/>
        <v/>
      </c>
      <c r="CN434" s="533" t="str">
        <f t="shared" si="1178"/>
        <v/>
      </c>
      <c r="CO434" s="534" t="str">
        <f t="shared" si="1179"/>
        <v/>
      </c>
      <c r="CP434" s="535" t="str">
        <f t="shared" si="1180"/>
        <v/>
      </c>
      <c r="CQ434" s="535" t="str">
        <f t="shared" si="1181"/>
        <v/>
      </c>
      <c r="CR434" s="535" t="str">
        <f t="shared" si="1182"/>
        <v/>
      </c>
      <c r="CS434" s="535" t="str">
        <f t="shared" si="1183"/>
        <v/>
      </c>
      <c r="CT434" s="535" t="str">
        <f t="shared" si="1184"/>
        <v/>
      </c>
      <c r="CU434" s="536" t="str">
        <f t="shared" si="1185"/>
        <v/>
      </c>
      <c r="CV434" s="536" t="str">
        <f t="shared" si="1186"/>
        <v/>
      </c>
      <c r="CW434" s="536" t="str">
        <f t="shared" si="1187"/>
        <v/>
      </c>
      <c r="CX434" s="535" t="str">
        <f t="shared" si="1188"/>
        <v/>
      </c>
      <c r="CY434" s="535" t="str">
        <f t="shared" si="1189"/>
        <v/>
      </c>
      <c r="CZ434" s="535" t="str">
        <f t="shared" si="1190"/>
        <v/>
      </c>
      <c r="DA434" s="535" t="str">
        <f t="shared" si="1191"/>
        <v/>
      </c>
      <c r="DB434" s="535" t="str">
        <f t="shared" si="1192"/>
        <v/>
      </c>
      <c r="DC434" s="534" t="str">
        <f t="shared" si="1193"/>
        <v/>
      </c>
      <c r="DD434" s="533" t="str">
        <f t="shared" si="1194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164"/>
        <v>0</v>
      </c>
      <c r="CA435" s="582">
        <f t="shared" si="1165"/>
        <v>0</v>
      </c>
      <c r="CB435" s="582">
        <f t="shared" si="1166"/>
        <v>0</v>
      </c>
      <c r="CC435" s="670">
        <f t="shared" si="1167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19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198"/>
        <v>0</v>
      </c>
      <c r="CG435" s="989">
        <f t="shared" si="1198"/>
        <v>0</v>
      </c>
      <c r="CH435" s="990">
        <f t="shared" si="1198"/>
        <v>0</v>
      </c>
      <c r="CI435" s="990">
        <f t="shared" si="1198"/>
        <v>0</v>
      </c>
      <c r="CJ435" s="989">
        <f t="shared" si="1198"/>
        <v>0</v>
      </c>
      <c r="CK435" s="989">
        <f t="shared" si="1198"/>
        <v>0</v>
      </c>
      <c r="CL435" s="989">
        <f t="shared" si="1198"/>
        <v>0</v>
      </c>
      <c r="CM435" s="988">
        <f t="shared" si="1198"/>
        <v>0</v>
      </c>
      <c r="CN435" s="533" t="str">
        <f t="shared" si="1178"/>
        <v/>
      </c>
      <c r="CO435" s="534" t="str">
        <f t="shared" si="1179"/>
        <v/>
      </c>
      <c r="CP435" s="535" t="str">
        <f t="shared" si="1180"/>
        <v/>
      </c>
      <c r="CQ435" s="535" t="str">
        <f t="shared" si="1181"/>
        <v/>
      </c>
      <c r="CR435" s="535">
        <f t="shared" si="1182"/>
        <v>0</v>
      </c>
      <c r="CS435" s="535">
        <f t="shared" si="1183"/>
        <v>0</v>
      </c>
      <c r="CT435" s="535">
        <f t="shared" si="1184"/>
        <v>0</v>
      </c>
      <c r="CU435" s="536">
        <f t="shared" si="1185"/>
        <v>0</v>
      </c>
      <c r="CV435" s="536">
        <f t="shared" si="1186"/>
        <v>0</v>
      </c>
      <c r="CW435" s="536">
        <f t="shared" si="1187"/>
        <v>0</v>
      </c>
      <c r="CX435" s="535">
        <f t="shared" si="1188"/>
        <v>0</v>
      </c>
      <c r="CY435" s="535">
        <f t="shared" si="1189"/>
        <v>0</v>
      </c>
      <c r="CZ435" s="535">
        <f t="shared" si="1190"/>
        <v>0</v>
      </c>
      <c r="DA435" s="535">
        <f t="shared" si="1191"/>
        <v>0</v>
      </c>
      <c r="DB435" s="535" t="str">
        <f t="shared" si="1192"/>
        <v/>
      </c>
      <c r="DC435" s="534" t="str">
        <f t="shared" si="1193"/>
        <v/>
      </c>
      <c r="DD435" s="533" t="str">
        <f t="shared" si="1194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164"/>
        <v/>
      </c>
      <c r="CA436" s="582" t="str">
        <f t="shared" si="1165"/>
        <v/>
      </c>
      <c r="CB436" s="582" t="str">
        <f t="shared" si="1166"/>
        <v/>
      </c>
      <c r="CC436" s="670" t="str">
        <f t="shared" si="1167"/>
        <v/>
      </c>
      <c r="CD436" s="988" t="str">
        <f t="shared" si="1168"/>
        <v/>
      </c>
      <c r="CE436" s="989" t="str">
        <f t="shared" si="1169"/>
        <v/>
      </c>
      <c r="CF436" s="989" t="str">
        <f t="shared" si="1170"/>
        <v/>
      </c>
      <c r="CG436" s="989" t="str">
        <f t="shared" si="1171"/>
        <v/>
      </c>
      <c r="CH436" s="990" t="str">
        <f t="shared" si="1172"/>
        <v/>
      </c>
      <c r="CI436" s="990" t="str">
        <f t="shared" si="1173"/>
        <v/>
      </c>
      <c r="CJ436" s="989" t="str">
        <f t="shared" si="1174"/>
        <v/>
      </c>
      <c r="CK436" s="989" t="str">
        <f t="shared" si="1175"/>
        <v/>
      </c>
      <c r="CL436" s="989" t="str">
        <f t="shared" si="1176"/>
        <v/>
      </c>
      <c r="CM436" s="988" t="str">
        <f t="shared" si="1177"/>
        <v/>
      </c>
      <c r="CN436" s="533" t="str">
        <f t="shared" si="1178"/>
        <v/>
      </c>
      <c r="CO436" s="534" t="str">
        <f t="shared" si="1179"/>
        <v/>
      </c>
      <c r="CP436" s="535" t="str">
        <f t="shared" si="1180"/>
        <v/>
      </c>
      <c r="CQ436" s="535" t="str">
        <f t="shared" si="1181"/>
        <v/>
      </c>
      <c r="CR436" s="535" t="str">
        <f t="shared" si="1182"/>
        <v/>
      </c>
      <c r="CS436" s="535" t="str">
        <f t="shared" si="1183"/>
        <v/>
      </c>
      <c r="CT436" s="535" t="str">
        <f t="shared" si="1184"/>
        <v/>
      </c>
      <c r="CU436" s="536" t="str">
        <f t="shared" si="1185"/>
        <v/>
      </c>
      <c r="CV436" s="536" t="str">
        <f t="shared" si="1186"/>
        <v/>
      </c>
      <c r="CW436" s="536" t="str">
        <f t="shared" si="1187"/>
        <v/>
      </c>
      <c r="CX436" s="535" t="str">
        <f t="shared" si="1188"/>
        <v/>
      </c>
      <c r="CY436" s="535" t="str">
        <f t="shared" si="1189"/>
        <v/>
      </c>
      <c r="CZ436" s="535" t="str">
        <f t="shared" si="1190"/>
        <v/>
      </c>
      <c r="DA436" s="535" t="str">
        <f t="shared" si="1191"/>
        <v/>
      </c>
      <c r="DB436" s="535" t="str">
        <f t="shared" si="1192"/>
        <v/>
      </c>
      <c r="DC436" s="534" t="str">
        <f t="shared" si="1193"/>
        <v/>
      </c>
      <c r="DD436" s="533" t="str">
        <f t="shared" si="1194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164"/>
        <v>0</v>
      </c>
      <c r="CA437" s="607">
        <f t="shared" si="1165"/>
        <v>0</v>
      </c>
      <c r="CB437" s="607">
        <f t="shared" si="1166"/>
        <v>0</v>
      </c>
      <c r="CC437" s="673">
        <f t="shared" si="1167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19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199"/>
        <v>0</v>
      </c>
      <c r="CG437" s="992">
        <f t="shared" si="1199"/>
        <v>0</v>
      </c>
      <c r="CH437" s="993">
        <f t="shared" si="1199"/>
        <v>0</v>
      </c>
      <c r="CI437" s="993">
        <f t="shared" si="1199"/>
        <v>0</v>
      </c>
      <c r="CJ437" s="992">
        <f t="shared" si="1199"/>
        <v>0</v>
      </c>
      <c r="CK437" s="992">
        <f t="shared" si="1199"/>
        <v>0</v>
      </c>
      <c r="CL437" s="992">
        <f t="shared" si="1199"/>
        <v>0</v>
      </c>
      <c r="CM437" s="991">
        <f t="shared" si="1199"/>
        <v>0</v>
      </c>
      <c r="CN437" s="521" t="str">
        <f t="shared" si="1178"/>
        <v/>
      </c>
      <c r="CO437" s="522" t="str">
        <f t="shared" si="1179"/>
        <v/>
      </c>
      <c r="CP437" s="523" t="str">
        <f t="shared" si="1180"/>
        <v/>
      </c>
      <c r="CQ437" s="523" t="str">
        <f t="shared" si="1181"/>
        <v/>
      </c>
      <c r="CR437" s="523">
        <f t="shared" si="1182"/>
        <v>0</v>
      </c>
      <c r="CS437" s="523">
        <f t="shared" si="1183"/>
        <v>0</v>
      </c>
      <c r="CT437" s="523">
        <f t="shared" si="1184"/>
        <v>0</v>
      </c>
      <c r="CU437" s="524">
        <f t="shared" si="1185"/>
        <v>0</v>
      </c>
      <c r="CV437" s="524">
        <f t="shared" si="1186"/>
        <v>0</v>
      </c>
      <c r="CW437" s="524">
        <f t="shared" si="1187"/>
        <v>0</v>
      </c>
      <c r="CX437" s="523">
        <f t="shared" si="1188"/>
        <v>0</v>
      </c>
      <c r="CY437" s="523">
        <f t="shared" si="1189"/>
        <v>0</v>
      </c>
      <c r="CZ437" s="523">
        <f t="shared" si="1190"/>
        <v>0</v>
      </c>
      <c r="DA437" s="523">
        <f t="shared" si="1191"/>
        <v>0</v>
      </c>
      <c r="DB437" s="523" t="str">
        <f t="shared" si="1192"/>
        <v/>
      </c>
      <c r="DC437" s="522" t="str">
        <f t="shared" si="1193"/>
        <v/>
      </c>
      <c r="DD437" s="521" t="str">
        <f t="shared" si="1194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164"/>
        <v/>
      </c>
      <c r="CA438" s="574" t="str">
        <f t="shared" si="1165"/>
        <v/>
      </c>
      <c r="CB438" s="574" t="str">
        <f t="shared" si="1166"/>
        <v/>
      </c>
      <c r="CC438" s="669" t="str">
        <f t="shared" si="1167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00">IF(DE440&lt;3,"",(SUM(B440:R440)-MIN(B440:R440)-MAX(B440:R440))/(DE440-2))</f>
        <v/>
      </c>
      <c r="CA440" s="582" t="str">
        <f t="shared" ref="CA440:CA471" si="1201">IF(DF440&lt;3,"",(SUM(T440:AJ440)-MIN(T440:AJ440)-MAX(T440:AJ440))/(DF440-2))</f>
        <v/>
      </c>
      <c r="CB440" s="582" t="str">
        <f t="shared" ref="CB440:CB471" si="1202">IF(DG440&lt;3,"",(SUM(AL440:BB440)-MIN(AL440:BB440)-MAX(AL440:BB440))/(DG440-2))</f>
        <v/>
      </c>
      <c r="CC440" s="670" t="str">
        <f t="shared" ref="CC440:CC471" si="1203">IF(DH440&lt;3,"",(SUM(BD440:BT440)-MIN(BD440:BT440)-MAX(BD440:BT440))/(DH440-2))</f>
        <v/>
      </c>
      <c r="CD440" s="988" t="str">
        <f t="shared" ref="CD440:CI444" si="120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04"/>
        <v/>
      </c>
      <c r="CF440" s="989" t="str">
        <f t="shared" si="1204"/>
        <v/>
      </c>
      <c r="CG440" s="989" t="str">
        <f t="shared" si="1204"/>
        <v/>
      </c>
      <c r="CH440" s="990" t="str">
        <f t="shared" si="1204"/>
        <v/>
      </c>
      <c r="CI440" s="990" t="str">
        <f t="shared" si="1204"/>
        <v/>
      </c>
      <c r="CJ440" s="989" t="str">
        <f t="shared" ref="CJ440:CM444" si="120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05"/>
        <v/>
      </c>
      <c r="CL440" s="989" t="str">
        <f t="shared" si="1205"/>
        <v/>
      </c>
      <c r="CM440" s="988" t="str">
        <f t="shared" si="1205"/>
        <v/>
      </c>
      <c r="CN440" s="533" t="str">
        <f t="shared" ref="CN440:CN447" si="120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0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0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0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1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1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1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1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1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1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21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21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22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2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223">IF(B438="","",B438*B440)</f>
        <v/>
      </c>
      <c r="C441" s="612" t="str">
        <f t="shared" si="1223"/>
        <v/>
      </c>
      <c r="D441" s="612" t="str">
        <f t="shared" si="1223"/>
        <v/>
      </c>
      <c r="E441" s="612" t="str">
        <f t="shared" si="1223"/>
        <v/>
      </c>
      <c r="F441" s="612" t="str">
        <f t="shared" si="1223"/>
        <v/>
      </c>
      <c r="G441" s="612" t="str">
        <f t="shared" si="1223"/>
        <v/>
      </c>
      <c r="H441" s="612" t="str">
        <f t="shared" si="1223"/>
        <v/>
      </c>
      <c r="I441" s="612" t="str">
        <f t="shared" si="1223"/>
        <v/>
      </c>
      <c r="J441" s="612" t="str">
        <f t="shared" si="1223"/>
        <v/>
      </c>
      <c r="K441" s="612" t="str">
        <f t="shared" si="1223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224">IF(T438="","",T438*T440)</f>
        <v/>
      </c>
      <c r="U441" s="612" t="str">
        <f t="shared" si="1224"/>
        <v/>
      </c>
      <c r="V441" s="612" t="str">
        <f t="shared" si="1224"/>
        <v/>
      </c>
      <c r="W441" s="612" t="str">
        <f t="shared" si="1224"/>
        <v/>
      </c>
      <c r="X441" s="612" t="str">
        <f t="shared" si="1224"/>
        <v/>
      </c>
      <c r="Y441" s="612" t="str">
        <f t="shared" si="1224"/>
        <v/>
      </c>
      <c r="Z441" s="612" t="str">
        <f t="shared" si="1224"/>
        <v/>
      </c>
      <c r="AA441" s="612" t="str">
        <f t="shared" si="1224"/>
        <v/>
      </c>
      <c r="AB441" s="612" t="str">
        <f t="shared" si="1224"/>
        <v/>
      </c>
      <c r="AC441" s="612" t="str">
        <f t="shared" si="1224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225">IF(AL438="","",AL438*AL440)</f>
        <v/>
      </c>
      <c r="AM441" s="612" t="str">
        <f t="shared" si="1225"/>
        <v/>
      </c>
      <c r="AN441" s="612" t="str">
        <f t="shared" si="1225"/>
        <v/>
      </c>
      <c r="AO441" s="612" t="str">
        <f t="shared" si="1225"/>
        <v/>
      </c>
      <c r="AP441" s="612" t="str">
        <f t="shared" si="1225"/>
        <v/>
      </c>
      <c r="AQ441" s="612" t="str">
        <f t="shared" si="1225"/>
        <v/>
      </c>
      <c r="AR441" s="612" t="str">
        <f t="shared" si="1225"/>
        <v/>
      </c>
      <c r="AS441" s="612" t="str">
        <f t="shared" si="1225"/>
        <v/>
      </c>
      <c r="AT441" s="612" t="str">
        <f t="shared" si="1225"/>
        <v/>
      </c>
      <c r="AU441" s="612" t="str">
        <f t="shared" si="1225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226">IF(BD438="","",BD438*BD440)</f>
        <v/>
      </c>
      <c r="BE441" s="1201" t="str">
        <f t="shared" si="1226"/>
        <v/>
      </c>
      <c r="BF441" s="1201" t="str">
        <f t="shared" si="1226"/>
        <v/>
      </c>
      <c r="BG441" s="1201" t="str">
        <f t="shared" si="1226"/>
        <v/>
      </c>
      <c r="BH441" s="1201" t="str">
        <f t="shared" si="1226"/>
        <v/>
      </c>
      <c r="BI441" s="1201" t="str">
        <f t="shared" si="1226"/>
        <v/>
      </c>
      <c r="BJ441" s="1201" t="str">
        <f t="shared" si="1226"/>
        <v/>
      </c>
      <c r="BK441" s="1201" t="str">
        <f t="shared" si="1226"/>
        <v/>
      </c>
      <c r="BL441" s="1201" t="str">
        <f t="shared" si="1226"/>
        <v/>
      </c>
      <c r="BM441" s="1201" t="str">
        <f t="shared" si="1226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00"/>
        <v/>
      </c>
      <c r="CA441" s="582" t="str">
        <f t="shared" si="1201"/>
        <v/>
      </c>
      <c r="CB441" s="582" t="str">
        <f t="shared" si="1202"/>
        <v/>
      </c>
      <c r="CC441" s="670" t="str">
        <f t="shared" si="1203"/>
        <v/>
      </c>
      <c r="CD441" s="988" t="str">
        <f t="shared" si="1204"/>
        <v/>
      </c>
      <c r="CE441" s="989" t="str">
        <f t="shared" si="1204"/>
        <v/>
      </c>
      <c r="CF441" s="989" t="str">
        <f t="shared" si="1204"/>
        <v/>
      </c>
      <c r="CG441" s="989" t="str">
        <f t="shared" si="1204"/>
        <v/>
      </c>
      <c r="CH441" s="990" t="str">
        <f t="shared" si="1204"/>
        <v/>
      </c>
      <c r="CI441" s="990" t="str">
        <f t="shared" si="1204"/>
        <v/>
      </c>
      <c r="CJ441" s="989" t="str">
        <f t="shared" si="1205"/>
        <v/>
      </c>
      <c r="CK441" s="989" t="str">
        <f t="shared" si="1205"/>
        <v/>
      </c>
      <c r="CL441" s="989" t="str">
        <f t="shared" si="1205"/>
        <v/>
      </c>
      <c r="CM441" s="988" t="str">
        <f t="shared" si="1205"/>
        <v/>
      </c>
      <c r="CN441" s="533" t="str">
        <f t="shared" si="1206"/>
        <v/>
      </c>
      <c r="CO441" s="534" t="str">
        <f t="shared" si="1207"/>
        <v/>
      </c>
      <c r="CP441" s="535" t="str">
        <f t="shared" si="1208"/>
        <v/>
      </c>
      <c r="CQ441" s="535" t="str">
        <f t="shared" si="1209"/>
        <v/>
      </c>
      <c r="CR441" s="535" t="str">
        <f t="shared" si="1210"/>
        <v/>
      </c>
      <c r="CS441" s="535" t="str">
        <f t="shared" si="1211"/>
        <v/>
      </c>
      <c r="CT441" s="535" t="str">
        <f t="shared" si="1212"/>
        <v/>
      </c>
      <c r="CU441" s="536" t="str">
        <f t="shared" si="1213"/>
        <v/>
      </c>
      <c r="CV441" s="536" t="str">
        <f t="shared" si="1214"/>
        <v/>
      </c>
      <c r="CW441" s="536" t="str">
        <f t="shared" si="1215"/>
        <v/>
      </c>
      <c r="CX441" s="535" t="str">
        <f t="shared" si="1216"/>
        <v/>
      </c>
      <c r="CY441" s="535" t="str">
        <f t="shared" si="1217"/>
        <v/>
      </c>
      <c r="CZ441" s="535" t="str">
        <f t="shared" si="1218"/>
        <v/>
      </c>
      <c r="DA441" s="535" t="str">
        <f t="shared" si="1219"/>
        <v/>
      </c>
      <c r="DB441" s="535" t="str">
        <f t="shared" si="1220"/>
        <v/>
      </c>
      <c r="DC441" s="534" t="str">
        <f t="shared" si="1221"/>
        <v/>
      </c>
      <c r="DD441" s="533" t="str">
        <f t="shared" si="1222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00"/>
        <v/>
      </c>
      <c r="CA442" s="582" t="str">
        <f t="shared" si="1201"/>
        <v/>
      </c>
      <c r="CB442" s="582" t="str">
        <f t="shared" si="1202"/>
        <v/>
      </c>
      <c r="CC442" s="670" t="str">
        <f t="shared" si="1203"/>
        <v/>
      </c>
      <c r="CD442" s="988" t="str">
        <f t="shared" si="1204"/>
        <v/>
      </c>
      <c r="CE442" s="989" t="str">
        <f t="shared" si="1204"/>
        <v/>
      </c>
      <c r="CF442" s="989" t="str">
        <f t="shared" si="1204"/>
        <v/>
      </c>
      <c r="CG442" s="989" t="str">
        <f t="shared" si="1204"/>
        <v/>
      </c>
      <c r="CH442" s="990" t="str">
        <f t="shared" si="1204"/>
        <v/>
      </c>
      <c r="CI442" s="990" t="str">
        <f t="shared" si="1204"/>
        <v/>
      </c>
      <c r="CJ442" s="989" t="str">
        <f t="shared" si="1205"/>
        <v/>
      </c>
      <c r="CK442" s="989" t="str">
        <f t="shared" si="1205"/>
        <v/>
      </c>
      <c r="CL442" s="989" t="str">
        <f t="shared" si="1205"/>
        <v/>
      </c>
      <c r="CM442" s="988" t="str">
        <f t="shared" si="1205"/>
        <v/>
      </c>
      <c r="CN442" s="533" t="str">
        <f t="shared" si="1206"/>
        <v/>
      </c>
      <c r="CO442" s="534" t="str">
        <f t="shared" si="1207"/>
        <v/>
      </c>
      <c r="CP442" s="535" t="str">
        <f t="shared" si="1208"/>
        <v/>
      </c>
      <c r="CQ442" s="535" t="str">
        <f t="shared" si="1209"/>
        <v/>
      </c>
      <c r="CR442" s="535" t="str">
        <f t="shared" si="1210"/>
        <v/>
      </c>
      <c r="CS442" s="535" t="str">
        <f t="shared" si="1211"/>
        <v/>
      </c>
      <c r="CT442" s="535" t="str">
        <f t="shared" si="1212"/>
        <v/>
      </c>
      <c r="CU442" s="536" t="str">
        <f t="shared" si="1213"/>
        <v/>
      </c>
      <c r="CV442" s="536" t="str">
        <f t="shared" si="1214"/>
        <v/>
      </c>
      <c r="CW442" s="536" t="str">
        <f t="shared" si="1215"/>
        <v/>
      </c>
      <c r="CX442" s="535" t="str">
        <f t="shared" si="1216"/>
        <v/>
      </c>
      <c r="CY442" s="535" t="str">
        <f t="shared" si="1217"/>
        <v/>
      </c>
      <c r="CZ442" s="535" t="str">
        <f t="shared" si="1218"/>
        <v/>
      </c>
      <c r="DA442" s="535" t="str">
        <f t="shared" si="1219"/>
        <v/>
      </c>
      <c r="DB442" s="535" t="str">
        <f t="shared" si="1220"/>
        <v/>
      </c>
      <c r="DC442" s="534" t="str">
        <f t="shared" si="1221"/>
        <v/>
      </c>
      <c r="DD442" s="533" t="str">
        <f t="shared" si="1222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00"/>
        <v/>
      </c>
      <c r="CA443" s="582" t="str">
        <f t="shared" si="1201"/>
        <v/>
      </c>
      <c r="CB443" s="582" t="str">
        <f t="shared" si="1202"/>
        <v/>
      </c>
      <c r="CC443" s="670" t="str">
        <f t="shared" si="1203"/>
        <v/>
      </c>
      <c r="CD443" s="988" t="str">
        <f t="shared" si="1204"/>
        <v/>
      </c>
      <c r="CE443" s="989" t="str">
        <f t="shared" si="1204"/>
        <v/>
      </c>
      <c r="CF443" s="989" t="str">
        <f t="shared" si="1204"/>
        <v/>
      </c>
      <c r="CG443" s="989" t="str">
        <f t="shared" si="1204"/>
        <v/>
      </c>
      <c r="CH443" s="990" t="str">
        <f t="shared" si="1204"/>
        <v/>
      </c>
      <c r="CI443" s="990" t="str">
        <f t="shared" si="1204"/>
        <v/>
      </c>
      <c r="CJ443" s="989" t="str">
        <f t="shared" si="1205"/>
        <v/>
      </c>
      <c r="CK443" s="989" t="str">
        <f t="shared" si="1205"/>
        <v/>
      </c>
      <c r="CL443" s="989" t="str">
        <f t="shared" si="1205"/>
        <v/>
      </c>
      <c r="CM443" s="988" t="str">
        <f t="shared" si="1205"/>
        <v/>
      </c>
      <c r="CN443" s="533" t="str">
        <f t="shared" si="1206"/>
        <v/>
      </c>
      <c r="CO443" s="534" t="str">
        <f t="shared" si="1207"/>
        <v/>
      </c>
      <c r="CP443" s="535" t="str">
        <f t="shared" si="1208"/>
        <v/>
      </c>
      <c r="CQ443" s="535" t="str">
        <f t="shared" si="1209"/>
        <v/>
      </c>
      <c r="CR443" s="535" t="str">
        <f t="shared" si="1210"/>
        <v/>
      </c>
      <c r="CS443" s="535" t="str">
        <f t="shared" si="1211"/>
        <v/>
      </c>
      <c r="CT443" s="535" t="str">
        <f t="shared" si="1212"/>
        <v/>
      </c>
      <c r="CU443" s="536" t="str">
        <f t="shared" si="1213"/>
        <v/>
      </c>
      <c r="CV443" s="536" t="str">
        <f t="shared" si="1214"/>
        <v/>
      </c>
      <c r="CW443" s="536" t="str">
        <f t="shared" si="1215"/>
        <v/>
      </c>
      <c r="CX443" s="535" t="str">
        <f t="shared" si="1216"/>
        <v/>
      </c>
      <c r="CY443" s="535" t="str">
        <f t="shared" si="1217"/>
        <v/>
      </c>
      <c r="CZ443" s="535" t="str">
        <f t="shared" si="1218"/>
        <v/>
      </c>
      <c r="DA443" s="535" t="str">
        <f t="shared" si="1219"/>
        <v/>
      </c>
      <c r="DB443" s="535" t="str">
        <f t="shared" si="1220"/>
        <v/>
      </c>
      <c r="DC443" s="534" t="str">
        <f t="shared" si="1221"/>
        <v/>
      </c>
      <c r="DD443" s="533" t="str">
        <f t="shared" si="1222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00"/>
        <v/>
      </c>
      <c r="CA444" s="582" t="str">
        <f t="shared" si="1201"/>
        <v/>
      </c>
      <c r="CB444" s="582" t="str">
        <f t="shared" si="1202"/>
        <v/>
      </c>
      <c r="CC444" s="670" t="str">
        <f t="shared" si="1203"/>
        <v/>
      </c>
      <c r="CD444" s="988" t="str">
        <f t="shared" si="1204"/>
        <v/>
      </c>
      <c r="CE444" s="989" t="str">
        <f t="shared" si="1204"/>
        <v/>
      </c>
      <c r="CF444" s="989" t="str">
        <f t="shared" si="1204"/>
        <v/>
      </c>
      <c r="CG444" s="989" t="str">
        <f t="shared" si="1204"/>
        <v/>
      </c>
      <c r="CH444" s="990" t="str">
        <f t="shared" si="1204"/>
        <v/>
      </c>
      <c r="CI444" s="990" t="str">
        <f t="shared" si="1204"/>
        <v/>
      </c>
      <c r="CJ444" s="989" t="str">
        <f t="shared" si="1205"/>
        <v/>
      </c>
      <c r="CK444" s="989" t="str">
        <f t="shared" si="1205"/>
        <v/>
      </c>
      <c r="CL444" s="989" t="str">
        <f t="shared" si="1205"/>
        <v/>
      </c>
      <c r="CM444" s="988" t="str">
        <f t="shared" si="1205"/>
        <v/>
      </c>
      <c r="CN444" s="533" t="str">
        <f t="shared" si="1206"/>
        <v/>
      </c>
      <c r="CO444" s="534" t="str">
        <f t="shared" si="1207"/>
        <v/>
      </c>
      <c r="CP444" s="535" t="str">
        <f t="shared" si="1208"/>
        <v/>
      </c>
      <c r="CQ444" s="535" t="str">
        <f t="shared" si="1209"/>
        <v/>
      </c>
      <c r="CR444" s="535" t="str">
        <f t="shared" si="1210"/>
        <v/>
      </c>
      <c r="CS444" s="535" t="str">
        <f t="shared" si="1211"/>
        <v/>
      </c>
      <c r="CT444" s="535" t="str">
        <f t="shared" si="1212"/>
        <v/>
      </c>
      <c r="CU444" s="536" t="str">
        <f t="shared" si="1213"/>
        <v/>
      </c>
      <c r="CV444" s="536" t="str">
        <f t="shared" si="1214"/>
        <v/>
      </c>
      <c r="CW444" s="536" t="str">
        <f t="shared" si="1215"/>
        <v/>
      </c>
      <c r="CX444" s="535" t="str">
        <f t="shared" si="1216"/>
        <v/>
      </c>
      <c r="CY444" s="535" t="str">
        <f t="shared" si="1217"/>
        <v/>
      </c>
      <c r="CZ444" s="535" t="str">
        <f t="shared" si="1218"/>
        <v/>
      </c>
      <c r="DA444" s="535" t="str">
        <f t="shared" si="1219"/>
        <v/>
      </c>
      <c r="DB444" s="535" t="str">
        <f t="shared" si="1220"/>
        <v/>
      </c>
      <c r="DC444" s="534" t="str">
        <f t="shared" si="1221"/>
        <v/>
      </c>
      <c r="DD444" s="533" t="str">
        <f t="shared" si="1222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00"/>
        <v>0</v>
      </c>
      <c r="CA445" s="582">
        <f t="shared" si="1201"/>
        <v>0</v>
      </c>
      <c r="CB445" s="582">
        <f t="shared" si="1202"/>
        <v>0</v>
      </c>
      <c r="CC445" s="670">
        <f t="shared" si="1203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22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227"/>
        <v>0</v>
      </c>
      <c r="CG445" s="989">
        <f t="shared" si="1227"/>
        <v>0</v>
      </c>
      <c r="CH445" s="990">
        <f t="shared" si="1227"/>
        <v>0</v>
      </c>
      <c r="CI445" s="990">
        <f t="shared" si="1227"/>
        <v>0</v>
      </c>
      <c r="CJ445" s="989">
        <f t="shared" si="1227"/>
        <v>0</v>
      </c>
      <c r="CK445" s="989">
        <f t="shared" si="1227"/>
        <v>0</v>
      </c>
      <c r="CL445" s="989">
        <f t="shared" si="1227"/>
        <v>0</v>
      </c>
      <c r="CM445" s="988">
        <f t="shared" si="1227"/>
        <v>0</v>
      </c>
      <c r="CN445" s="533" t="str">
        <f t="shared" si="1206"/>
        <v/>
      </c>
      <c r="CO445" s="534" t="str">
        <f t="shared" si="1207"/>
        <v/>
      </c>
      <c r="CP445" s="535" t="str">
        <f t="shared" si="1208"/>
        <v/>
      </c>
      <c r="CQ445" s="535" t="str">
        <f t="shared" si="1209"/>
        <v/>
      </c>
      <c r="CR445" s="535">
        <f t="shared" si="1210"/>
        <v>0</v>
      </c>
      <c r="CS445" s="535">
        <f t="shared" si="1211"/>
        <v>0</v>
      </c>
      <c r="CT445" s="535">
        <f t="shared" si="1212"/>
        <v>0</v>
      </c>
      <c r="CU445" s="536">
        <f t="shared" si="1213"/>
        <v>0</v>
      </c>
      <c r="CV445" s="536">
        <f t="shared" si="1214"/>
        <v>0</v>
      </c>
      <c r="CW445" s="536">
        <f t="shared" si="1215"/>
        <v>0</v>
      </c>
      <c r="CX445" s="535">
        <f t="shared" si="1216"/>
        <v>0</v>
      </c>
      <c r="CY445" s="535">
        <f t="shared" si="1217"/>
        <v>0</v>
      </c>
      <c r="CZ445" s="535">
        <f t="shared" si="1218"/>
        <v>0</v>
      </c>
      <c r="DA445" s="535">
        <f t="shared" si="1219"/>
        <v>0</v>
      </c>
      <c r="DB445" s="535" t="str">
        <f t="shared" si="1220"/>
        <v/>
      </c>
      <c r="DC445" s="534" t="str">
        <f t="shared" si="1221"/>
        <v/>
      </c>
      <c r="DD445" s="533" t="str">
        <f t="shared" si="1222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00"/>
        <v/>
      </c>
      <c r="CA446" s="582" t="str">
        <f t="shared" si="1201"/>
        <v/>
      </c>
      <c r="CB446" s="582" t="str">
        <f t="shared" si="1202"/>
        <v/>
      </c>
      <c r="CC446" s="670" t="str">
        <f t="shared" si="1203"/>
        <v/>
      </c>
      <c r="CD446" s="988" t="str">
        <f t="shared" ref="CD446:CM446" si="122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228"/>
        <v/>
      </c>
      <c r="CF446" s="989" t="str">
        <f t="shared" si="1228"/>
        <v/>
      </c>
      <c r="CG446" s="989" t="str">
        <f t="shared" si="1228"/>
        <v/>
      </c>
      <c r="CH446" s="990" t="str">
        <f t="shared" si="1228"/>
        <v/>
      </c>
      <c r="CI446" s="990" t="str">
        <f t="shared" si="1228"/>
        <v/>
      </c>
      <c r="CJ446" s="989" t="str">
        <f t="shared" si="1228"/>
        <v/>
      </c>
      <c r="CK446" s="989" t="str">
        <f t="shared" si="1228"/>
        <v/>
      </c>
      <c r="CL446" s="989" t="str">
        <f t="shared" si="1228"/>
        <v/>
      </c>
      <c r="CM446" s="988" t="str">
        <f t="shared" si="1228"/>
        <v/>
      </c>
      <c r="CN446" s="533" t="str">
        <f t="shared" si="1206"/>
        <v/>
      </c>
      <c r="CO446" s="534" t="str">
        <f t="shared" si="1207"/>
        <v/>
      </c>
      <c r="CP446" s="535" t="str">
        <f t="shared" si="1208"/>
        <v/>
      </c>
      <c r="CQ446" s="535" t="str">
        <f t="shared" si="1209"/>
        <v/>
      </c>
      <c r="CR446" s="535" t="str">
        <f t="shared" si="1210"/>
        <v/>
      </c>
      <c r="CS446" s="535" t="str">
        <f t="shared" si="1211"/>
        <v/>
      </c>
      <c r="CT446" s="535" t="str">
        <f t="shared" si="1212"/>
        <v/>
      </c>
      <c r="CU446" s="536" t="str">
        <f t="shared" si="1213"/>
        <v/>
      </c>
      <c r="CV446" s="536" t="str">
        <f t="shared" si="1214"/>
        <v/>
      </c>
      <c r="CW446" s="536" t="str">
        <f t="shared" si="1215"/>
        <v/>
      </c>
      <c r="CX446" s="535" t="str">
        <f t="shared" si="1216"/>
        <v/>
      </c>
      <c r="CY446" s="535" t="str">
        <f t="shared" si="1217"/>
        <v/>
      </c>
      <c r="CZ446" s="535" t="str">
        <f t="shared" si="1218"/>
        <v/>
      </c>
      <c r="DA446" s="535" t="str">
        <f t="shared" si="1219"/>
        <v/>
      </c>
      <c r="DB446" s="535" t="str">
        <f t="shared" si="1220"/>
        <v/>
      </c>
      <c r="DC446" s="534" t="str">
        <f t="shared" si="1221"/>
        <v/>
      </c>
      <c r="DD446" s="533" t="str">
        <f t="shared" si="1222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00"/>
        <v>0</v>
      </c>
      <c r="CA447" s="607">
        <f t="shared" si="1201"/>
        <v>0</v>
      </c>
      <c r="CB447" s="607">
        <f t="shared" si="1202"/>
        <v>0</v>
      </c>
      <c r="CC447" s="673">
        <f t="shared" si="1203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22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229"/>
        <v>0</v>
      </c>
      <c r="CG447" s="992">
        <f t="shared" si="1229"/>
        <v>0</v>
      </c>
      <c r="CH447" s="993">
        <f t="shared" si="1229"/>
        <v>0</v>
      </c>
      <c r="CI447" s="993">
        <f t="shared" si="1229"/>
        <v>0</v>
      </c>
      <c r="CJ447" s="992">
        <f t="shared" si="1229"/>
        <v>0</v>
      </c>
      <c r="CK447" s="992">
        <f t="shared" si="1229"/>
        <v>0</v>
      </c>
      <c r="CL447" s="992">
        <f t="shared" si="1229"/>
        <v>0</v>
      </c>
      <c r="CM447" s="991">
        <f t="shared" si="1229"/>
        <v>0</v>
      </c>
      <c r="CN447" s="521" t="str">
        <f t="shared" si="1206"/>
        <v/>
      </c>
      <c r="CO447" s="522" t="str">
        <f t="shared" si="1207"/>
        <v/>
      </c>
      <c r="CP447" s="523" t="str">
        <f t="shared" si="1208"/>
        <v/>
      </c>
      <c r="CQ447" s="523" t="str">
        <f t="shared" si="1209"/>
        <v/>
      </c>
      <c r="CR447" s="523">
        <f t="shared" si="1210"/>
        <v>0</v>
      </c>
      <c r="CS447" s="523">
        <f t="shared" si="1211"/>
        <v>0</v>
      </c>
      <c r="CT447" s="523">
        <f t="shared" si="1212"/>
        <v>0</v>
      </c>
      <c r="CU447" s="524">
        <f t="shared" si="1213"/>
        <v>0</v>
      </c>
      <c r="CV447" s="524">
        <f t="shared" si="1214"/>
        <v>0</v>
      </c>
      <c r="CW447" s="524">
        <f t="shared" si="1215"/>
        <v>0</v>
      </c>
      <c r="CX447" s="523">
        <f t="shared" si="1216"/>
        <v>0</v>
      </c>
      <c r="CY447" s="523">
        <f t="shared" si="1217"/>
        <v>0</v>
      </c>
      <c r="CZ447" s="523">
        <f t="shared" si="1218"/>
        <v>0</v>
      </c>
      <c r="DA447" s="523">
        <f t="shared" si="1219"/>
        <v>0</v>
      </c>
      <c r="DB447" s="523" t="str">
        <f t="shared" si="1220"/>
        <v/>
      </c>
      <c r="DC447" s="522" t="str">
        <f t="shared" si="1221"/>
        <v/>
      </c>
      <c r="DD447" s="521" t="str">
        <f t="shared" si="1222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00"/>
        <v/>
      </c>
      <c r="CA448" s="574" t="str">
        <f t="shared" si="1201"/>
        <v/>
      </c>
      <c r="CB448" s="574" t="str">
        <f t="shared" si="1202"/>
        <v/>
      </c>
      <c r="CC448" s="669" t="str">
        <f t="shared" si="1203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00"/>
        <v/>
      </c>
      <c r="CA449" s="574" t="str">
        <f t="shared" si="1201"/>
        <v/>
      </c>
      <c r="CB449" s="574" t="str">
        <f t="shared" si="1202"/>
        <v/>
      </c>
      <c r="CC449" s="669" t="str">
        <f t="shared" si="1203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00"/>
        <v/>
      </c>
      <c r="CA450" s="582" t="str">
        <f t="shared" si="1201"/>
        <v/>
      </c>
      <c r="CB450" s="582" t="str">
        <f t="shared" si="1202"/>
        <v/>
      </c>
      <c r="CC450" s="670" t="str">
        <f t="shared" si="1203"/>
        <v/>
      </c>
      <c r="CD450" s="988" t="str">
        <f t="shared" ref="CD450:CM450" si="123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230"/>
        <v/>
      </c>
      <c r="CF450" s="989" t="str">
        <f t="shared" si="1230"/>
        <v/>
      </c>
      <c r="CG450" s="989" t="str">
        <f t="shared" si="1230"/>
        <v/>
      </c>
      <c r="CH450" s="990" t="str">
        <f t="shared" si="1230"/>
        <v/>
      </c>
      <c r="CI450" s="990" t="str">
        <f t="shared" si="1230"/>
        <v/>
      </c>
      <c r="CJ450" s="989" t="str">
        <f t="shared" si="1230"/>
        <v/>
      </c>
      <c r="CK450" s="989" t="str">
        <f t="shared" si="1230"/>
        <v/>
      </c>
      <c r="CL450" s="989" t="str">
        <f t="shared" si="1230"/>
        <v/>
      </c>
      <c r="CM450" s="988" t="str">
        <f t="shared" si="1230"/>
        <v/>
      </c>
      <c r="CN450" s="533" t="str">
        <f t="shared" ref="CN450:CN457" si="123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23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3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23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23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23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23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23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23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24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24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24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24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24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24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4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4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248">COUNT(B450:R450)</f>
        <v>0</v>
      </c>
      <c r="DF450" s="95">
        <f t="shared" ref="DF450:DF457" si="1249">COUNT(T450:AJ450)</f>
        <v>0</v>
      </c>
      <c r="DG450" s="95">
        <f t="shared" ref="DG450:DG457" si="1250">COUNT(AL450:BB450)</f>
        <v>0</v>
      </c>
      <c r="DH450" s="95">
        <f t="shared" ref="DH450:DH457" si="1251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00"/>
        <v/>
      </c>
      <c r="CA451" s="582" t="str">
        <f t="shared" si="1201"/>
        <v/>
      </c>
      <c r="CB451" s="582" t="str">
        <f t="shared" si="1202"/>
        <v/>
      </c>
      <c r="CC451" s="670" t="str">
        <f t="shared" si="1203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25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252"/>
        <v/>
      </c>
      <c r="CG451" s="989" t="str">
        <f t="shared" si="1252"/>
        <v/>
      </c>
      <c r="CH451" s="990" t="str">
        <f t="shared" si="1252"/>
        <v/>
      </c>
      <c r="CI451" s="990" t="str">
        <f t="shared" si="1252"/>
        <v/>
      </c>
      <c r="CJ451" s="989" t="str">
        <f t="shared" si="1252"/>
        <v/>
      </c>
      <c r="CK451" s="989" t="str">
        <f t="shared" si="1252"/>
        <v/>
      </c>
      <c r="CL451" s="989" t="str">
        <f t="shared" si="1252"/>
        <v/>
      </c>
      <c r="CM451" s="988" t="str">
        <f t="shared" si="1252"/>
        <v/>
      </c>
      <c r="CN451" s="533" t="str">
        <f t="shared" si="1231"/>
        <v/>
      </c>
      <c r="CO451" s="534" t="str">
        <f t="shared" si="1232"/>
        <v/>
      </c>
      <c r="CP451" s="535" t="str">
        <f t="shared" si="1233"/>
        <v/>
      </c>
      <c r="CQ451" s="535" t="str">
        <f t="shared" si="1234"/>
        <v/>
      </c>
      <c r="CR451" s="535" t="str">
        <f t="shared" si="1235"/>
        <v/>
      </c>
      <c r="CS451" s="535" t="str">
        <f t="shared" si="1236"/>
        <v/>
      </c>
      <c r="CT451" s="535" t="str">
        <f t="shared" si="1237"/>
        <v/>
      </c>
      <c r="CU451" s="536" t="str">
        <f t="shared" si="1238"/>
        <v/>
      </c>
      <c r="CV451" s="536" t="str">
        <f t="shared" si="1239"/>
        <v/>
      </c>
      <c r="CW451" s="536" t="str">
        <f t="shared" si="1240"/>
        <v/>
      </c>
      <c r="CX451" s="535" t="str">
        <f t="shared" si="1241"/>
        <v/>
      </c>
      <c r="CY451" s="535" t="str">
        <f t="shared" si="1242"/>
        <v/>
      </c>
      <c r="CZ451" s="535" t="str">
        <f t="shared" si="1243"/>
        <v/>
      </c>
      <c r="DA451" s="535" t="str">
        <f t="shared" si="1244"/>
        <v/>
      </c>
      <c r="DB451" s="535" t="str">
        <f t="shared" si="1245"/>
        <v/>
      </c>
      <c r="DC451" s="534" t="str">
        <f t="shared" si="1246"/>
        <v/>
      </c>
      <c r="DD451" s="533" t="str">
        <f t="shared" si="1247"/>
        <v/>
      </c>
      <c r="DE451" s="635">
        <f t="shared" si="1248"/>
        <v>0</v>
      </c>
      <c r="DF451" s="95">
        <f t="shared" si="1249"/>
        <v>0</v>
      </c>
      <c r="DG451" s="95">
        <f t="shared" si="1250"/>
        <v>0</v>
      </c>
      <c r="DH451" s="95">
        <f t="shared" si="1251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00"/>
        <v/>
      </c>
      <c r="CA452" s="582" t="str">
        <f t="shared" si="1201"/>
        <v/>
      </c>
      <c r="CB452" s="582" t="str">
        <f t="shared" si="1202"/>
        <v/>
      </c>
      <c r="CC452" s="670" t="str">
        <f t="shared" si="1203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252"/>
        <v/>
      </c>
      <c r="CF452" s="989" t="str">
        <f t="shared" si="1252"/>
        <v/>
      </c>
      <c r="CG452" s="989" t="str">
        <f t="shared" si="1252"/>
        <v/>
      </c>
      <c r="CH452" s="990" t="str">
        <f t="shared" si="1252"/>
        <v/>
      </c>
      <c r="CI452" s="990" t="str">
        <f t="shared" si="1252"/>
        <v/>
      </c>
      <c r="CJ452" s="989" t="str">
        <f t="shared" si="1252"/>
        <v/>
      </c>
      <c r="CK452" s="989" t="str">
        <f t="shared" si="1252"/>
        <v/>
      </c>
      <c r="CL452" s="989" t="str">
        <f t="shared" si="1252"/>
        <v/>
      </c>
      <c r="CM452" s="988" t="str">
        <f t="shared" si="1252"/>
        <v/>
      </c>
      <c r="CN452" s="533" t="str">
        <f t="shared" si="1231"/>
        <v/>
      </c>
      <c r="CO452" s="534" t="str">
        <f t="shared" si="1232"/>
        <v/>
      </c>
      <c r="CP452" s="535" t="str">
        <f t="shared" si="1233"/>
        <v/>
      </c>
      <c r="CQ452" s="535" t="str">
        <f t="shared" si="1234"/>
        <v/>
      </c>
      <c r="CR452" s="535" t="str">
        <f t="shared" si="1235"/>
        <v/>
      </c>
      <c r="CS452" s="535" t="str">
        <f t="shared" si="1236"/>
        <v/>
      </c>
      <c r="CT452" s="535" t="str">
        <f t="shared" si="1237"/>
        <v/>
      </c>
      <c r="CU452" s="536" t="str">
        <f t="shared" si="1238"/>
        <v/>
      </c>
      <c r="CV452" s="536" t="str">
        <f t="shared" si="1239"/>
        <v/>
      </c>
      <c r="CW452" s="536" t="str">
        <f t="shared" si="1240"/>
        <v/>
      </c>
      <c r="CX452" s="535" t="str">
        <f t="shared" si="1241"/>
        <v/>
      </c>
      <c r="CY452" s="535" t="str">
        <f t="shared" si="1242"/>
        <v/>
      </c>
      <c r="CZ452" s="535" t="str">
        <f t="shared" si="1243"/>
        <v/>
      </c>
      <c r="DA452" s="535" t="str">
        <f t="shared" si="1244"/>
        <v/>
      </c>
      <c r="DB452" s="535" t="str">
        <f t="shared" si="1245"/>
        <v/>
      </c>
      <c r="DC452" s="534" t="str">
        <f t="shared" si="1246"/>
        <v/>
      </c>
      <c r="DD452" s="533" t="str">
        <f t="shared" si="1247"/>
        <v/>
      </c>
      <c r="DE452" s="635">
        <f t="shared" si="1248"/>
        <v>0</v>
      </c>
      <c r="DF452" s="95">
        <f t="shared" si="1249"/>
        <v>0</v>
      </c>
      <c r="DG452" s="95">
        <f t="shared" si="1250"/>
        <v>0</v>
      </c>
      <c r="DH452" s="95">
        <f t="shared" si="1251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253">IF(B451="","",B450*B451*B452)</f>
        <v/>
      </c>
      <c r="C453" s="612" t="str">
        <f t="shared" si="1253"/>
        <v/>
      </c>
      <c r="D453" s="612" t="str">
        <f t="shared" si="1253"/>
        <v/>
      </c>
      <c r="E453" s="612" t="str">
        <f t="shared" si="1253"/>
        <v/>
      </c>
      <c r="F453" s="612" t="str">
        <f t="shared" si="1253"/>
        <v/>
      </c>
      <c r="G453" s="612" t="str">
        <f t="shared" si="1253"/>
        <v/>
      </c>
      <c r="H453" s="612" t="str">
        <f t="shared" si="1253"/>
        <v/>
      </c>
      <c r="I453" s="612" t="str">
        <f t="shared" si="1253"/>
        <v/>
      </c>
      <c r="J453" s="612" t="str">
        <f t="shared" si="1253"/>
        <v/>
      </c>
      <c r="K453" s="612" t="str">
        <f t="shared" si="1253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254">IF(T451="","",T450*T451*T452)</f>
        <v/>
      </c>
      <c r="U453" s="612" t="str">
        <f t="shared" si="1254"/>
        <v/>
      </c>
      <c r="V453" s="612" t="str">
        <f t="shared" si="1254"/>
        <v/>
      </c>
      <c r="W453" s="612" t="str">
        <f t="shared" si="1254"/>
        <v/>
      </c>
      <c r="X453" s="612" t="str">
        <f t="shared" si="1254"/>
        <v/>
      </c>
      <c r="Y453" s="612" t="str">
        <f t="shared" si="1254"/>
        <v/>
      </c>
      <c r="Z453" s="612" t="str">
        <f t="shared" si="1254"/>
        <v/>
      </c>
      <c r="AA453" s="612" t="str">
        <f t="shared" si="1254"/>
        <v/>
      </c>
      <c r="AB453" s="612" t="str">
        <f t="shared" si="1254"/>
        <v/>
      </c>
      <c r="AC453" s="612" t="str">
        <f t="shared" si="1254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255">IF(AL451="","",AL450*AL451*AL452)</f>
        <v/>
      </c>
      <c r="AM453" s="612" t="str">
        <f t="shared" si="1255"/>
        <v/>
      </c>
      <c r="AN453" s="612" t="str">
        <f t="shared" si="1255"/>
        <v/>
      </c>
      <c r="AO453" s="612" t="str">
        <f t="shared" si="1255"/>
        <v/>
      </c>
      <c r="AP453" s="612" t="str">
        <f t="shared" si="1255"/>
        <v/>
      </c>
      <c r="AQ453" s="612" t="str">
        <f t="shared" si="1255"/>
        <v/>
      </c>
      <c r="AR453" s="612" t="str">
        <f t="shared" si="1255"/>
        <v/>
      </c>
      <c r="AS453" s="612" t="str">
        <f t="shared" si="1255"/>
        <v/>
      </c>
      <c r="AT453" s="612" t="str">
        <f t="shared" si="1255"/>
        <v/>
      </c>
      <c r="AU453" s="612" t="str">
        <f t="shared" si="1255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256">IF(BD451="","",BD450*BD451*BD452)</f>
        <v/>
      </c>
      <c r="BE453" s="1201" t="str">
        <f t="shared" si="1256"/>
        <v/>
      </c>
      <c r="BF453" s="1201" t="str">
        <f t="shared" si="1256"/>
        <v/>
      </c>
      <c r="BG453" s="1201" t="str">
        <f t="shared" si="1256"/>
        <v/>
      </c>
      <c r="BH453" s="1201" t="str">
        <f t="shared" si="1256"/>
        <v/>
      </c>
      <c r="BI453" s="1201" t="str">
        <f t="shared" si="1256"/>
        <v/>
      </c>
      <c r="BJ453" s="1201" t="str">
        <f t="shared" si="1256"/>
        <v/>
      </c>
      <c r="BK453" s="1201" t="str">
        <f t="shared" si="1256"/>
        <v/>
      </c>
      <c r="BL453" s="1201" t="str">
        <f t="shared" si="1256"/>
        <v/>
      </c>
      <c r="BM453" s="1201" t="str">
        <f t="shared" si="1256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00"/>
        <v/>
      </c>
      <c r="CA453" s="582" t="str">
        <f t="shared" si="1201"/>
        <v/>
      </c>
      <c r="CB453" s="582" t="str">
        <f t="shared" si="1202"/>
        <v/>
      </c>
      <c r="CC453" s="670" t="str">
        <f t="shared" si="1203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252"/>
        <v/>
      </c>
      <c r="CF453" s="989" t="str">
        <f t="shared" si="1252"/>
        <v/>
      </c>
      <c r="CG453" s="989" t="str">
        <f t="shared" si="1252"/>
        <v/>
      </c>
      <c r="CH453" s="990" t="str">
        <f t="shared" si="1252"/>
        <v/>
      </c>
      <c r="CI453" s="990" t="str">
        <f t="shared" si="1252"/>
        <v/>
      </c>
      <c r="CJ453" s="989" t="str">
        <f t="shared" si="1252"/>
        <v/>
      </c>
      <c r="CK453" s="989" t="str">
        <f t="shared" si="1252"/>
        <v/>
      </c>
      <c r="CL453" s="989" t="str">
        <f t="shared" si="1252"/>
        <v/>
      </c>
      <c r="CM453" s="988" t="str">
        <f t="shared" si="1252"/>
        <v/>
      </c>
      <c r="CN453" s="533" t="str">
        <f t="shared" si="1231"/>
        <v/>
      </c>
      <c r="CO453" s="534" t="str">
        <f t="shared" si="1232"/>
        <v/>
      </c>
      <c r="CP453" s="535" t="str">
        <f t="shared" si="1233"/>
        <v/>
      </c>
      <c r="CQ453" s="535" t="str">
        <f t="shared" si="1234"/>
        <v/>
      </c>
      <c r="CR453" s="535" t="str">
        <f t="shared" si="1235"/>
        <v/>
      </c>
      <c r="CS453" s="535" t="str">
        <f t="shared" si="1236"/>
        <v/>
      </c>
      <c r="CT453" s="535" t="str">
        <f t="shared" si="1237"/>
        <v/>
      </c>
      <c r="CU453" s="536" t="str">
        <f t="shared" si="1238"/>
        <v/>
      </c>
      <c r="CV453" s="536" t="str">
        <f t="shared" si="1239"/>
        <v/>
      </c>
      <c r="CW453" s="536" t="str">
        <f t="shared" si="1240"/>
        <v/>
      </c>
      <c r="CX453" s="535" t="str">
        <f t="shared" si="1241"/>
        <v/>
      </c>
      <c r="CY453" s="535" t="str">
        <f t="shared" si="1242"/>
        <v/>
      </c>
      <c r="CZ453" s="535" t="str">
        <f t="shared" si="1243"/>
        <v/>
      </c>
      <c r="DA453" s="535" t="str">
        <f t="shared" si="1244"/>
        <v/>
      </c>
      <c r="DB453" s="535" t="str">
        <f t="shared" si="1245"/>
        <v/>
      </c>
      <c r="DC453" s="534" t="str">
        <f t="shared" si="1246"/>
        <v/>
      </c>
      <c r="DD453" s="533" t="str">
        <f t="shared" si="1247"/>
        <v/>
      </c>
      <c r="DE453" s="635">
        <f t="shared" si="1248"/>
        <v>0</v>
      </c>
      <c r="DF453" s="95">
        <f t="shared" si="1249"/>
        <v>0</v>
      </c>
      <c r="DG453" s="95">
        <f t="shared" si="1250"/>
        <v>0</v>
      </c>
      <c r="DH453" s="95">
        <f t="shared" si="1251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257">3620*$K$1</f>
        <v>15156.216</v>
      </c>
      <c r="D454" s="683">
        <f t="shared" si="1257"/>
        <v>15156.216</v>
      </c>
      <c r="E454" s="683">
        <f t="shared" si="1257"/>
        <v>15156.216</v>
      </c>
      <c r="F454" s="683">
        <f t="shared" si="1257"/>
        <v>15156.216</v>
      </c>
      <c r="G454" s="683">
        <f t="shared" si="1257"/>
        <v>15156.216</v>
      </c>
      <c r="H454" s="683">
        <f t="shared" si="1257"/>
        <v>15156.216</v>
      </c>
      <c r="I454" s="683">
        <f t="shared" si="1257"/>
        <v>15156.216</v>
      </c>
      <c r="J454" s="683">
        <f t="shared" si="1257"/>
        <v>15156.216</v>
      </c>
      <c r="K454" s="683">
        <f t="shared" si="1257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258">3620*$K$1</f>
        <v>15156.216</v>
      </c>
      <c r="V454" s="683">
        <f t="shared" si="1258"/>
        <v>15156.216</v>
      </c>
      <c r="W454" s="683">
        <f t="shared" si="1258"/>
        <v>15156.216</v>
      </c>
      <c r="X454" s="683">
        <f t="shared" si="1258"/>
        <v>15156.216</v>
      </c>
      <c r="Y454" s="683">
        <f t="shared" si="1258"/>
        <v>15156.216</v>
      </c>
      <c r="Z454" s="683">
        <f t="shared" si="1258"/>
        <v>15156.216</v>
      </c>
      <c r="AA454" s="683">
        <f t="shared" si="1258"/>
        <v>15156.216</v>
      </c>
      <c r="AB454" s="683">
        <f t="shared" si="1258"/>
        <v>15156.216</v>
      </c>
      <c r="AC454" s="683">
        <f t="shared" si="1258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259">3620*$K$1</f>
        <v>15156.216</v>
      </c>
      <c r="AN454" s="683">
        <f t="shared" si="1259"/>
        <v>15156.216</v>
      </c>
      <c r="AO454" s="683">
        <f t="shared" si="1259"/>
        <v>15156.216</v>
      </c>
      <c r="AP454" s="683">
        <f t="shared" si="1259"/>
        <v>15156.216</v>
      </c>
      <c r="AQ454" s="683">
        <f t="shared" si="1259"/>
        <v>15156.216</v>
      </c>
      <c r="AR454" s="683">
        <f t="shared" si="1259"/>
        <v>15156.216</v>
      </c>
      <c r="AS454" s="683">
        <f t="shared" si="1259"/>
        <v>15156.216</v>
      </c>
      <c r="AT454" s="683">
        <f t="shared" si="1259"/>
        <v>15156.216</v>
      </c>
      <c r="AU454" s="683">
        <f t="shared" si="1259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260">3620*$K$1</f>
        <v>15156.216</v>
      </c>
      <c r="BF454" s="1225">
        <f t="shared" si="1260"/>
        <v>15156.216</v>
      </c>
      <c r="BG454" s="1225">
        <f t="shared" si="1260"/>
        <v>15156.216</v>
      </c>
      <c r="BH454" s="1225">
        <f t="shared" si="1260"/>
        <v>15156.216</v>
      </c>
      <c r="BI454" s="1225">
        <f t="shared" si="1260"/>
        <v>15156.216</v>
      </c>
      <c r="BJ454" s="1225">
        <f t="shared" si="1260"/>
        <v>15156.216</v>
      </c>
      <c r="BK454" s="1225">
        <f t="shared" si="1260"/>
        <v>15156.216</v>
      </c>
      <c r="BL454" s="1225">
        <f t="shared" si="1260"/>
        <v>15156.216</v>
      </c>
      <c r="BM454" s="1225">
        <f t="shared" si="1260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>3620*$K$1</f>
        <v>15156.216</v>
      </c>
      <c r="BW454" s="683">
        <f>3620*$K$1</f>
        <v>15156.216</v>
      </c>
      <c r="BX454" s="683">
        <f>3620*$K$1</f>
        <v>15156.216</v>
      </c>
      <c r="BY454" s="683">
        <f>3620*$K$1</f>
        <v>15156.216</v>
      </c>
      <c r="BZ454" s="582">
        <f t="shared" si="1200"/>
        <v>15156.216000000002</v>
      </c>
      <c r="CA454" s="582">
        <f t="shared" si="1201"/>
        <v>15156.216000000002</v>
      </c>
      <c r="CB454" s="582">
        <f t="shared" si="1202"/>
        <v>15156.216000000002</v>
      </c>
      <c r="CC454" s="670">
        <f t="shared" si="1203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252"/>
        <v>15156.216</v>
      </c>
      <c r="CF454" s="989">
        <f t="shared" si="1252"/>
        <v>15156.216</v>
      </c>
      <c r="CG454" s="989">
        <f t="shared" si="1252"/>
        <v>15156.216</v>
      </c>
      <c r="CH454" s="990">
        <f t="shared" si="1252"/>
        <v>15156.216</v>
      </c>
      <c r="CI454" s="990">
        <f t="shared" si="1252"/>
        <v>15156.216</v>
      </c>
      <c r="CJ454" s="989">
        <f t="shared" si="1252"/>
        <v>15156.216</v>
      </c>
      <c r="CK454" s="989">
        <f t="shared" si="1252"/>
        <v>15156.216</v>
      </c>
      <c r="CL454" s="989">
        <f t="shared" si="1252"/>
        <v>15156.216</v>
      </c>
      <c r="CM454" s="988">
        <f t="shared" si="1252"/>
        <v>15156.216</v>
      </c>
      <c r="CN454" s="533" t="str">
        <f t="shared" si="1231"/>
        <v/>
      </c>
      <c r="CO454" s="534" t="str">
        <f t="shared" si="1232"/>
        <v/>
      </c>
      <c r="CP454" s="535" t="str">
        <f t="shared" si="1233"/>
        <v/>
      </c>
      <c r="CQ454" s="535" t="str">
        <f t="shared" si="1234"/>
        <v/>
      </c>
      <c r="CR454" s="535">
        <f t="shared" si="1235"/>
        <v>15156.216</v>
      </c>
      <c r="CS454" s="535">
        <f t="shared" si="1236"/>
        <v>15156.216</v>
      </c>
      <c r="CT454" s="535">
        <f t="shared" si="1237"/>
        <v>15156.216</v>
      </c>
      <c r="CU454" s="536">
        <f t="shared" si="1238"/>
        <v>15156.216</v>
      </c>
      <c r="CV454" s="536">
        <f t="shared" si="1239"/>
        <v>15156.216</v>
      </c>
      <c r="CW454" s="536">
        <f t="shared" si="1240"/>
        <v>15156.216</v>
      </c>
      <c r="CX454" s="535">
        <f t="shared" si="1241"/>
        <v>15156.216</v>
      </c>
      <c r="CY454" s="535">
        <f t="shared" si="1242"/>
        <v>15156.216</v>
      </c>
      <c r="CZ454" s="535">
        <f t="shared" si="1243"/>
        <v>15156.216</v>
      </c>
      <c r="DA454" s="535">
        <f t="shared" si="1244"/>
        <v>15156.216</v>
      </c>
      <c r="DB454" s="535" t="str">
        <f t="shared" si="1245"/>
        <v/>
      </c>
      <c r="DC454" s="534" t="str">
        <f t="shared" si="1246"/>
        <v/>
      </c>
      <c r="DD454" s="533" t="str">
        <f t="shared" si="1247"/>
        <v/>
      </c>
      <c r="DE454" s="635">
        <f t="shared" si="1248"/>
        <v>10</v>
      </c>
      <c r="DF454" s="95">
        <f t="shared" si="1249"/>
        <v>10</v>
      </c>
      <c r="DG454" s="95">
        <f t="shared" si="1250"/>
        <v>10</v>
      </c>
      <c r="DH454" s="95">
        <f t="shared" si="1251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261">IF(B453="","",B453*B454/B$46/365/$G$1)</f>
        <v/>
      </c>
      <c r="C455" s="615" t="str">
        <f t="shared" si="1261"/>
        <v/>
      </c>
      <c r="D455" s="615" t="str">
        <f t="shared" si="1261"/>
        <v/>
      </c>
      <c r="E455" s="615" t="str">
        <f t="shared" si="1261"/>
        <v/>
      </c>
      <c r="F455" s="615" t="str">
        <f t="shared" si="1261"/>
        <v/>
      </c>
      <c r="G455" s="615" t="str">
        <f t="shared" si="1261"/>
        <v/>
      </c>
      <c r="H455" s="615" t="str">
        <f t="shared" si="1261"/>
        <v/>
      </c>
      <c r="I455" s="615" t="str">
        <f t="shared" si="1261"/>
        <v/>
      </c>
      <c r="J455" s="615" t="str">
        <f t="shared" si="1261"/>
        <v/>
      </c>
      <c r="K455" s="615" t="str">
        <f t="shared" si="1261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262">IF(T453="","",T453*T454/T$46/365/$G$1)</f>
        <v/>
      </c>
      <c r="U455" s="615" t="str">
        <f t="shared" si="1262"/>
        <v/>
      </c>
      <c r="V455" s="615" t="str">
        <f t="shared" si="1262"/>
        <v/>
      </c>
      <c r="W455" s="615" t="str">
        <f t="shared" si="1262"/>
        <v/>
      </c>
      <c r="X455" s="615" t="str">
        <f t="shared" si="1262"/>
        <v/>
      </c>
      <c r="Y455" s="615" t="str">
        <f t="shared" si="1262"/>
        <v/>
      </c>
      <c r="Z455" s="615" t="str">
        <f t="shared" si="1262"/>
        <v/>
      </c>
      <c r="AA455" s="615" t="str">
        <f t="shared" si="1262"/>
        <v/>
      </c>
      <c r="AB455" s="615" t="str">
        <f t="shared" si="1262"/>
        <v/>
      </c>
      <c r="AC455" s="615" t="str">
        <f t="shared" si="1262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263">IF(AL453="","",AL453*AL454/AL$46/365/$G$1)</f>
        <v/>
      </c>
      <c r="AM455" s="615" t="str">
        <f t="shared" si="1263"/>
        <v/>
      </c>
      <c r="AN455" s="615" t="str">
        <f t="shared" si="1263"/>
        <v/>
      </c>
      <c r="AO455" s="615" t="str">
        <f t="shared" si="1263"/>
        <v/>
      </c>
      <c r="AP455" s="615" t="str">
        <f t="shared" si="1263"/>
        <v/>
      </c>
      <c r="AQ455" s="615" t="str">
        <f t="shared" si="1263"/>
        <v/>
      </c>
      <c r="AR455" s="615" t="str">
        <f t="shared" si="1263"/>
        <v/>
      </c>
      <c r="AS455" s="615" t="str">
        <f t="shared" si="1263"/>
        <v/>
      </c>
      <c r="AT455" s="615" t="str">
        <f t="shared" si="1263"/>
        <v/>
      </c>
      <c r="AU455" s="615" t="str">
        <f t="shared" si="1263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264">IF(BD453="","",BD453*BD454/BD$46/365/$G$1)</f>
        <v/>
      </c>
      <c r="BE455" s="1202" t="str">
        <f t="shared" si="1264"/>
        <v/>
      </c>
      <c r="BF455" s="1202" t="str">
        <f t="shared" si="1264"/>
        <v/>
      </c>
      <c r="BG455" s="1202" t="str">
        <f t="shared" si="1264"/>
        <v/>
      </c>
      <c r="BH455" s="1202" t="str">
        <f t="shared" si="1264"/>
        <v/>
      </c>
      <c r="BI455" s="1202" t="str">
        <f t="shared" si="1264"/>
        <v/>
      </c>
      <c r="BJ455" s="1202" t="str">
        <f t="shared" si="1264"/>
        <v/>
      </c>
      <c r="BK455" s="1202" t="str">
        <f t="shared" si="1264"/>
        <v/>
      </c>
      <c r="BL455" s="1202" t="str">
        <f t="shared" si="1264"/>
        <v/>
      </c>
      <c r="BM455" s="1202" t="str">
        <f t="shared" si="1264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00"/>
        <v/>
      </c>
      <c r="CA455" s="607" t="str">
        <f t="shared" si="1201"/>
        <v/>
      </c>
      <c r="CB455" s="607" t="str">
        <f t="shared" si="1202"/>
        <v/>
      </c>
      <c r="CC455" s="607" t="str">
        <f t="shared" si="1203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252"/>
        <v/>
      </c>
      <c r="CF455" s="992" t="str">
        <f t="shared" si="1252"/>
        <v/>
      </c>
      <c r="CG455" s="992" t="str">
        <f t="shared" si="1252"/>
        <v/>
      </c>
      <c r="CH455" s="993" t="str">
        <f t="shared" si="1252"/>
        <v/>
      </c>
      <c r="CI455" s="993" t="str">
        <f t="shared" si="1252"/>
        <v/>
      </c>
      <c r="CJ455" s="992" t="str">
        <f t="shared" si="1252"/>
        <v/>
      </c>
      <c r="CK455" s="992" t="str">
        <f t="shared" si="1252"/>
        <v/>
      </c>
      <c r="CL455" s="992" t="str">
        <f t="shared" si="1252"/>
        <v/>
      </c>
      <c r="CM455" s="991" t="str">
        <f t="shared" si="1252"/>
        <v/>
      </c>
      <c r="CN455" s="521" t="str">
        <f t="shared" si="1231"/>
        <v/>
      </c>
      <c r="CO455" s="522" t="str">
        <f t="shared" si="1232"/>
        <v/>
      </c>
      <c r="CP455" s="523" t="str">
        <f t="shared" si="1233"/>
        <v/>
      </c>
      <c r="CQ455" s="523" t="str">
        <f t="shared" si="1234"/>
        <v/>
      </c>
      <c r="CR455" s="523" t="str">
        <f t="shared" si="1235"/>
        <v/>
      </c>
      <c r="CS455" s="523" t="str">
        <f t="shared" si="1236"/>
        <v/>
      </c>
      <c r="CT455" s="523" t="str">
        <f t="shared" si="1237"/>
        <v/>
      </c>
      <c r="CU455" s="524" t="str">
        <f t="shared" si="1238"/>
        <v/>
      </c>
      <c r="CV455" s="524" t="str">
        <f t="shared" si="1239"/>
        <v/>
      </c>
      <c r="CW455" s="524" t="str">
        <f t="shared" si="1240"/>
        <v/>
      </c>
      <c r="CX455" s="523" t="str">
        <f t="shared" si="1241"/>
        <v/>
      </c>
      <c r="CY455" s="523" t="str">
        <f t="shared" si="1242"/>
        <v/>
      </c>
      <c r="CZ455" s="523" t="str">
        <f t="shared" si="1243"/>
        <v/>
      </c>
      <c r="DA455" s="523" t="str">
        <f t="shared" si="1244"/>
        <v/>
      </c>
      <c r="DB455" s="523" t="str">
        <f t="shared" si="1245"/>
        <v/>
      </c>
      <c r="DC455" s="522" t="str">
        <f t="shared" si="1246"/>
        <v/>
      </c>
      <c r="DD455" s="521" t="str">
        <f t="shared" si="1247"/>
        <v/>
      </c>
      <c r="DE455" s="635">
        <f t="shared" si="1248"/>
        <v>0</v>
      </c>
      <c r="DF455" s="95">
        <f t="shared" si="1249"/>
        <v>0</v>
      </c>
      <c r="DG455" s="95">
        <f t="shared" si="1250"/>
        <v>0</v>
      </c>
      <c r="DH455" s="95">
        <f t="shared" si="1251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00"/>
        <v/>
      </c>
      <c r="CA456" s="582" t="str">
        <f t="shared" si="1201"/>
        <v/>
      </c>
      <c r="CB456" s="582" t="str">
        <f t="shared" si="1202"/>
        <v/>
      </c>
      <c r="CC456" s="670" t="str">
        <f t="shared" si="1203"/>
        <v/>
      </c>
      <c r="CD456" s="988" t="str">
        <f t="shared" ref="CD456:CM457" si="126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265"/>
        <v/>
      </c>
      <c r="CF456" s="989" t="str">
        <f t="shared" si="1265"/>
        <v/>
      </c>
      <c r="CG456" s="989" t="str">
        <f t="shared" si="1265"/>
        <v/>
      </c>
      <c r="CH456" s="990" t="str">
        <f t="shared" si="1265"/>
        <v/>
      </c>
      <c r="CI456" s="990" t="str">
        <f t="shared" si="1265"/>
        <v/>
      </c>
      <c r="CJ456" s="989" t="str">
        <f t="shared" si="1265"/>
        <v/>
      </c>
      <c r="CK456" s="989" t="str">
        <f t="shared" si="1265"/>
        <v/>
      </c>
      <c r="CL456" s="989" t="str">
        <f t="shared" si="1265"/>
        <v/>
      </c>
      <c r="CM456" s="988" t="str">
        <f t="shared" si="1265"/>
        <v/>
      </c>
      <c r="CN456" s="533" t="str">
        <f t="shared" si="1231"/>
        <v/>
      </c>
      <c r="CO456" s="534" t="str">
        <f t="shared" si="1232"/>
        <v/>
      </c>
      <c r="CP456" s="535" t="str">
        <f t="shared" si="1233"/>
        <v/>
      </c>
      <c r="CQ456" s="535" t="str">
        <f t="shared" si="1234"/>
        <v/>
      </c>
      <c r="CR456" s="535" t="str">
        <f t="shared" si="1235"/>
        <v/>
      </c>
      <c r="CS456" s="535" t="str">
        <f t="shared" si="1236"/>
        <v/>
      </c>
      <c r="CT456" s="535" t="str">
        <f t="shared" si="1237"/>
        <v/>
      </c>
      <c r="CU456" s="536" t="str">
        <f t="shared" si="1238"/>
        <v/>
      </c>
      <c r="CV456" s="536" t="str">
        <f t="shared" si="1239"/>
        <v/>
      </c>
      <c r="CW456" s="536" t="str">
        <f t="shared" si="1240"/>
        <v/>
      </c>
      <c r="CX456" s="535" t="str">
        <f t="shared" si="1241"/>
        <v/>
      </c>
      <c r="CY456" s="535" t="str">
        <f t="shared" si="1242"/>
        <v/>
      </c>
      <c r="CZ456" s="535" t="str">
        <f t="shared" si="1243"/>
        <v/>
      </c>
      <c r="DA456" s="535" t="str">
        <f t="shared" si="1244"/>
        <v/>
      </c>
      <c r="DB456" s="535" t="str">
        <f t="shared" si="1245"/>
        <v/>
      </c>
      <c r="DC456" s="534" t="str">
        <f t="shared" si="1246"/>
        <v/>
      </c>
      <c r="DD456" s="533" t="str">
        <f t="shared" si="1247"/>
        <v/>
      </c>
      <c r="DE456" s="635">
        <f t="shared" si="1248"/>
        <v>0</v>
      </c>
      <c r="DF456" s="95">
        <f t="shared" si="1249"/>
        <v>0</v>
      </c>
      <c r="DG456" s="95">
        <f t="shared" si="1250"/>
        <v>0</v>
      </c>
      <c r="DH456" s="95">
        <f t="shared" si="1251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266">IF(B456="","",B451*B456*B452)</f>
        <v/>
      </c>
      <c r="C457" s="612" t="str">
        <f t="shared" si="1266"/>
        <v/>
      </c>
      <c r="D457" s="612" t="str">
        <f t="shared" si="1266"/>
        <v/>
      </c>
      <c r="E457" s="612" t="str">
        <f t="shared" si="1266"/>
        <v/>
      </c>
      <c r="F457" s="612" t="str">
        <f t="shared" si="1266"/>
        <v/>
      </c>
      <c r="G457" s="612" t="str">
        <f t="shared" si="1266"/>
        <v/>
      </c>
      <c r="H457" s="612" t="str">
        <f t="shared" si="1266"/>
        <v/>
      </c>
      <c r="I457" s="612" t="str">
        <f t="shared" si="1266"/>
        <v/>
      </c>
      <c r="J457" s="612" t="str">
        <f t="shared" si="1266"/>
        <v/>
      </c>
      <c r="K457" s="612" t="str">
        <f t="shared" si="1266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267">IF(T456="","",T451*T456*T452)</f>
        <v/>
      </c>
      <c r="U457" s="612" t="str">
        <f t="shared" si="1267"/>
        <v/>
      </c>
      <c r="V457" s="612" t="str">
        <f t="shared" si="1267"/>
        <v/>
      </c>
      <c r="W457" s="612" t="str">
        <f t="shared" si="1267"/>
        <v/>
      </c>
      <c r="X457" s="612" t="str">
        <f t="shared" si="1267"/>
        <v/>
      </c>
      <c r="Y457" s="612" t="str">
        <f t="shared" si="1267"/>
        <v/>
      </c>
      <c r="Z457" s="612" t="str">
        <f t="shared" si="1267"/>
        <v/>
      </c>
      <c r="AA457" s="612" t="str">
        <f t="shared" si="1267"/>
        <v/>
      </c>
      <c r="AB457" s="612" t="str">
        <f t="shared" si="1267"/>
        <v/>
      </c>
      <c r="AC457" s="612" t="str">
        <f t="shared" si="1267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268">IF(AL456="","",AL451*AL456*AL452)</f>
        <v/>
      </c>
      <c r="AM457" s="612" t="str">
        <f t="shared" si="1268"/>
        <v/>
      </c>
      <c r="AN457" s="612" t="str">
        <f t="shared" si="1268"/>
        <v/>
      </c>
      <c r="AO457" s="612" t="str">
        <f t="shared" si="1268"/>
        <v/>
      </c>
      <c r="AP457" s="612" t="str">
        <f t="shared" si="1268"/>
        <v/>
      </c>
      <c r="AQ457" s="612" t="str">
        <f t="shared" si="1268"/>
        <v/>
      </c>
      <c r="AR457" s="612" t="str">
        <f t="shared" si="1268"/>
        <v/>
      </c>
      <c r="AS457" s="612" t="str">
        <f t="shared" si="1268"/>
        <v/>
      </c>
      <c r="AT457" s="612" t="str">
        <f t="shared" si="1268"/>
        <v/>
      </c>
      <c r="AU457" s="612" t="str">
        <f t="shared" si="1268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269">IF(BD456="","",BD451*BD456*BD452)</f>
        <v/>
      </c>
      <c r="BE457" s="1201" t="str">
        <f t="shared" si="1269"/>
        <v/>
      </c>
      <c r="BF457" s="1201" t="str">
        <f t="shared" si="1269"/>
        <v/>
      </c>
      <c r="BG457" s="1201" t="str">
        <f t="shared" si="1269"/>
        <v/>
      </c>
      <c r="BH457" s="1201" t="str">
        <f t="shared" si="1269"/>
        <v/>
      </c>
      <c r="BI457" s="1201" t="str">
        <f t="shared" si="1269"/>
        <v/>
      </c>
      <c r="BJ457" s="1201" t="str">
        <f t="shared" si="1269"/>
        <v/>
      </c>
      <c r="BK457" s="1201" t="str">
        <f t="shared" si="1269"/>
        <v/>
      </c>
      <c r="BL457" s="1201" t="str">
        <f t="shared" si="1269"/>
        <v/>
      </c>
      <c r="BM457" s="1201" t="str">
        <f t="shared" si="1269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00"/>
        <v/>
      </c>
      <c r="CA457" s="582" t="str">
        <f t="shared" si="1201"/>
        <v/>
      </c>
      <c r="CB457" s="582" t="str">
        <f t="shared" si="1202"/>
        <v/>
      </c>
      <c r="CC457" s="670" t="str">
        <f t="shared" si="1203"/>
        <v/>
      </c>
      <c r="CD457" s="988" t="str">
        <f t="shared" si="1265"/>
        <v/>
      </c>
      <c r="CE457" s="989" t="str">
        <f t="shared" ref="CE457:CM457" si="127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270"/>
        <v/>
      </c>
      <c r="CG457" s="989" t="str">
        <f t="shared" si="1270"/>
        <v/>
      </c>
      <c r="CH457" s="990" t="str">
        <f t="shared" si="1270"/>
        <v/>
      </c>
      <c r="CI457" s="990" t="str">
        <f t="shared" si="1270"/>
        <v/>
      </c>
      <c r="CJ457" s="989" t="str">
        <f t="shared" si="1270"/>
        <v/>
      </c>
      <c r="CK457" s="989" t="str">
        <f t="shared" si="1270"/>
        <v/>
      </c>
      <c r="CL457" s="989" t="str">
        <f t="shared" si="1270"/>
        <v/>
      </c>
      <c r="CM457" s="988" t="str">
        <f t="shared" si="1270"/>
        <v/>
      </c>
      <c r="CN457" s="533" t="str">
        <f t="shared" si="1231"/>
        <v/>
      </c>
      <c r="CO457" s="534" t="str">
        <f t="shared" si="1232"/>
        <v/>
      </c>
      <c r="CP457" s="535" t="str">
        <f t="shared" si="1233"/>
        <v/>
      </c>
      <c r="CQ457" s="535" t="str">
        <f t="shared" si="1234"/>
        <v/>
      </c>
      <c r="CR457" s="535" t="str">
        <f t="shared" si="1235"/>
        <v/>
      </c>
      <c r="CS457" s="535" t="str">
        <f t="shared" si="1236"/>
        <v/>
      </c>
      <c r="CT457" s="535" t="str">
        <f t="shared" si="1237"/>
        <v/>
      </c>
      <c r="CU457" s="536" t="str">
        <f t="shared" si="1238"/>
        <v/>
      </c>
      <c r="CV457" s="536" t="str">
        <f t="shared" si="1239"/>
        <v/>
      </c>
      <c r="CW457" s="536" t="str">
        <f t="shared" si="1240"/>
        <v/>
      </c>
      <c r="CX457" s="535" t="str">
        <f t="shared" si="1241"/>
        <v/>
      </c>
      <c r="CY457" s="535" t="str">
        <f t="shared" si="1242"/>
        <v/>
      </c>
      <c r="CZ457" s="535" t="str">
        <f t="shared" si="1243"/>
        <v/>
      </c>
      <c r="DA457" s="535" t="str">
        <f t="shared" si="1244"/>
        <v/>
      </c>
      <c r="DB457" s="535" t="str">
        <f t="shared" si="1245"/>
        <v/>
      </c>
      <c r="DC457" s="534" t="str">
        <f t="shared" si="1246"/>
        <v/>
      </c>
      <c r="DD457" s="533" t="str">
        <f t="shared" si="1247"/>
        <v/>
      </c>
      <c r="DE457" s="635">
        <f t="shared" si="1248"/>
        <v>0</v>
      </c>
      <c r="DF457" s="95">
        <f t="shared" si="1249"/>
        <v>0</v>
      </c>
      <c r="DG457" s="95">
        <f t="shared" si="1250"/>
        <v>0</v>
      </c>
      <c r="DH457" s="95">
        <f t="shared" si="1251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00"/>
        <v/>
      </c>
      <c r="CA458" s="574" t="str">
        <f t="shared" si="1201"/>
        <v/>
      </c>
      <c r="CB458" s="574" t="str">
        <f t="shared" si="1202"/>
        <v/>
      </c>
      <c r="CC458" s="669" t="str">
        <f t="shared" si="1203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00"/>
        <v/>
      </c>
      <c r="CA459" s="582" t="str">
        <f t="shared" si="1201"/>
        <v/>
      </c>
      <c r="CB459" s="582" t="str">
        <f t="shared" si="1202"/>
        <v/>
      </c>
      <c r="CC459" s="670" t="str">
        <f t="shared" si="1203"/>
        <v/>
      </c>
      <c r="CD459" s="988" t="str">
        <f t="shared" ref="CD459:CM459" si="127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271"/>
        <v/>
      </c>
      <c r="CF459" s="989" t="str">
        <f t="shared" si="1271"/>
        <v/>
      </c>
      <c r="CG459" s="989" t="str">
        <f t="shared" si="1271"/>
        <v/>
      </c>
      <c r="CH459" s="990" t="str">
        <f t="shared" si="1271"/>
        <v/>
      </c>
      <c r="CI459" s="990" t="str">
        <f t="shared" si="1271"/>
        <v/>
      </c>
      <c r="CJ459" s="989" t="str">
        <f t="shared" si="1271"/>
        <v/>
      </c>
      <c r="CK459" s="989" t="str">
        <f t="shared" si="1271"/>
        <v/>
      </c>
      <c r="CL459" s="989" t="str">
        <f t="shared" si="1271"/>
        <v/>
      </c>
      <c r="CM459" s="988" t="str">
        <f t="shared" si="1271"/>
        <v/>
      </c>
      <c r="CN459" s="533" t="str">
        <f t="shared" ref="CN459:CN466" si="127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27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7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27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27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27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27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27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28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28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28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28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28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28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28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28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28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289">COUNT(B459:R459)</f>
        <v>0</v>
      </c>
      <c r="DF459" s="95">
        <f t="shared" ref="DF459:DF466" si="1290">COUNT(T459:AJ459)</f>
        <v>0</v>
      </c>
      <c r="DG459" s="95">
        <f t="shared" ref="DG459:DG466" si="1291">COUNT(AL459:BB459)</f>
        <v>0</v>
      </c>
      <c r="DH459" s="95">
        <f t="shared" ref="DH459:DH466" si="1292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00"/>
        <v/>
      </c>
      <c r="CA460" s="582" t="str">
        <f t="shared" si="1201"/>
        <v/>
      </c>
      <c r="CB460" s="582" t="str">
        <f t="shared" si="1202"/>
        <v/>
      </c>
      <c r="CC460" s="670" t="str">
        <f t="shared" si="1203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29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293"/>
        <v/>
      </c>
      <c r="CG460" s="989" t="str">
        <f t="shared" si="1293"/>
        <v/>
      </c>
      <c r="CH460" s="990" t="str">
        <f t="shared" si="1293"/>
        <v/>
      </c>
      <c r="CI460" s="990" t="str">
        <f t="shared" si="1293"/>
        <v/>
      </c>
      <c r="CJ460" s="989" t="str">
        <f t="shared" si="1293"/>
        <v/>
      </c>
      <c r="CK460" s="989" t="str">
        <f t="shared" si="1293"/>
        <v/>
      </c>
      <c r="CL460" s="989" t="str">
        <f t="shared" si="1293"/>
        <v/>
      </c>
      <c r="CM460" s="988" t="str">
        <f t="shared" si="1293"/>
        <v/>
      </c>
      <c r="CN460" s="533" t="str">
        <f t="shared" si="1272"/>
        <v/>
      </c>
      <c r="CO460" s="534" t="str">
        <f t="shared" si="1273"/>
        <v/>
      </c>
      <c r="CP460" s="535" t="str">
        <f t="shared" si="1274"/>
        <v/>
      </c>
      <c r="CQ460" s="535" t="str">
        <f t="shared" si="1275"/>
        <v/>
      </c>
      <c r="CR460" s="535" t="str">
        <f t="shared" si="1276"/>
        <v/>
      </c>
      <c r="CS460" s="535" t="str">
        <f t="shared" si="1277"/>
        <v/>
      </c>
      <c r="CT460" s="535" t="str">
        <f t="shared" si="1278"/>
        <v/>
      </c>
      <c r="CU460" s="536" t="str">
        <f t="shared" si="1279"/>
        <v/>
      </c>
      <c r="CV460" s="536" t="str">
        <f t="shared" si="1280"/>
        <v/>
      </c>
      <c r="CW460" s="536" t="str">
        <f t="shared" si="1281"/>
        <v/>
      </c>
      <c r="CX460" s="535" t="str">
        <f t="shared" si="1282"/>
        <v/>
      </c>
      <c r="CY460" s="535" t="str">
        <f t="shared" si="1283"/>
        <v/>
      </c>
      <c r="CZ460" s="535" t="str">
        <f t="shared" si="1284"/>
        <v/>
      </c>
      <c r="DA460" s="535" t="str">
        <f t="shared" si="1285"/>
        <v/>
      </c>
      <c r="DB460" s="535" t="str">
        <f t="shared" si="1286"/>
        <v/>
      </c>
      <c r="DC460" s="534" t="str">
        <f t="shared" si="1287"/>
        <v/>
      </c>
      <c r="DD460" s="533" t="str">
        <f t="shared" si="1288"/>
        <v/>
      </c>
      <c r="DE460" s="635">
        <f t="shared" si="1289"/>
        <v>0</v>
      </c>
      <c r="DF460" s="95">
        <f t="shared" si="1290"/>
        <v>0</v>
      </c>
      <c r="DG460" s="95">
        <f t="shared" si="1291"/>
        <v>0</v>
      </c>
      <c r="DH460" s="95">
        <f t="shared" si="1292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00"/>
        <v/>
      </c>
      <c r="CA461" s="582" t="str">
        <f t="shared" si="1201"/>
        <v/>
      </c>
      <c r="CB461" s="582" t="str">
        <f t="shared" si="1202"/>
        <v/>
      </c>
      <c r="CC461" s="670" t="str">
        <f t="shared" si="1203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293"/>
        <v/>
      </c>
      <c r="CF461" s="989" t="str">
        <f t="shared" si="1293"/>
        <v/>
      </c>
      <c r="CG461" s="989" t="str">
        <f t="shared" si="1293"/>
        <v/>
      </c>
      <c r="CH461" s="990" t="str">
        <f t="shared" si="1293"/>
        <v/>
      </c>
      <c r="CI461" s="990" t="str">
        <f t="shared" si="1293"/>
        <v/>
      </c>
      <c r="CJ461" s="989" t="str">
        <f t="shared" si="1293"/>
        <v/>
      </c>
      <c r="CK461" s="989" t="str">
        <f t="shared" si="1293"/>
        <v/>
      </c>
      <c r="CL461" s="989" t="str">
        <f t="shared" si="1293"/>
        <v/>
      </c>
      <c r="CM461" s="988" t="str">
        <f t="shared" si="1293"/>
        <v/>
      </c>
      <c r="CN461" s="533" t="str">
        <f t="shared" si="1272"/>
        <v/>
      </c>
      <c r="CO461" s="534" t="str">
        <f t="shared" si="1273"/>
        <v/>
      </c>
      <c r="CP461" s="535" t="str">
        <f t="shared" si="1274"/>
        <v/>
      </c>
      <c r="CQ461" s="535" t="str">
        <f t="shared" si="1275"/>
        <v/>
      </c>
      <c r="CR461" s="535" t="str">
        <f t="shared" si="1276"/>
        <v/>
      </c>
      <c r="CS461" s="535" t="str">
        <f t="shared" si="1277"/>
        <v/>
      </c>
      <c r="CT461" s="535" t="str">
        <f t="shared" si="1278"/>
        <v/>
      </c>
      <c r="CU461" s="536" t="str">
        <f t="shared" si="1279"/>
        <v/>
      </c>
      <c r="CV461" s="536" t="str">
        <f t="shared" si="1280"/>
        <v/>
      </c>
      <c r="CW461" s="536" t="str">
        <f t="shared" si="1281"/>
        <v/>
      </c>
      <c r="CX461" s="535" t="str">
        <f t="shared" si="1282"/>
        <v/>
      </c>
      <c r="CY461" s="535" t="str">
        <f t="shared" si="1283"/>
        <v/>
      </c>
      <c r="CZ461" s="535" t="str">
        <f t="shared" si="1284"/>
        <v/>
      </c>
      <c r="DA461" s="535" t="str">
        <f t="shared" si="1285"/>
        <v/>
      </c>
      <c r="DB461" s="535" t="str">
        <f t="shared" si="1286"/>
        <v/>
      </c>
      <c r="DC461" s="534" t="str">
        <f t="shared" si="1287"/>
        <v/>
      </c>
      <c r="DD461" s="533" t="str">
        <f t="shared" si="1288"/>
        <v/>
      </c>
      <c r="DE461" s="635">
        <f t="shared" si="1289"/>
        <v>0</v>
      </c>
      <c r="DF461" s="95">
        <f t="shared" si="1290"/>
        <v>0</v>
      </c>
      <c r="DG461" s="95">
        <f t="shared" si="1291"/>
        <v>0</v>
      </c>
      <c r="DH461" s="95">
        <f t="shared" si="1292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294">IF(B460="","",B459*B460*B461)</f>
        <v/>
      </c>
      <c r="C462" s="612" t="str">
        <f t="shared" si="1294"/>
        <v/>
      </c>
      <c r="D462" s="612" t="str">
        <f t="shared" si="1294"/>
        <v/>
      </c>
      <c r="E462" s="612" t="str">
        <f t="shared" si="1294"/>
        <v/>
      </c>
      <c r="F462" s="612" t="str">
        <f t="shared" si="1294"/>
        <v/>
      </c>
      <c r="G462" s="612" t="str">
        <f t="shared" si="1294"/>
        <v/>
      </c>
      <c r="H462" s="612" t="str">
        <f t="shared" si="1294"/>
        <v/>
      </c>
      <c r="I462" s="612" t="str">
        <f t="shared" si="1294"/>
        <v/>
      </c>
      <c r="J462" s="612" t="str">
        <f t="shared" si="1294"/>
        <v/>
      </c>
      <c r="K462" s="739" t="str">
        <f t="shared" si="1294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295">IF(T460="","",T459*T460*T461)</f>
        <v/>
      </c>
      <c r="U462" s="612" t="str">
        <f t="shared" si="1295"/>
        <v/>
      </c>
      <c r="V462" s="612" t="str">
        <f t="shared" si="1295"/>
        <v/>
      </c>
      <c r="W462" s="612" t="str">
        <f t="shared" si="1295"/>
        <v/>
      </c>
      <c r="X462" s="612" t="str">
        <f t="shared" si="1295"/>
        <v/>
      </c>
      <c r="Y462" s="612" t="str">
        <f t="shared" si="1295"/>
        <v/>
      </c>
      <c r="Z462" s="612" t="str">
        <f t="shared" si="1295"/>
        <v/>
      </c>
      <c r="AA462" s="612" t="str">
        <f t="shared" si="1295"/>
        <v/>
      </c>
      <c r="AB462" s="612" t="str">
        <f t="shared" si="1295"/>
        <v/>
      </c>
      <c r="AC462" s="612" t="str">
        <f t="shared" si="1295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296">IF(AL460="","",AL459*AL460*AL461)</f>
        <v/>
      </c>
      <c r="AM462" s="612" t="str">
        <f t="shared" si="1296"/>
        <v/>
      </c>
      <c r="AN462" s="612" t="str">
        <f t="shared" si="1296"/>
        <v/>
      </c>
      <c r="AO462" s="612" t="str">
        <f t="shared" si="1296"/>
        <v/>
      </c>
      <c r="AP462" s="612" t="str">
        <f t="shared" si="1296"/>
        <v/>
      </c>
      <c r="AQ462" s="612" t="str">
        <f t="shared" si="1296"/>
        <v/>
      </c>
      <c r="AR462" s="612" t="str">
        <f t="shared" si="1296"/>
        <v/>
      </c>
      <c r="AS462" s="612" t="str">
        <f t="shared" si="1296"/>
        <v/>
      </c>
      <c r="AT462" s="612" t="str">
        <f t="shared" si="1296"/>
        <v/>
      </c>
      <c r="AU462" s="612" t="str">
        <f t="shared" si="1296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297">IF(BD460="","",BD459*BD460*BD461)</f>
        <v/>
      </c>
      <c r="BE462" s="1201" t="str">
        <f t="shared" si="1297"/>
        <v/>
      </c>
      <c r="BF462" s="1201" t="str">
        <f t="shared" si="1297"/>
        <v/>
      </c>
      <c r="BG462" s="1201" t="str">
        <f t="shared" si="1297"/>
        <v/>
      </c>
      <c r="BH462" s="1201" t="str">
        <f t="shared" si="1297"/>
        <v/>
      </c>
      <c r="BI462" s="1201" t="str">
        <f t="shared" si="1297"/>
        <v/>
      </c>
      <c r="BJ462" s="1201" t="str">
        <f t="shared" si="1297"/>
        <v/>
      </c>
      <c r="BK462" s="1201" t="str">
        <f t="shared" si="1297"/>
        <v/>
      </c>
      <c r="BL462" s="1201" t="str">
        <f t="shared" si="1297"/>
        <v/>
      </c>
      <c r="BM462" s="1201" t="str">
        <f t="shared" si="1297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00"/>
        <v/>
      </c>
      <c r="CA462" s="582" t="str">
        <f t="shared" si="1201"/>
        <v/>
      </c>
      <c r="CB462" s="582" t="str">
        <f t="shared" si="1202"/>
        <v/>
      </c>
      <c r="CC462" s="670" t="str">
        <f t="shared" si="1203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293"/>
        <v/>
      </c>
      <c r="CF462" s="989" t="str">
        <f t="shared" si="1293"/>
        <v/>
      </c>
      <c r="CG462" s="989" t="str">
        <f t="shared" si="1293"/>
        <v/>
      </c>
      <c r="CH462" s="990" t="str">
        <f t="shared" si="1293"/>
        <v/>
      </c>
      <c r="CI462" s="990" t="str">
        <f t="shared" si="1293"/>
        <v/>
      </c>
      <c r="CJ462" s="989" t="str">
        <f t="shared" si="1293"/>
        <v/>
      </c>
      <c r="CK462" s="989" t="str">
        <f t="shared" si="1293"/>
        <v/>
      </c>
      <c r="CL462" s="989" t="str">
        <f t="shared" si="1293"/>
        <v/>
      </c>
      <c r="CM462" s="988" t="str">
        <f t="shared" si="1293"/>
        <v/>
      </c>
      <c r="CN462" s="533" t="str">
        <f t="shared" si="1272"/>
        <v/>
      </c>
      <c r="CO462" s="534" t="str">
        <f t="shared" si="1273"/>
        <v/>
      </c>
      <c r="CP462" s="535" t="str">
        <f t="shared" si="1274"/>
        <v/>
      </c>
      <c r="CQ462" s="535" t="str">
        <f t="shared" si="1275"/>
        <v/>
      </c>
      <c r="CR462" s="535" t="str">
        <f t="shared" si="1276"/>
        <v/>
      </c>
      <c r="CS462" s="535" t="str">
        <f t="shared" si="1277"/>
        <v/>
      </c>
      <c r="CT462" s="535" t="str">
        <f t="shared" si="1278"/>
        <v/>
      </c>
      <c r="CU462" s="536" t="str">
        <f t="shared" si="1279"/>
        <v/>
      </c>
      <c r="CV462" s="536" t="str">
        <f t="shared" si="1280"/>
        <v/>
      </c>
      <c r="CW462" s="536" t="str">
        <f t="shared" si="1281"/>
        <v/>
      </c>
      <c r="CX462" s="535" t="str">
        <f t="shared" si="1282"/>
        <v/>
      </c>
      <c r="CY462" s="535" t="str">
        <f t="shared" si="1283"/>
        <v/>
      </c>
      <c r="CZ462" s="535" t="str">
        <f t="shared" si="1284"/>
        <v/>
      </c>
      <c r="DA462" s="535" t="str">
        <f t="shared" si="1285"/>
        <v/>
      </c>
      <c r="DB462" s="535" t="str">
        <f t="shared" si="1286"/>
        <v/>
      </c>
      <c r="DC462" s="534" t="str">
        <f t="shared" si="1287"/>
        <v/>
      </c>
      <c r="DD462" s="533" t="str">
        <f t="shared" si="1288"/>
        <v/>
      </c>
      <c r="DE462" s="635">
        <f t="shared" si="1289"/>
        <v>0</v>
      </c>
      <c r="DF462" s="95">
        <f t="shared" si="1290"/>
        <v>0</v>
      </c>
      <c r="DG462" s="95">
        <f t="shared" si="1291"/>
        <v>0</v>
      </c>
      <c r="DH462" s="95">
        <f t="shared" si="1292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298">3630*$K$1</f>
        <v>15198.083999999999</v>
      </c>
      <c r="D463" s="740">
        <f t="shared" si="1298"/>
        <v>15198.083999999999</v>
      </c>
      <c r="E463" s="740">
        <f t="shared" si="1298"/>
        <v>15198.083999999999</v>
      </c>
      <c r="F463" s="740">
        <f t="shared" si="1298"/>
        <v>15198.083999999999</v>
      </c>
      <c r="G463" s="740">
        <f t="shared" si="1298"/>
        <v>15198.083999999999</v>
      </c>
      <c r="H463" s="740">
        <f t="shared" si="1298"/>
        <v>15198.083999999999</v>
      </c>
      <c r="I463" s="740">
        <f t="shared" si="1298"/>
        <v>15198.083999999999</v>
      </c>
      <c r="J463" s="740">
        <f t="shared" si="1298"/>
        <v>15198.083999999999</v>
      </c>
      <c r="K463" s="740">
        <f t="shared" si="1298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299">3630*$K$1</f>
        <v>15198.083999999999</v>
      </c>
      <c r="V463" s="740">
        <f t="shared" si="1299"/>
        <v>15198.083999999999</v>
      </c>
      <c r="W463" s="740">
        <f t="shared" si="1299"/>
        <v>15198.083999999999</v>
      </c>
      <c r="X463" s="740">
        <f t="shared" si="1299"/>
        <v>15198.083999999999</v>
      </c>
      <c r="Y463" s="740">
        <f t="shared" si="1299"/>
        <v>15198.083999999999</v>
      </c>
      <c r="Z463" s="740">
        <f t="shared" si="1299"/>
        <v>15198.083999999999</v>
      </c>
      <c r="AA463" s="740">
        <f t="shared" si="1299"/>
        <v>15198.083999999999</v>
      </c>
      <c r="AB463" s="740">
        <f t="shared" si="1299"/>
        <v>15198.083999999999</v>
      </c>
      <c r="AC463" s="740">
        <f t="shared" si="1299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00">3630*$K$1</f>
        <v>15198.083999999999</v>
      </c>
      <c r="AN463" s="740">
        <f t="shared" si="1300"/>
        <v>15198.083999999999</v>
      </c>
      <c r="AO463" s="740">
        <f t="shared" si="1300"/>
        <v>15198.083999999999</v>
      </c>
      <c r="AP463" s="740">
        <f t="shared" si="1300"/>
        <v>15198.083999999999</v>
      </c>
      <c r="AQ463" s="740">
        <f t="shared" si="1300"/>
        <v>15198.083999999999</v>
      </c>
      <c r="AR463" s="740">
        <f t="shared" si="1300"/>
        <v>15198.083999999999</v>
      </c>
      <c r="AS463" s="740">
        <f t="shared" si="1300"/>
        <v>15198.083999999999</v>
      </c>
      <c r="AT463" s="740">
        <f t="shared" si="1300"/>
        <v>15198.083999999999</v>
      </c>
      <c r="AU463" s="740">
        <f t="shared" si="1300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01">3630*$K$1</f>
        <v>15198.083999999999</v>
      </c>
      <c r="BF463" s="1236">
        <f t="shared" si="1301"/>
        <v>15198.083999999999</v>
      </c>
      <c r="BG463" s="1236">
        <f t="shared" si="1301"/>
        <v>15198.083999999999</v>
      </c>
      <c r="BH463" s="1236">
        <f t="shared" si="1301"/>
        <v>15198.083999999999</v>
      </c>
      <c r="BI463" s="1236">
        <f t="shared" si="1301"/>
        <v>15198.083999999999</v>
      </c>
      <c r="BJ463" s="1236">
        <f t="shared" si="1301"/>
        <v>15198.083999999999</v>
      </c>
      <c r="BK463" s="1236">
        <f t="shared" si="1301"/>
        <v>15198.083999999999</v>
      </c>
      <c r="BL463" s="1236">
        <f t="shared" si="1301"/>
        <v>15198.083999999999</v>
      </c>
      <c r="BM463" s="1236">
        <f t="shared" si="1301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>3630*$K$1</f>
        <v>15198.083999999999</v>
      </c>
      <c r="BW463" s="740">
        <f>3630*$K$1</f>
        <v>15198.083999999999</v>
      </c>
      <c r="BX463" s="740">
        <f>3630*$K$1</f>
        <v>15198.083999999999</v>
      </c>
      <c r="BY463" s="740">
        <f>3630*$K$1</f>
        <v>15198.083999999999</v>
      </c>
      <c r="BZ463" s="582">
        <f t="shared" si="1200"/>
        <v>15198.083999999999</v>
      </c>
      <c r="CA463" s="582">
        <f t="shared" si="1201"/>
        <v>15198.083999999999</v>
      </c>
      <c r="CB463" s="582">
        <f t="shared" si="1202"/>
        <v>15198.083999999999</v>
      </c>
      <c r="CC463" s="670">
        <f t="shared" si="1203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293"/>
        <v>15198.083999999999</v>
      </c>
      <c r="CF463" s="989">
        <f t="shared" si="1293"/>
        <v>15198.083999999999</v>
      </c>
      <c r="CG463" s="989">
        <f t="shared" si="1293"/>
        <v>15198.083999999999</v>
      </c>
      <c r="CH463" s="990">
        <f t="shared" si="1293"/>
        <v>15198.083999999999</v>
      </c>
      <c r="CI463" s="990">
        <f t="shared" si="1293"/>
        <v>15198.083999999999</v>
      </c>
      <c r="CJ463" s="989">
        <f t="shared" si="1293"/>
        <v>15198.083999999999</v>
      </c>
      <c r="CK463" s="989">
        <f t="shared" si="1293"/>
        <v>15198.083999999999</v>
      </c>
      <c r="CL463" s="989">
        <f t="shared" si="1293"/>
        <v>15198.083999999999</v>
      </c>
      <c r="CM463" s="988">
        <f t="shared" si="1293"/>
        <v>15198.083999999999</v>
      </c>
      <c r="CN463" s="533" t="str">
        <f t="shared" si="1272"/>
        <v/>
      </c>
      <c r="CO463" s="534" t="str">
        <f t="shared" si="1273"/>
        <v/>
      </c>
      <c r="CP463" s="535" t="str">
        <f t="shared" si="1274"/>
        <v/>
      </c>
      <c r="CQ463" s="535" t="str">
        <f t="shared" si="1275"/>
        <v/>
      </c>
      <c r="CR463" s="535">
        <f t="shared" si="1276"/>
        <v>15198.083999999999</v>
      </c>
      <c r="CS463" s="535">
        <f t="shared" si="1277"/>
        <v>15198.083999999999</v>
      </c>
      <c r="CT463" s="535">
        <f t="shared" si="1278"/>
        <v>15198.083999999999</v>
      </c>
      <c r="CU463" s="536">
        <f t="shared" si="1279"/>
        <v>15198.083999999999</v>
      </c>
      <c r="CV463" s="536">
        <f t="shared" si="1280"/>
        <v>15198.083999999999</v>
      </c>
      <c r="CW463" s="536">
        <f t="shared" si="1281"/>
        <v>15198.083999999999</v>
      </c>
      <c r="CX463" s="535">
        <f t="shared" si="1282"/>
        <v>15198.083999999999</v>
      </c>
      <c r="CY463" s="535">
        <f t="shared" si="1283"/>
        <v>15198.083999999999</v>
      </c>
      <c r="CZ463" s="535">
        <f t="shared" si="1284"/>
        <v>15198.083999999999</v>
      </c>
      <c r="DA463" s="535">
        <f t="shared" si="1285"/>
        <v>15198.083999999999</v>
      </c>
      <c r="DB463" s="535" t="str">
        <f t="shared" si="1286"/>
        <v/>
      </c>
      <c r="DC463" s="534" t="str">
        <f t="shared" si="1287"/>
        <v/>
      </c>
      <c r="DD463" s="533" t="str">
        <f t="shared" si="1288"/>
        <v/>
      </c>
      <c r="DE463" s="635">
        <f t="shared" si="1289"/>
        <v>10</v>
      </c>
      <c r="DF463" s="95">
        <f t="shared" si="1290"/>
        <v>10</v>
      </c>
      <c r="DG463" s="95">
        <f t="shared" si="1291"/>
        <v>10</v>
      </c>
      <c r="DH463" s="95">
        <f t="shared" si="1292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02">IF(B462="","",B462*B463/B$46/365/$G$1)</f>
        <v/>
      </c>
      <c r="C464" s="615" t="str">
        <f t="shared" si="1302"/>
        <v/>
      </c>
      <c r="D464" s="615" t="str">
        <f t="shared" si="1302"/>
        <v/>
      </c>
      <c r="E464" s="615" t="str">
        <f t="shared" si="1302"/>
        <v/>
      </c>
      <c r="F464" s="615" t="str">
        <f t="shared" si="1302"/>
        <v/>
      </c>
      <c r="G464" s="615" t="str">
        <f t="shared" si="1302"/>
        <v/>
      </c>
      <c r="H464" s="615" t="str">
        <f t="shared" si="1302"/>
        <v/>
      </c>
      <c r="I464" s="615" t="str">
        <f t="shared" si="1302"/>
        <v/>
      </c>
      <c r="J464" s="615" t="str">
        <f t="shared" si="1302"/>
        <v/>
      </c>
      <c r="K464" s="615" t="str">
        <f t="shared" si="1302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03">IF(T462="","",T462*T463/T$46/365/$G$1)</f>
        <v/>
      </c>
      <c r="U464" s="615" t="str">
        <f t="shared" si="1303"/>
        <v/>
      </c>
      <c r="V464" s="615" t="str">
        <f t="shared" si="1303"/>
        <v/>
      </c>
      <c r="W464" s="615" t="str">
        <f t="shared" si="1303"/>
        <v/>
      </c>
      <c r="X464" s="615" t="str">
        <f t="shared" si="1303"/>
        <v/>
      </c>
      <c r="Y464" s="615" t="str">
        <f t="shared" si="1303"/>
        <v/>
      </c>
      <c r="Z464" s="615" t="str">
        <f t="shared" si="1303"/>
        <v/>
      </c>
      <c r="AA464" s="615" t="str">
        <f t="shared" si="1303"/>
        <v/>
      </c>
      <c r="AB464" s="615" t="str">
        <f t="shared" si="1303"/>
        <v/>
      </c>
      <c r="AC464" s="615" t="str">
        <f t="shared" si="1303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04">IF(AL462="","",AL462*AL463/AL$46/365/$G$1)</f>
        <v/>
      </c>
      <c r="AM464" s="615" t="str">
        <f t="shared" si="1304"/>
        <v/>
      </c>
      <c r="AN464" s="615" t="str">
        <f t="shared" si="1304"/>
        <v/>
      </c>
      <c r="AO464" s="615" t="str">
        <f t="shared" si="1304"/>
        <v/>
      </c>
      <c r="AP464" s="615" t="str">
        <f t="shared" si="1304"/>
        <v/>
      </c>
      <c r="AQ464" s="615" t="str">
        <f t="shared" si="1304"/>
        <v/>
      </c>
      <c r="AR464" s="615" t="str">
        <f t="shared" si="1304"/>
        <v/>
      </c>
      <c r="AS464" s="615" t="str">
        <f t="shared" si="1304"/>
        <v/>
      </c>
      <c r="AT464" s="615" t="str">
        <f t="shared" si="1304"/>
        <v/>
      </c>
      <c r="AU464" s="615" t="str">
        <f t="shared" si="1304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05">IF(BD462="","",BD462*BD463/BD$46/365/$G$1)</f>
        <v/>
      </c>
      <c r="BE464" s="1202" t="str">
        <f t="shared" si="1305"/>
        <v/>
      </c>
      <c r="BF464" s="1202" t="str">
        <f t="shared" si="1305"/>
        <v/>
      </c>
      <c r="BG464" s="1202" t="str">
        <f t="shared" si="1305"/>
        <v/>
      </c>
      <c r="BH464" s="1202" t="str">
        <f t="shared" si="1305"/>
        <v/>
      </c>
      <c r="BI464" s="1202" t="str">
        <f t="shared" si="1305"/>
        <v/>
      </c>
      <c r="BJ464" s="1202" t="str">
        <f t="shared" si="1305"/>
        <v/>
      </c>
      <c r="BK464" s="1202" t="str">
        <f t="shared" si="1305"/>
        <v/>
      </c>
      <c r="BL464" s="1202" t="str">
        <f t="shared" si="1305"/>
        <v/>
      </c>
      <c r="BM464" s="1202" t="str">
        <f t="shared" si="1305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00"/>
        <v/>
      </c>
      <c r="CA464" s="607" t="str">
        <f t="shared" si="1201"/>
        <v/>
      </c>
      <c r="CB464" s="607" t="str">
        <f t="shared" si="1202"/>
        <v/>
      </c>
      <c r="CC464" s="607" t="str">
        <f t="shared" si="1203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293"/>
        <v/>
      </c>
      <c r="CF464" s="992" t="str">
        <f t="shared" si="1293"/>
        <v/>
      </c>
      <c r="CG464" s="992" t="str">
        <f t="shared" si="1293"/>
        <v/>
      </c>
      <c r="CH464" s="993" t="str">
        <f t="shared" si="1293"/>
        <v/>
      </c>
      <c r="CI464" s="993" t="str">
        <f t="shared" si="1293"/>
        <v/>
      </c>
      <c r="CJ464" s="992" t="str">
        <f t="shared" si="1293"/>
        <v/>
      </c>
      <c r="CK464" s="992" t="str">
        <f t="shared" si="1293"/>
        <v/>
      </c>
      <c r="CL464" s="992" t="str">
        <f t="shared" si="1293"/>
        <v/>
      </c>
      <c r="CM464" s="991" t="str">
        <f t="shared" si="1293"/>
        <v/>
      </c>
      <c r="CN464" s="521" t="str">
        <f t="shared" si="1272"/>
        <v/>
      </c>
      <c r="CO464" s="522" t="str">
        <f t="shared" si="1273"/>
        <v/>
      </c>
      <c r="CP464" s="523" t="str">
        <f t="shared" si="1274"/>
        <v/>
      </c>
      <c r="CQ464" s="523" t="str">
        <f t="shared" si="1275"/>
        <v/>
      </c>
      <c r="CR464" s="523" t="str">
        <f t="shared" si="1276"/>
        <v/>
      </c>
      <c r="CS464" s="523" t="str">
        <f t="shared" si="1277"/>
        <v/>
      </c>
      <c r="CT464" s="523" t="str">
        <f t="shared" si="1278"/>
        <v/>
      </c>
      <c r="CU464" s="524" t="str">
        <f t="shared" si="1279"/>
        <v/>
      </c>
      <c r="CV464" s="524" t="str">
        <f t="shared" si="1280"/>
        <v/>
      </c>
      <c r="CW464" s="524" t="str">
        <f t="shared" si="1281"/>
        <v/>
      </c>
      <c r="CX464" s="523" t="str">
        <f t="shared" si="1282"/>
        <v/>
      </c>
      <c r="CY464" s="523" t="str">
        <f t="shared" si="1283"/>
        <v/>
      </c>
      <c r="CZ464" s="523" t="str">
        <f t="shared" si="1284"/>
        <v/>
      </c>
      <c r="DA464" s="523" t="str">
        <f t="shared" si="1285"/>
        <v/>
      </c>
      <c r="DB464" s="523" t="str">
        <f t="shared" si="1286"/>
        <v/>
      </c>
      <c r="DC464" s="522" t="str">
        <f t="shared" si="1287"/>
        <v/>
      </c>
      <c r="DD464" s="521" t="str">
        <f t="shared" si="1288"/>
        <v/>
      </c>
      <c r="DE464" s="635">
        <f t="shared" si="1289"/>
        <v>0</v>
      </c>
      <c r="DF464" s="95">
        <f t="shared" si="1290"/>
        <v>0</v>
      </c>
      <c r="DG464" s="95">
        <f t="shared" si="1291"/>
        <v>0</v>
      </c>
      <c r="DH464" s="95">
        <f t="shared" si="1292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00"/>
        <v/>
      </c>
      <c r="CA465" s="582" t="str">
        <f t="shared" si="1201"/>
        <v/>
      </c>
      <c r="CB465" s="582" t="str">
        <f t="shared" si="1202"/>
        <v/>
      </c>
      <c r="CC465" s="670" t="str">
        <f t="shared" si="1203"/>
        <v/>
      </c>
      <c r="CD465" s="988" t="str">
        <f t="shared" ref="CD465:CM466" si="130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06"/>
        <v/>
      </c>
      <c r="CF465" s="989" t="str">
        <f t="shared" si="1306"/>
        <v/>
      </c>
      <c r="CG465" s="989" t="str">
        <f t="shared" si="1306"/>
        <v/>
      </c>
      <c r="CH465" s="990" t="str">
        <f t="shared" si="1306"/>
        <v/>
      </c>
      <c r="CI465" s="990" t="str">
        <f t="shared" si="1306"/>
        <v/>
      </c>
      <c r="CJ465" s="989" t="str">
        <f t="shared" si="1306"/>
        <v/>
      </c>
      <c r="CK465" s="989" t="str">
        <f t="shared" si="1306"/>
        <v/>
      </c>
      <c r="CL465" s="989" t="str">
        <f t="shared" si="1306"/>
        <v/>
      </c>
      <c r="CM465" s="988" t="str">
        <f t="shared" si="1306"/>
        <v/>
      </c>
      <c r="CN465" s="533" t="str">
        <f t="shared" si="1272"/>
        <v/>
      </c>
      <c r="CO465" s="534" t="str">
        <f t="shared" si="1273"/>
        <v/>
      </c>
      <c r="CP465" s="535" t="str">
        <f t="shared" si="1274"/>
        <v/>
      </c>
      <c r="CQ465" s="535" t="str">
        <f t="shared" si="1275"/>
        <v/>
      </c>
      <c r="CR465" s="535" t="str">
        <f t="shared" si="1276"/>
        <v/>
      </c>
      <c r="CS465" s="535" t="str">
        <f t="shared" si="1277"/>
        <v/>
      </c>
      <c r="CT465" s="535" t="str">
        <f t="shared" si="1278"/>
        <v/>
      </c>
      <c r="CU465" s="536" t="str">
        <f t="shared" si="1279"/>
        <v/>
      </c>
      <c r="CV465" s="536" t="str">
        <f t="shared" si="1280"/>
        <v/>
      </c>
      <c r="CW465" s="536" t="str">
        <f t="shared" si="1281"/>
        <v/>
      </c>
      <c r="CX465" s="535" t="str">
        <f t="shared" si="1282"/>
        <v/>
      </c>
      <c r="CY465" s="535" t="str">
        <f t="shared" si="1283"/>
        <v/>
      </c>
      <c r="CZ465" s="535" t="str">
        <f t="shared" si="1284"/>
        <v/>
      </c>
      <c r="DA465" s="535" t="str">
        <f t="shared" si="1285"/>
        <v/>
      </c>
      <c r="DB465" s="535" t="str">
        <f t="shared" si="1286"/>
        <v/>
      </c>
      <c r="DC465" s="534" t="str">
        <f t="shared" si="1287"/>
        <v/>
      </c>
      <c r="DD465" s="533" t="str">
        <f t="shared" si="1288"/>
        <v/>
      </c>
      <c r="DE465" s="635">
        <f t="shared" si="1289"/>
        <v>0</v>
      </c>
      <c r="DF465" s="95">
        <f t="shared" si="1290"/>
        <v>0</v>
      </c>
      <c r="DG465" s="95">
        <f t="shared" si="1291"/>
        <v>0</v>
      </c>
      <c r="DH465" s="95">
        <f t="shared" si="1292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07">IF(B465="","",B460*B465*B461)</f>
        <v/>
      </c>
      <c r="C466" s="612" t="str">
        <f t="shared" si="1307"/>
        <v/>
      </c>
      <c r="D466" s="612" t="str">
        <f t="shared" si="1307"/>
        <v/>
      </c>
      <c r="E466" s="612" t="str">
        <f t="shared" si="1307"/>
        <v/>
      </c>
      <c r="F466" s="612" t="str">
        <f t="shared" si="1307"/>
        <v/>
      </c>
      <c r="G466" s="612" t="str">
        <f t="shared" si="1307"/>
        <v/>
      </c>
      <c r="H466" s="612" t="str">
        <f t="shared" si="1307"/>
        <v/>
      </c>
      <c r="I466" s="612" t="str">
        <f t="shared" si="1307"/>
        <v/>
      </c>
      <c r="J466" s="612" t="str">
        <f t="shared" si="1307"/>
        <v/>
      </c>
      <c r="K466" s="612" t="str">
        <f t="shared" si="1307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08">IF(T465="","",T460*T465*T461)</f>
        <v/>
      </c>
      <c r="U466" s="612" t="str">
        <f t="shared" si="1308"/>
        <v/>
      </c>
      <c r="V466" s="612" t="str">
        <f t="shared" si="1308"/>
        <v/>
      </c>
      <c r="W466" s="612" t="str">
        <f t="shared" si="1308"/>
        <v/>
      </c>
      <c r="X466" s="612" t="str">
        <f t="shared" si="1308"/>
        <v/>
      </c>
      <c r="Y466" s="612" t="str">
        <f t="shared" si="1308"/>
        <v/>
      </c>
      <c r="Z466" s="612" t="str">
        <f t="shared" si="1308"/>
        <v/>
      </c>
      <c r="AA466" s="612" t="str">
        <f t="shared" si="1308"/>
        <v/>
      </c>
      <c r="AB466" s="612" t="str">
        <f t="shared" si="1308"/>
        <v/>
      </c>
      <c r="AC466" s="612" t="str">
        <f t="shared" si="1308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09">IF(AL465="","",AL460*AL465*AL461)</f>
        <v/>
      </c>
      <c r="AM466" s="612" t="str">
        <f t="shared" si="1309"/>
        <v/>
      </c>
      <c r="AN466" s="612" t="str">
        <f t="shared" si="1309"/>
        <v/>
      </c>
      <c r="AO466" s="612" t="str">
        <f t="shared" si="1309"/>
        <v/>
      </c>
      <c r="AP466" s="612" t="str">
        <f t="shared" si="1309"/>
        <v/>
      </c>
      <c r="AQ466" s="612" t="str">
        <f t="shared" si="1309"/>
        <v/>
      </c>
      <c r="AR466" s="612" t="str">
        <f t="shared" si="1309"/>
        <v/>
      </c>
      <c r="AS466" s="612" t="str">
        <f t="shared" si="1309"/>
        <v/>
      </c>
      <c r="AT466" s="612" t="str">
        <f t="shared" si="1309"/>
        <v/>
      </c>
      <c r="AU466" s="612" t="str">
        <f t="shared" si="1309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10">IF(BD465="","",BD460*BD465*BD461)</f>
        <v/>
      </c>
      <c r="BE466" s="1201" t="str">
        <f t="shared" si="1310"/>
        <v/>
      </c>
      <c r="BF466" s="1201" t="str">
        <f t="shared" si="1310"/>
        <v/>
      </c>
      <c r="BG466" s="1201" t="str">
        <f t="shared" si="1310"/>
        <v/>
      </c>
      <c r="BH466" s="1201" t="str">
        <f t="shared" si="1310"/>
        <v/>
      </c>
      <c r="BI466" s="1201" t="str">
        <f t="shared" si="1310"/>
        <v/>
      </c>
      <c r="BJ466" s="1201" t="str">
        <f t="shared" si="1310"/>
        <v/>
      </c>
      <c r="BK466" s="1201" t="str">
        <f t="shared" si="1310"/>
        <v/>
      </c>
      <c r="BL466" s="1201" t="str">
        <f t="shared" si="1310"/>
        <v/>
      </c>
      <c r="BM466" s="1201" t="str">
        <f t="shared" si="1310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00"/>
        <v/>
      </c>
      <c r="CA466" s="582" t="str">
        <f t="shared" si="1201"/>
        <v/>
      </c>
      <c r="CB466" s="582" t="str">
        <f t="shared" si="1202"/>
        <v/>
      </c>
      <c r="CC466" s="670" t="str">
        <f t="shared" si="1203"/>
        <v/>
      </c>
      <c r="CD466" s="988" t="str">
        <f t="shared" si="1306"/>
        <v/>
      </c>
      <c r="CE466" s="989" t="str">
        <f t="shared" ref="CE466:CM466" si="131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11"/>
        <v/>
      </c>
      <c r="CG466" s="989" t="str">
        <f t="shared" si="1311"/>
        <v/>
      </c>
      <c r="CH466" s="990" t="str">
        <f t="shared" si="1311"/>
        <v/>
      </c>
      <c r="CI466" s="990" t="str">
        <f t="shared" si="1311"/>
        <v/>
      </c>
      <c r="CJ466" s="989" t="str">
        <f t="shared" si="1311"/>
        <v/>
      </c>
      <c r="CK466" s="989" t="str">
        <f t="shared" si="1311"/>
        <v/>
      </c>
      <c r="CL466" s="989" t="str">
        <f t="shared" si="1311"/>
        <v/>
      </c>
      <c r="CM466" s="988" t="str">
        <f t="shared" si="1311"/>
        <v/>
      </c>
      <c r="CN466" s="533" t="str">
        <f t="shared" si="1272"/>
        <v/>
      </c>
      <c r="CO466" s="534" t="str">
        <f t="shared" si="1273"/>
        <v/>
      </c>
      <c r="CP466" s="535" t="str">
        <f t="shared" si="1274"/>
        <v/>
      </c>
      <c r="CQ466" s="535" t="str">
        <f t="shared" si="1275"/>
        <v/>
      </c>
      <c r="CR466" s="535" t="str">
        <f t="shared" si="1276"/>
        <v/>
      </c>
      <c r="CS466" s="535" t="str">
        <f t="shared" si="1277"/>
        <v/>
      </c>
      <c r="CT466" s="535" t="str">
        <f t="shared" si="1278"/>
        <v/>
      </c>
      <c r="CU466" s="536" t="str">
        <f t="shared" si="1279"/>
        <v/>
      </c>
      <c r="CV466" s="536" t="str">
        <f t="shared" si="1280"/>
        <v/>
      </c>
      <c r="CW466" s="536" t="str">
        <f t="shared" si="1281"/>
        <v/>
      </c>
      <c r="CX466" s="535" t="str">
        <f t="shared" si="1282"/>
        <v/>
      </c>
      <c r="CY466" s="535" t="str">
        <f t="shared" si="1283"/>
        <v/>
      </c>
      <c r="CZ466" s="535" t="str">
        <f t="shared" si="1284"/>
        <v/>
      </c>
      <c r="DA466" s="535" t="str">
        <f t="shared" si="1285"/>
        <v/>
      </c>
      <c r="DB466" s="535" t="str">
        <f t="shared" si="1286"/>
        <v/>
      </c>
      <c r="DC466" s="534" t="str">
        <f t="shared" si="1287"/>
        <v/>
      </c>
      <c r="DD466" s="533" t="str">
        <f t="shared" si="1288"/>
        <v/>
      </c>
      <c r="DE466" s="635">
        <f t="shared" si="1289"/>
        <v>0</v>
      </c>
      <c r="DF466" s="95">
        <f t="shared" si="1290"/>
        <v>0</v>
      </c>
      <c r="DG466" s="95">
        <f t="shared" si="1291"/>
        <v>0</v>
      </c>
      <c r="DH466" s="95">
        <f t="shared" si="1292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00"/>
        <v/>
      </c>
      <c r="CA467" s="574" t="str">
        <f t="shared" si="1201"/>
        <v/>
      </c>
      <c r="CB467" s="574" t="str">
        <f t="shared" si="1202"/>
        <v/>
      </c>
      <c r="CC467" s="669" t="str">
        <f t="shared" si="1203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00"/>
        <v/>
      </c>
      <c r="CA468" s="582" t="str">
        <f t="shared" si="1201"/>
        <v/>
      </c>
      <c r="CB468" s="582" t="str">
        <f t="shared" si="1202"/>
        <v/>
      </c>
      <c r="CC468" s="670" t="str">
        <f t="shared" si="1203"/>
        <v/>
      </c>
      <c r="CD468" s="988" t="str">
        <f t="shared" ref="CD468:CM468" si="131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12"/>
        <v/>
      </c>
      <c r="CF468" s="989" t="str">
        <f t="shared" si="1312"/>
        <v/>
      </c>
      <c r="CG468" s="989" t="str">
        <f t="shared" si="1312"/>
        <v/>
      </c>
      <c r="CH468" s="990" t="str">
        <f t="shared" si="1312"/>
        <v/>
      </c>
      <c r="CI468" s="990" t="str">
        <f t="shared" si="1312"/>
        <v/>
      </c>
      <c r="CJ468" s="989" t="str">
        <f t="shared" si="1312"/>
        <v/>
      </c>
      <c r="CK468" s="989" t="str">
        <f t="shared" si="1312"/>
        <v/>
      </c>
      <c r="CL468" s="989" t="str">
        <f t="shared" si="1312"/>
        <v/>
      </c>
      <c r="CM468" s="988" t="str">
        <f t="shared" si="1312"/>
        <v/>
      </c>
      <c r="CN468" s="533" t="str">
        <f t="shared" ref="CN468:CN475" si="131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1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1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31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31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31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31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32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32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32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32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32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32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32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32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2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2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330">COUNT(B468:R468)</f>
        <v>0</v>
      </c>
      <c r="DF468" s="95">
        <f t="shared" ref="DF468:DF475" si="1331">COUNT(T468:AJ468)</f>
        <v>0</v>
      </c>
      <c r="DG468" s="95">
        <f t="shared" ref="DG468:DG475" si="1332">COUNT(AL468:BB468)</f>
        <v>0</v>
      </c>
      <c r="DH468" s="95">
        <f t="shared" ref="DH468:DH475" si="1333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00"/>
        <v/>
      </c>
      <c r="CA469" s="582" t="str">
        <f t="shared" si="1201"/>
        <v/>
      </c>
      <c r="CB469" s="582" t="str">
        <f t="shared" si="1202"/>
        <v/>
      </c>
      <c r="CC469" s="670" t="str">
        <f t="shared" si="1203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33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334"/>
        <v/>
      </c>
      <c r="CG469" s="989" t="str">
        <f t="shared" si="1334"/>
        <v/>
      </c>
      <c r="CH469" s="990" t="str">
        <f t="shared" si="1334"/>
        <v/>
      </c>
      <c r="CI469" s="990" t="str">
        <f t="shared" si="1334"/>
        <v/>
      </c>
      <c r="CJ469" s="989" t="str">
        <f t="shared" si="1334"/>
        <v/>
      </c>
      <c r="CK469" s="989" t="str">
        <f t="shared" si="1334"/>
        <v/>
      </c>
      <c r="CL469" s="989" t="str">
        <f t="shared" si="1334"/>
        <v/>
      </c>
      <c r="CM469" s="988" t="str">
        <f t="shared" si="1334"/>
        <v/>
      </c>
      <c r="CN469" s="533" t="str">
        <f t="shared" si="1313"/>
        <v/>
      </c>
      <c r="CO469" s="534" t="str">
        <f t="shared" si="1314"/>
        <v/>
      </c>
      <c r="CP469" s="535" t="str">
        <f t="shared" si="1315"/>
        <v/>
      </c>
      <c r="CQ469" s="535" t="str">
        <f t="shared" si="1316"/>
        <v/>
      </c>
      <c r="CR469" s="535" t="str">
        <f t="shared" si="1317"/>
        <v/>
      </c>
      <c r="CS469" s="535" t="str">
        <f t="shared" si="1318"/>
        <v/>
      </c>
      <c r="CT469" s="535" t="str">
        <f t="shared" si="1319"/>
        <v/>
      </c>
      <c r="CU469" s="536" t="str">
        <f t="shared" si="1320"/>
        <v/>
      </c>
      <c r="CV469" s="536" t="str">
        <f t="shared" si="1321"/>
        <v/>
      </c>
      <c r="CW469" s="536" t="str">
        <f t="shared" si="1322"/>
        <v/>
      </c>
      <c r="CX469" s="535" t="str">
        <f t="shared" si="1323"/>
        <v/>
      </c>
      <c r="CY469" s="535" t="str">
        <f t="shared" si="1324"/>
        <v/>
      </c>
      <c r="CZ469" s="535" t="str">
        <f t="shared" si="1325"/>
        <v/>
      </c>
      <c r="DA469" s="535" t="str">
        <f t="shared" si="1326"/>
        <v/>
      </c>
      <c r="DB469" s="535" t="str">
        <f t="shared" si="1327"/>
        <v/>
      </c>
      <c r="DC469" s="534" t="str">
        <f t="shared" si="1328"/>
        <v/>
      </c>
      <c r="DD469" s="533" t="str">
        <f t="shared" si="1329"/>
        <v/>
      </c>
      <c r="DE469" s="635">
        <f t="shared" si="1330"/>
        <v>0</v>
      </c>
      <c r="DF469" s="95">
        <f t="shared" si="1331"/>
        <v>0</v>
      </c>
      <c r="DG469" s="95">
        <f t="shared" si="1332"/>
        <v>0</v>
      </c>
      <c r="DH469" s="95">
        <f t="shared" si="1333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00"/>
        <v/>
      </c>
      <c r="CA470" s="582" t="str">
        <f t="shared" si="1201"/>
        <v/>
      </c>
      <c r="CB470" s="582" t="str">
        <f t="shared" si="1202"/>
        <v/>
      </c>
      <c r="CC470" s="670" t="str">
        <f t="shared" si="1203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334"/>
        <v/>
      </c>
      <c r="CF470" s="989" t="str">
        <f t="shared" si="1334"/>
        <v/>
      </c>
      <c r="CG470" s="989" t="str">
        <f t="shared" si="1334"/>
        <v/>
      </c>
      <c r="CH470" s="990" t="str">
        <f t="shared" si="1334"/>
        <v/>
      </c>
      <c r="CI470" s="990" t="str">
        <f t="shared" si="1334"/>
        <v/>
      </c>
      <c r="CJ470" s="989" t="str">
        <f t="shared" si="1334"/>
        <v/>
      </c>
      <c r="CK470" s="989" t="str">
        <f t="shared" si="1334"/>
        <v/>
      </c>
      <c r="CL470" s="989" t="str">
        <f t="shared" si="1334"/>
        <v/>
      </c>
      <c r="CM470" s="988" t="str">
        <f t="shared" si="1334"/>
        <v/>
      </c>
      <c r="CN470" s="533" t="str">
        <f t="shared" si="1313"/>
        <v/>
      </c>
      <c r="CO470" s="534" t="str">
        <f t="shared" si="1314"/>
        <v/>
      </c>
      <c r="CP470" s="535" t="str">
        <f t="shared" si="1315"/>
        <v/>
      </c>
      <c r="CQ470" s="535" t="str">
        <f t="shared" si="1316"/>
        <v/>
      </c>
      <c r="CR470" s="535" t="str">
        <f t="shared" si="1317"/>
        <v/>
      </c>
      <c r="CS470" s="535" t="str">
        <f t="shared" si="1318"/>
        <v/>
      </c>
      <c r="CT470" s="535" t="str">
        <f t="shared" si="1319"/>
        <v/>
      </c>
      <c r="CU470" s="536" t="str">
        <f t="shared" si="1320"/>
        <v/>
      </c>
      <c r="CV470" s="536" t="str">
        <f t="shared" si="1321"/>
        <v/>
      </c>
      <c r="CW470" s="536" t="str">
        <f t="shared" si="1322"/>
        <v/>
      </c>
      <c r="CX470" s="535" t="str">
        <f t="shared" si="1323"/>
        <v/>
      </c>
      <c r="CY470" s="535" t="str">
        <f t="shared" si="1324"/>
        <v/>
      </c>
      <c r="CZ470" s="535" t="str">
        <f t="shared" si="1325"/>
        <v/>
      </c>
      <c r="DA470" s="535" t="str">
        <f t="shared" si="1326"/>
        <v/>
      </c>
      <c r="DB470" s="535" t="str">
        <f t="shared" si="1327"/>
        <v/>
      </c>
      <c r="DC470" s="534" t="str">
        <f t="shared" si="1328"/>
        <v/>
      </c>
      <c r="DD470" s="533" t="str">
        <f t="shared" si="1329"/>
        <v/>
      </c>
      <c r="DE470" s="635">
        <f t="shared" si="1330"/>
        <v>0</v>
      </c>
      <c r="DF470" s="95">
        <f t="shared" si="1331"/>
        <v>0</v>
      </c>
      <c r="DG470" s="95">
        <f t="shared" si="1332"/>
        <v>0</v>
      </c>
      <c r="DH470" s="95">
        <f t="shared" si="1333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335">IF(B469="","",B468*B469*B470)</f>
        <v/>
      </c>
      <c r="C471" s="739" t="str">
        <f t="shared" si="1335"/>
        <v/>
      </c>
      <c r="D471" s="898" t="str">
        <f t="shared" si="1335"/>
        <v/>
      </c>
      <c r="E471" s="739" t="str">
        <f t="shared" si="1335"/>
        <v/>
      </c>
      <c r="F471" s="898" t="str">
        <f t="shared" si="1335"/>
        <v/>
      </c>
      <c r="G471" s="739" t="str">
        <f t="shared" si="1335"/>
        <v/>
      </c>
      <c r="H471" s="898" t="str">
        <f t="shared" si="1335"/>
        <v/>
      </c>
      <c r="I471" s="739" t="str">
        <f t="shared" si="1335"/>
        <v/>
      </c>
      <c r="J471" s="898" t="str">
        <f t="shared" si="1335"/>
        <v/>
      </c>
      <c r="K471" s="739" t="str">
        <f t="shared" si="1335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336">IF(T469="","",T468*T469*T470)</f>
        <v/>
      </c>
      <c r="U471" s="898" t="str">
        <f t="shared" si="1336"/>
        <v/>
      </c>
      <c r="V471" s="739" t="str">
        <f t="shared" si="1336"/>
        <v/>
      </c>
      <c r="W471" s="898" t="str">
        <f t="shared" si="1336"/>
        <v/>
      </c>
      <c r="X471" s="739" t="str">
        <f t="shared" si="1336"/>
        <v/>
      </c>
      <c r="Y471" s="898" t="str">
        <f t="shared" si="1336"/>
        <v/>
      </c>
      <c r="Z471" s="739" t="str">
        <f t="shared" si="1336"/>
        <v/>
      </c>
      <c r="AA471" s="898" t="str">
        <f t="shared" si="1336"/>
        <v/>
      </c>
      <c r="AB471" s="739" t="str">
        <f t="shared" si="1336"/>
        <v/>
      </c>
      <c r="AC471" s="898" t="str">
        <f t="shared" si="1336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337">IF(AL469="","",AL468*AL469*AL470)</f>
        <v/>
      </c>
      <c r="AM471" s="898" t="str">
        <f t="shared" si="1337"/>
        <v/>
      </c>
      <c r="AN471" s="739" t="str">
        <f t="shared" si="1337"/>
        <v/>
      </c>
      <c r="AO471" s="898" t="str">
        <f t="shared" si="1337"/>
        <v/>
      </c>
      <c r="AP471" s="739" t="str">
        <f t="shared" si="1337"/>
        <v/>
      </c>
      <c r="AQ471" s="898" t="str">
        <f t="shared" si="1337"/>
        <v/>
      </c>
      <c r="AR471" s="739" t="str">
        <f t="shared" si="1337"/>
        <v/>
      </c>
      <c r="AS471" s="898" t="str">
        <f t="shared" si="1337"/>
        <v/>
      </c>
      <c r="AT471" s="739" t="str">
        <f t="shared" si="1337"/>
        <v/>
      </c>
      <c r="AU471" s="898" t="str">
        <f t="shared" si="1337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338">IF(BD469="","",BD468*BD469*BD470)</f>
        <v/>
      </c>
      <c r="BE471" s="1237" t="str">
        <f t="shared" si="1338"/>
        <v/>
      </c>
      <c r="BF471" s="1238" t="str">
        <f t="shared" si="1338"/>
        <v/>
      </c>
      <c r="BG471" s="1237" t="str">
        <f t="shared" si="1338"/>
        <v/>
      </c>
      <c r="BH471" s="1238" t="str">
        <f t="shared" si="1338"/>
        <v/>
      </c>
      <c r="BI471" s="1237" t="str">
        <f t="shared" si="1338"/>
        <v/>
      </c>
      <c r="BJ471" s="1238" t="str">
        <f t="shared" si="1338"/>
        <v/>
      </c>
      <c r="BK471" s="1237" t="str">
        <f t="shared" si="1338"/>
        <v/>
      </c>
      <c r="BL471" s="1238" t="str">
        <f t="shared" si="1338"/>
        <v/>
      </c>
      <c r="BM471" s="1237" t="str">
        <f t="shared" si="1338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00"/>
        <v/>
      </c>
      <c r="CA471" s="582" t="str">
        <f t="shared" si="1201"/>
        <v/>
      </c>
      <c r="CB471" s="582" t="str">
        <f t="shared" si="1202"/>
        <v/>
      </c>
      <c r="CC471" s="670" t="str">
        <f t="shared" si="1203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334"/>
        <v/>
      </c>
      <c r="CF471" s="989" t="str">
        <f t="shared" si="1334"/>
        <v/>
      </c>
      <c r="CG471" s="989" t="str">
        <f t="shared" si="1334"/>
        <v/>
      </c>
      <c r="CH471" s="990" t="str">
        <f t="shared" si="1334"/>
        <v/>
      </c>
      <c r="CI471" s="990" t="str">
        <f t="shared" si="1334"/>
        <v/>
      </c>
      <c r="CJ471" s="989" t="str">
        <f t="shared" si="1334"/>
        <v/>
      </c>
      <c r="CK471" s="989" t="str">
        <f t="shared" si="1334"/>
        <v/>
      </c>
      <c r="CL471" s="989" t="str">
        <f t="shared" si="1334"/>
        <v/>
      </c>
      <c r="CM471" s="988" t="str">
        <f t="shared" si="1334"/>
        <v/>
      </c>
      <c r="CN471" s="533" t="str">
        <f t="shared" si="1313"/>
        <v/>
      </c>
      <c r="CO471" s="534" t="str">
        <f t="shared" si="1314"/>
        <v/>
      </c>
      <c r="CP471" s="535" t="str">
        <f t="shared" si="1315"/>
        <v/>
      </c>
      <c r="CQ471" s="535" t="str">
        <f t="shared" si="1316"/>
        <v/>
      </c>
      <c r="CR471" s="535" t="str">
        <f t="shared" si="1317"/>
        <v/>
      </c>
      <c r="CS471" s="535" t="str">
        <f t="shared" si="1318"/>
        <v/>
      </c>
      <c r="CT471" s="535" t="str">
        <f t="shared" si="1319"/>
        <v/>
      </c>
      <c r="CU471" s="536" t="str">
        <f t="shared" si="1320"/>
        <v/>
      </c>
      <c r="CV471" s="536" t="str">
        <f t="shared" si="1321"/>
        <v/>
      </c>
      <c r="CW471" s="536" t="str">
        <f t="shared" si="1322"/>
        <v/>
      </c>
      <c r="CX471" s="535" t="str">
        <f t="shared" si="1323"/>
        <v/>
      </c>
      <c r="CY471" s="535" t="str">
        <f t="shared" si="1324"/>
        <v/>
      </c>
      <c r="CZ471" s="535" t="str">
        <f t="shared" si="1325"/>
        <v/>
      </c>
      <c r="DA471" s="535" t="str">
        <f t="shared" si="1326"/>
        <v/>
      </c>
      <c r="DB471" s="535" t="str">
        <f t="shared" si="1327"/>
        <v/>
      </c>
      <c r="DC471" s="534" t="str">
        <f t="shared" si="1328"/>
        <v/>
      </c>
      <c r="DD471" s="533" t="str">
        <f t="shared" si="1329"/>
        <v/>
      </c>
      <c r="DE471" s="635">
        <f t="shared" si="1330"/>
        <v>0</v>
      </c>
      <c r="DF471" s="95">
        <f t="shared" si="1331"/>
        <v>0</v>
      </c>
      <c r="DG471" s="95">
        <f t="shared" si="1332"/>
        <v>0</v>
      </c>
      <c r="DH471" s="95">
        <f t="shared" si="1333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339">3540*$K$1</f>
        <v>14821.271999999999</v>
      </c>
      <c r="D472" s="899">
        <f t="shared" si="1339"/>
        <v>14821.271999999999</v>
      </c>
      <c r="E472" s="899">
        <f t="shared" si="1339"/>
        <v>14821.271999999999</v>
      </c>
      <c r="F472" s="899">
        <f t="shared" si="1339"/>
        <v>14821.271999999999</v>
      </c>
      <c r="G472" s="899">
        <f t="shared" si="1339"/>
        <v>14821.271999999999</v>
      </c>
      <c r="H472" s="899">
        <f t="shared" si="1339"/>
        <v>14821.271999999999</v>
      </c>
      <c r="I472" s="899">
        <f t="shared" si="1339"/>
        <v>14821.271999999999</v>
      </c>
      <c r="J472" s="899">
        <f t="shared" si="1339"/>
        <v>14821.271999999999</v>
      </c>
      <c r="K472" s="899">
        <f t="shared" si="1339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340">3540*$K$1</f>
        <v>14821.271999999999</v>
      </c>
      <c r="V472" s="899">
        <f t="shared" si="1340"/>
        <v>14821.271999999999</v>
      </c>
      <c r="W472" s="899">
        <f t="shared" si="1340"/>
        <v>14821.271999999999</v>
      </c>
      <c r="X472" s="899">
        <f t="shared" si="1340"/>
        <v>14821.271999999999</v>
      </c>
      <c r="Y472" s="899">
        <f t="shared" si="1340"/>
        <v>14821.271999999999</v>
      </c>
      <c r="Z472" s="899">
        <f t="shared" si="1340"/>
        <v>14821.271999999999</v>
      </c>
      <c r="AA472" s="899">
        <f t="shared" si="1340"/>
        <v>14821.271999999999</v>
      </c>
      <c r="AB472" s="899">
        <f t="shared" si="1340"/>
        <v>14821.271999999999</v>
      </c>
      <c r="AC472" s="899">
        <f t="shared" si="1340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341">3540*$K$1</f>
        <v>14821.271999999999</v>
      </c>
      <c r="AN472" s="899">
        <f t="shared" si="1341"/>
        <v>14821.271999999999</v>
      </c>
      <c r="AO472" s="899">
        <f t="shared" si="1341"/>
        <v>14821.271999999999</v>
      </c>
      <c r="AP472" s="899">
        <f t="shared" si="1341"/>
        <v>14821.271999999999</v>
      </c>
      <c r="AQ472" s="899">
        <f t="shared" si="1341"/>
        <v>14821.271999999999</v>
      </c>
      <c r="AR472" s="899">
        <f t="shared" si="1341"/>
        <v>14821.271999999999</v>
      </c>
      <c r="AS472" s="899">
        <f t="shared" si="1341"/>
        <v>14821.271999999999</v>
      </c>
      <c r="AT472" s="899">
        <f t="shared" si="1341"/>
        <v>14821.271999999999</v>
      </c>
      <c r="AU472" s="899">
        <f t="shared" si="1341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342">3540*$K$1</f>
        <v>14821.271999999999</v>
      </c>
      <c r="BF472" s="1239">
        <f t="shared" si="1342"/>
        <v>14821.271999999999</v>
      </c>
      <c r="BG472" s="1239">
        <f t="shared" si="1342"/>
        <v>14821.271999999999</v>
      </c>
      <c r="BH472" s="1239">
        <f t="shared" si="1342"/>
        <v>14821.271999999999</v>
      </c>
      <c r="BI472" s="1239">
        <f t="shared" si="1342"/>
        <v>14821.271999999999</v>
      </c>
      <c r="BJ472" s="1239">
        <f t="shared" si="1342"/>
        <v>14821.271999999999</v>
      </c>
      <c r="BK472" s="1239">
        <f t="shared" si="1342"/>
        <v>14821.271999999999</v>
      </c>
      <c r="BL472" s="1239">
        <f t="shared" si="1342"/>
        <v>14821.271999999999</v>
      </c>
      <c r="BM472" s="1239">
        <f t="shared" si="1342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>3540*$K$1</f>
        <v>14821.271999999999</v>
      </c>
      <c r="BW472" s="899">
        <f>3540*$K$1</f>
        <v>14821.271999999999</v>
      </c>
      <c r="BX472" s="899">
        <f>3540*$K$1</f>
        <v>14821.271999999999</v>
      </c>
      <c r="BY472" s="899">
        <f>3540*$K$1</f>
        <v>14821.271999999999</v>
      </c>
      <c r="BZ472" s="582">
        <f t="shared" ref="BZ472:BZ503" si="1343">IF(DE472&lt;3,"",(SUM(B472:R472)-MIN(B472:R472)-MAX(B472:R472))/(DE472-2))</f>
        <v>14821.272000000001</v>
      </c>
      <c r="CA472" s="582">
        <f t="shared" ref="CA472:CA503" si="1344">IF(DF472&lt;3,"",(SUM(T472:AJ472)-MIN(T472:AJ472)-MAX(T472:AJ472))/(DF472-2))</f>
        <v>14821.272000000001</v>
      </c>
      <c r="CB472" s="582">
        <f t="shared" ref="CB472:CB503" si="1345">IF(DG472&lt;3,"",(SUM(AL472:BB472)-MIN(AL472:BB472)-MAX(AL472:BB472))/(DG472-2))</f>
        <v>14821.272000000001</v>
      </c>
      <c r="CC472" s="670">
        <f t="shared" ref="CC472:CC503" si="1346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334"/>
        <v>14821.271999999999</v>
      </c>
      <c r="CF472" s="989">
        <f t="shared" si="1334"/>
        <v>14821.271999999999</v>
      </c>
      <c r="CG472" s="989">
        <f t="shared" si="1334"/>
        <v>14821.271999999999</v>
      </c>
      <c r="CH472" s="990">
        <f t="shared" si="1334"/>
        <v>14821.271999999999</v>
      </c>
      <c r="CI472" s="990">
        <f t="shared" si="1334"/>
        <v>14821.271999999999</v>
      </c>
      <c r="CJ472" s="989">
        <f t="shared" si="1334"/>
        <v>14821.271999999999</v>
      </c>
      <c r="CK472" s="989">
        <f t="shared" si="1334"/>
        <v>14821.271999999999</v>
      </c>
      <c r="CL472" s="989">
        <f t="shared" si="1334"/>
        <v>14821.271999999999</v>
      </c>
      <c r="CM472" s="988">
        <f t="shared" si="1334"/>
        <v>14821.271999999999</v>
      </c>
      <c r="CN472" s="533" t="str">
        <f t="shared" si="1313"/>
        <v/>
      </c>
      <c r="CO472" s="534" t="str">
        <f t="shared" si="1314"/>
        <v/>
      </c>
      <c r="CP472" s="535" t="str">
        <f t="shared" si="1315"/>
        <v/>
      </c>
      <c r="CQ472" s="535" t="str">
        <f t="shared" si="1316"/>
        <v/>
      </c>
      <c r="CR472" s="535">
        <f t="shared" si="1317"/>
        <v>14821.271999999999</v>
      </c>
      <c r="CS472" s="535">
        <f t="shared" si="1318"/>
        <v>14821.271999999999</v>
      </c>
      <c r="CT472" s="535">
        <f t="shared" si="1319"/>
        <v>14821.271999999999</v>
      </c>
      <c r="CU472" s="536">
        <f t="shared" si="1320"/>
        <v>14821.271999999999</v>
      </c>
      <c r="CV472" s="536">
        <f t="shared" si="1321"/>
        <v>14821.271999999999</v>
      </c>
      <c r="CW472" s="536">
        <f t="shared" si="1322"/>
        <v>14821.271999999999</v>
      </c>
      <c r="CX472" s="535">
        <f t="shared" si="1323"/>
        <v>14821.271999999999</v>
      </c>
      <c r="CY472" s="535">
        <f t="shared" si="1324"/>
        <v>14821.271999999999</v>
      </c>
      <c r="CZ472" s="535">
        <f t="shared" si="1325"/>
        <v>14821.271999999999</v>
      </c>
      <c r="DA472" s="535">
        <f t="shared" si="1326"/>
        <v>14821.271999999999</v>
      </c>
      <c r="DB472" s="535" t="str">
        <f t="shared" si="1327"/>
        <v/>
      </c>
      <c r="DC472" s="534" t="str">
        <f t="shared" si="1328"/>
        <v/>
      </c>
      <c r="DD472" s="533" t="str">
        <f t="shared" si="1329"/>
        <v/>
      </c>
      <c r="DE472" s="635">
        <f t="shared" si="1330"/>
        <v>10</v>
      </c>
      <c r="DF472" s="95">
        <f t="shared" si="1331"/>
        <v>10</v>
      </c>
      <c r="DG472" s="95">
        <f t="shared" si="1332"/>
        <v>10</v>
      </c>
      <c r="DH472" s="95">
        <f t="shared" si="1333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 t="shared" ref="B473:K473" si="1347">IF(B471="","",B471*B472/B$46/365/$G$1)</f>
        <v/>
      </c>
      <c r="C473" s="903" t="str">
        <f t="shared" si="1347"/>
        <v/>
      </c>
      <c r="D473" s="903" t="str">
        <f t="shared" si="1347"/>
        <v/>
      </c>
      <c r="E473" s="903" t="str">
        <f t="shared" si="1347"/>
        <v/>
      </c>
      <c r="F473" s="903" t="str">
        <f t="shared" si="1347"/>
        <v/>
      </c>
      <c r="G473" s="903" t="str">
        <f t="shared" si="1347"/>
        <v/>
      </c>
      <c r="H473" s="903" t="str">
        <f t="shared" si="1347"/>
        <v/>
      </c>
      <c r="I473" s="903" t="str">
        <f t="shared" si="1347"/>
        <v/>
      </c>
      <c r="J473" s="903" t="str">
        <f t="shared" si="1347"/>
        <v/>
      </c>
      <c r="K473" s="903" t="str">
        <f t="shared" si="1347"/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 t="shared" ref="T473:AC473" si="1348">IF(T471="","",T471*T472/T$46/365/$G$1)</f>
        <v/>
      </c>
      <c r="U473" s="903" t="str">
        <f t="shared" si="1348"/>
        <v/>
      </c>
      <c r="V473" s="903" t="str">
        <f t="shared" si="1348"/>
        <v/>
      </c>
      <c r="W473" s="903" t="str">
        <f t="shared" si="1348"/>
        <v/>
      </c>
      <c r="X473" s="903" t="str">
        <f t="shared" si="1348"/>
        <v/>
      </c>
      <c r="Y473" s="903" t="str">
        <f t="shared" si="1348"/>
        <v/>
      </c>
      <c r="Z473" s="903" t="str">
        <f t="shared" si="1348"/>
        <v/>
      </c>
      <c r="AA473" s="903" t="str">
        <f t="shared" si="1348"/>
        <v/>
      </c>
      <c r="AB473" s="903" t="str">
        <f t="shared" si="1348"/>
        <v/>
      </c>
      <c r="AC473" s="903" t="str">
        <f t="shared" si="1348"/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 t="shared" ref="AL473:AU473" si="1349">IF(AL471="","",AL471*AL472/AL$46/365/$G$1)</f>
        <v/>
      </c>
      <c r="AM473" s="903" t="str">
        <f t="shared" si="1349"/>
        <v/>
      </c>
      <c r="AN473" s="903" t="str">
        <f t="shared" si="1349"/>
        <v/>
      </c>
      <c r="AO473" s="903" t="str">
        <f t="shared" si="1349"/>
        <v/>
      </c>
      <c r="AP473" s="903" t="str">
        <f t="shared" si="1349"/>
        <v/>
      </c>
      <c r="AQ473" s="903" t="str">
        <f t="shared" si="1349"/>
        <v/>
      </c>
      <c r="AR473" s="903" t="str">
        <f t="shared" si="1349"/>
        <v/>
      </c>
      <c r="AS473" s="903" t="str">
        <f t="shared" si="1349"/>
        <v/>
      </c>
      <c r="AT473" s="903" t="str">
        <f t="shared" si="1349"/>
        <v/>
      </c>
      <c r="AU473" s="903" t="str">
        <f t="shared" si="1349"/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350">IF(BE471="","",BE471*BE472/BE$46/365/$G$1)</f>
        <v/>
      </c>
      <c r="BF473" s="1240" t="str">
        <f t="shared" si="1350"/>
        <v/>
      </c>
      <c r="BG473" s="1240" t="str">
        <f t="shared" si="1350"/>
        <v/>
      </c>
      <c r="BH473" s="1240" t="str">
        <f t="shared" si="1350"/>
        <v/>
      </c>
      <c r="BI473" s="1240" t="str">
        <f t="shared" si="1350"/>
        <v/>
      </c>
      <c r="BJ473" s="1240" t="str">
        <f t="shared" si="1350"/>
        <v/>
      </c>
      <c r="BK473" s="1240" t="str">
        <f t="shared" si="1350"/>
        <v/>
      </c>
      <c r="BL473" s="1240" t="str">
        <f t="shared" si="1350"/>
        <v/>
      </c>
      <c r="BM473" s="1240" t="str">
        <f t="shared" si="135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>IF(BV471="","",BV471*BV472/BV$46/365/$G$1)</f>
        <v>0.13843031133250311</v>
      </c>
      <c r="BW473" s="903">
        <f>IF(BW471="","",BW471*BW472/BW$46/365/$G$1)</f>
        <v>0.13843031133250311</v>
      </c>
      <c r="BX473" s="903">
        <f>IF(BX471="","",BX471*BX472/BX$46/365/$G$1)</f>
        <v>0.13843031133250311</v>
      </c>
      <c r="BY473" s="903" t="str">
        <f>IF(BY471="","",BY471*BY472/BY$46/365/$G$1)</f>
        <v/>
      </c>
      <c r="BZ473" s="607" t="str">
        <f t="shared" si="1343"/>
        <v/>
      </c>
      <c r="CA473" s="607" t="str">
        <f t="shared" si="1344"/>
        <v/>
      </c>
      <c r="CB473" s="607" t="str">
        <f t="shared" si="1345"/>
        <v/>
      </c>
      <c r="CC473" s="607" t="str">
        <f t="shared" si="1346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334"/>
        <v/>
      </c>
      <c r="CF473" s="992" t="str">
        <f t="shared" si="1334"/>
        <v/>
      </c>
      <c r="CG473" s="992" t="str">
        <f t="shared" si="1334"/>
        <v/>
      </c>
      <c r="CH473" s="993" t="str">
        <f t="shared" si="1334"/>
        <v/>
      </c>
      <c r="CI473" s="993" t="str">
        <f t="shared" si="1334"/>
        <v/>
      </c>
      <c r="CJ473" s="992" t="str">
        <f t="shared" si="1334"/>
        <v/>
      </c>
      <c r="CK473" s="992" t="str">
        <f t="shared" si="1334"/>
        <v/>
      </c>
      <c r="CL473" s="992" t="str">
        <f t="shared" si="1334"/>
        <v/>
      </c>
      <c r="CM473" s="991" t="str">
        <f t="shared" si="1334"/>
        <v/>
      </c>
      <c r="CN473" s="521" t="str">
        <f t="shared" si="1313"/>
        <v/>
      </c>
      <c r="CO473" s="522" t="str">
        <f t="shared" si="1314"/>
        <v/>
      </c>
      <c r="CP473" s="523" t="str">
        <f t="shared" si="1315"/>
        <v/>
      </c>
      <c r="CQ473" s="523" t="str">
        <f t="shared" si="1316"/>
        <v/>
      </c>
      <c r="CR473" s="523" t="str">
        <f t="shared" si="1317"/>
        <v/>
      </c>
      <c r="CS473" s="523" t="str">
        <f t="shared" si="1318"/>
        <v/>
      </c>
      <c r="CT473" s="523" t="str">
        <f t="shared" si="1319"/>
        <v/>
      </c>
      <c r="CU473" s="524" t="str">
        <f t="shared" si="1320"/>
        <v/>
      </c>
      <c r="CV473" s="524" t="str">
        <f t="shared" si="1321"/>
        <v/>
      </c>
      <c r="CW473" s="524" t="str">
        <f t="shared" si="1322"/>
        <v/>
      </c>
      <c r="CX473" s="523" t="str">
        <f t="shared" si="1323"/>
        <v/>
      </c>
      <c r="CY473" s="523" t="str">
        <f t="shared" si="1324"/>
        <v/>
      </c>
      <c r="CZ473" s="523" t="str">
        <f t="shared" si="1325"/>
        <v/>
      </c>
      <c r="DA473" s="523" t="str">
        <f t="shared" si="1326"/>
        <v/>
      </c>
      <c r="DB473" s="523" t="str">
        <f t="shared" si="1327"/>
        <v/>
      </c>
      <c r="DC473" s="522" t="str">
        <f t="shared" si="1328"/>
        <v/>
      </c>
      <c r="DD473" s="521" t="str">
        <f t="shared" si="1329"/>
        <v/>
      </c>
      <c r="DE473" s="635">
        <f t="shared" si="1330"/>
        <v>0</v>
      </c>
      <c r="DF473" s="95">
        <f t="shared" si="1331"/>
        <v>0</v>
      </c>
      <c r="DG473" s="95">
        <f t="shared" si="1332"/>
        <v>0</v>
      </c>
      <c r="DH473" s="95">
        <f t="shared" si="1333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343"/>
        <v/>
      </c>
      <c r="CA474" s="582" t="str">
        <f t="shared" si="1344"/>
        <v/>
      </c>
      <c r="CB474" s="582" t="str">
        <f t="shared" si="1345"/>
        <v/>
      </c>
      <c r="CC474" s="670" t="str">
        <f t="shared" si="1346"/>
        <v/>
      </c>
      <c r="CD474" s="988" t="str">
        <f t="shared" ref="CD474:CM475" si="135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351"/>
        <v/>
      </c>
      <c r="CF474" s="989" t="str">
        <f t="shared" si="1351"/>
        <v/>
      </c>
      <c r="CG474" s="989" t="str">
        <f t="shared" si="1351"/>
        <v/>
      </c>
      <c r="CH474" s="990" t="str">
        <f t="shared" si="1351"/>
        <v/>
      </c>
      <c r="CI474" s="990" t="str">
        <f t="shared" si="1351"/>
        <v/>
      </c>
      <c r="CJ474" s="989" t="str">
        <f t="shared" si="1351"/>
        <v/>
      </c>
      <c r="CK474" s="989" t="str">
        <f t="shared" si="1351"/>
        <v/>
      </c>
      <c r="CL474" s="989" t="str">
        <f t="shared" si="1351"/>
        <v/>
      </c>
      <c r="CM474" s="988" t="str">
        <f t="shared" si="1351"/>
        <v/>
      </c>
      <c r="CN474" s="533" t="str">
        <f t="shared" si="1313"/>
        <v/>
      </c>
      <c r="CO474" s="534" t="str">
        <f t="shared" si="1314"/>
        <v/>
      </c>
      <c r="CP474" s="535" t="str">
        <f t="shared" si="1315"/>
        <v/>
      </c>
      <c r="CQ474" s="535" t="str">
        <f t="shared" si="1316"/>
        <v/>
      </c>
      <c r="CR474" s="535" t="str">
        <f t="shared" si="1317"/>
        <v/>
      </c>
      <c r="CS474" s="535" t="str">
        <f t="shared" si="1318"/>
        <v/>
      </c>
      <c r="CT474" s="535" t="str">
        <f t="shared" si="1319"/>
        <v/>
      </c>
      <c r="CU474" s="536" t="str">
        <f t="shared" si="1320"/>
        <v/>
      </c>
      <c r="CV474" s="536" t="str">
        <f t="shared" si="1321"/>
        <v/>
      </c>
      <c r="CW474" s="536" t="str">
        <f t="shared" si="1322"/>
        <v/>
      </c>
      <c r="CX474" s="535" t="str">
        <f t="shared" si="1323"/>
        <v/>
      </c>
      <c r="CY474" s="535" t="str">
        <f t="shared" si="1324"/>
        <v/>
      </c>
      <c r="CZ474" s="535" t="str">
        <f t="shared" si="1325"/>
        <v/>
      </c>
      <c r="DA474" s="535" t="str">
        <f t="shared" si="1326"/>
        <v/>
      </c>
      <c r="DB474" s="535" t="str">
        <f t="shared" si="1327"/>
        <v/>
      </c>
      <c r="DC474" s="534" t="str">
        <f t="shared" si="1328"/>
        <v/>
      </c>
      <c r="DD474" s="533" t="str">
        <f t="shared" si="1329"/>
        <v/>
      </c>
      <c r="DE474" s="635">
        <f t="shared" si="1330"/>
        <v>0</v>
      </c>
      <c r="DF474" s="95">
        <f t="shared" si="1331"/>
        <v>0</v>
      </c>
      <c r="DG474" s="95">
        <f t="shared" si="1332"/>
        <v>0</v>
      </c>
      <c r="DH474" s="95">
        <f t="shared" si="1333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352">IF(B474="","",B471*B474)</f>
        <v/>
      </c>
      <c r="C475" s="739" t="str">
        <f t="shared" si="1352"/>
        <v/>
      </c>
      <c r="D475" s="898" t="str">
        <f t="shared" si="1352"/>
        <v/>
      </c>
      <c r="E475" s="739" t="str">
        <f t="shared" si="1352"/>
        <v/>
      </c>
      <c r="F475" s="898" t="str">
        <f t="shared" si="1352"/>
        <v/>
      </c>
      <c r="G475" s="739" t="str">
        <f t="shared" si="1352"/>
        <v/>
      </c>
      <c r="H475" s="898" t="str">
        <f t="shared" si="1352"/>
        <v/>
      </c>
      <c r="I475" s="739" t="str">
        <f t="shared" si="1352"/>
        <v/>
      </c>
      <c r="J475" s="898" t="str">
        <f t="shared" si="1352"/>
        <v/>
      </c>
      <c r="K475" s="898" t="str">
        <f t="shared" si="1352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353">IF(T474="","",T471*T474)</f>
        <v/>
      </c>
      <c r="U475" s="898" t="str">
        <f t="shared" si="1353"/>
        <v/>
      </c>
      <c r="V475" s="739" t="str">
        <f t="shared" si="1353"/>
        <v/>
      </c>
      <c r="W475" s="898" t="str">
        <f t="shared" si="1353"/>
        <v/>
      </c>
      <c r="X475" s="739" t="str">
        <f t="shared" si="1353"/>
        <v/>
      </c>
      <c r="Y475" s="898" t="str">
        <f t="shared" si="1353"/>
        <v/>
      </c>
      <c r="Z475" s="739" t="str">
        <f t="shared" si="1353"/>
        <v/>
      </c>
      <c r="AA475" s="898" t="str">
        <f t="shared" si="1353"/>
        <v/>
      </c>
      <c r="AB475" s="739" t="str">
        <f t="shared" si="1353"/>
        <v/>
      </c>
      <c r="AC475" s="898" t="str">
        <f t="shared" si="1353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354">IF(AL474="","",AL471*AL474)</f>
        <v/>
      </c>
      <c r="AM475" s="898" t="str">
        <f t="shared" si="1354"/>
        <v/>
      </c>
      <c r="AN475" s="739" t="str">
        <f t="shared" si="1354"/>
        <v/>
      </c>
      <c r="AO475" s="898" t="str">
        <f t="shared" si="1354"/>
        <v/>
      </c>
      <c r="AP475" s="739" t="str">
        <f t="shared" si="1354"/>
        <v/>
      </c>
      <c r="AQ475" s="898" t="str">
        <f t="shared" si="1354"/>
        <v/>
      </c>
      <c r="AR475" s="739" t="str">
        <f t="shared" si="1354"/>
        <v/>
      </c>
      <c r="AS475" s="898" t="str">
        <f t="shared" si="1354"/>
        <v/>
      </c>
      <c r="AT475" s="739" t="str">
        <f t="shared" si="1354"/>
        <v/>
      </c>
      <c r="AU475" s="898" t="str">
        <f t="shared" si="1354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355">IF(BD474="","",BD471*BD474)</f>
        <v/>
      </c>
      <c r="BE475" s="1237" t="str">
        <f t="shared" si="1355"/>
        <v/>
      </c>
      <c r="BF475" s="1238" t="str">
        <f t="shared" si="1355"/>
        <v/>
      </c>
      <c r="BG475" s="1237" t="str">
        <f t="shared" si="1355"/>
        <v/>
      </c>
      <c r="BH475" s="1238" t="str">
        <f t="shared" si="1355"/>
        <v/>
      </c>
      <c r="BI475" s="1237" t="str">
        <f t="shared" si="1355"/>
        <v/>
      </c>
      <c r="BJ475" s="1238" t="str">
        <f t="shared" si="1355"/>
        <v/>
      </c>
      <c r="BK475" s="1237" t="str">
        <f t="shared" si="1355"/>
        <v/>
      </c>
      <c r="BL475" s="1238" t="str">
        <f t="shared" si="1355"/>
        <v/>
      </c>
      <c r="BM475" s="1237" t="str">
        <f t="shared" si="1355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343"/>
        <v/>
      </c>
      <c r="CA475" s="582" t="str">
        <f t="shared" si="1344"/>
        <v/>
      </c>
      <c r="CB475" s="582" t="str">
        <f t="shared" si="1345"/>
        <v/>
      </c>
      <c r="CC475" s="670" t="str">
        <f t="shared" si="1346"/>
        <v/>
      </c>
      <c r="CD475" s="988" t="str">
        <f t="shared" si="1351"/>
        <v/>
      </c>
      <c r="CE475" s="989" t="str">
        <f t="shared" ref="CE475:CM475" si="135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356"/>
        <v/>
      </c>
      <c r="CG475" s="989" t="str">
        <f t="shared" si="1356"/>
        <v/>
      </c>
      <c r="CH475" s="990" t="str">
        <f t="shared" si="1356"/>
        <v/>
      </c>
      <c r="CI475" s="990" t="str">
        <f t="shared" si="1356"/>
        <v/>
      </c>
      <c r="CJ475" s="989" t="str">
        <f t="shared" si="1356"/>
        <v/>
      </c>
      <c r="CK475" s="989" t="str">
        <f t="shared" si="1356"/>
        <v/>
      </c>
      <c r="CL475" s="989" t="str">
        <f t="shared" si="1356"/>
        <v/>
      </c>
      <c r="CM475" s="988" t="str">
        <f t="shared" si="1356"/>
        <v/>
      </c>
      <c r="CN475" s="533" t="str">
        <f t="shared" si="1313"/>
        <v/>
      </c>
      <c r="CO475" s="534" t="str">
        <f t="shared" si="1314"/>
        <v/>
      </c>
      <c r="CP475" s="535" t="str">
        <f t="shared" si="1315"/>
        <v/>
      </c>
      <c r="CQ475" s="535" t="str">
        <f t="shared" si="1316"/>
        <v/>
      </c>
      <c r="CR475" s="535" t="str">
        <f t="shared" si="1317"/>
        <v/>
      </c>
      <c r="CS475" s="535" t="str">
        <f t="shared" si="1318"/>
        <v/>
      </c>
      <c r="CT475" s="535" t="str">
        <f t="shared" si="1319"/>
        <v/>
      </c>
      <c r="CU475" s="536" t="str">
        <f t="shared" si="1320"/>
        <v/>
      </c>
      <c r="CV475" s="536" t="str">
        <f t="shared" si="1321"/>
        <v/>
      </c>
      <c r="CW475" s="536" t="str">
        <f t="shared" si="1322"/>
        <v/>
      </c>
      <c r="CX475" s="535" t="str">
        <f t="shared" si="1323"/>
        <v/>
      </c>
      <c r="CY475" s="535" t="str">
        <f t="shared" si="1324"/>
        <v/>
      </c>
      <c r="CZ475" s="535" t="str">
        <f t="shared" si="1325"/>
        <v/>
      </c>
      <c r="DA475" s="535" t="str">
        <f t="shared" si="1326"/>
        <v/>
      </c>
      <c r="DB475" s="535" t="str">
        <f t="shared" si="1327"/>
        <v/>
      </c>
      <c r="DC475" s="534" t="str">
        <f t="shared" si="1328"/>
        <v/>
      </c>
      <c r="DD475" s="533" t="str">
        <f t="shared" si="1329"/>
        <v/>
      </c>
      <c r="DE475" s="635">
        <f t="shared" si="1330"/>
        <v>0</v>
      </c>
      <c r="DF475" s="95">
        <f t="shared" si="1331"/>
        <v>0</v>
      </c>
      <c r="DG475" s="95">
        <f t="shared" si="1332"/>
        <v>0</v>
      </c>
      <c r="DH475" s="95">
        <f t="shared" si="1333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343"/>
        <v/>
      </c>
      <c r="CA476" s="574" t="str">
        <f t="shared" si="1344"/>
        <v/>
      </c>
      <c r="CB476" s="574" t="str">
        <f t="shared" si="1345"/>
        <v/>
      </c>
      <c r="CC476" s="669" t="str">
        <f t="shared" si="1346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343"/>
        <v/>
      </c>
      <c r="CA477" s="582" t="str">
        <f t="shared" si="1344"/>
        <v/>
      </c>
      <c r="CB477" s="582" t="str">
        <f t="shared" si="1345"/>
        <v/>
      </c>
      <c r="CC477" s="670" t="str">
        <f t="shared" si="1346"/>
        <v/>
      </c>
      <c r="CD477" s="988" t="str">
        <f t="shared" ref="CD477:CM477" si="135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357"/>
        <v/>
      </c>
      <c r="CF477" s="989" t="str">
        <f t="shared" si="1357"/>
        <v/>
      </c>
      <c r="CG477" s="989" t="str">
        <f t="shared" si="1357"/>
        <v/>
      </c>
      <c r="CH477" s="990" t="str">
        <f t="shared" si="1357"/>
        <v/>
      </c>
      <c r="CI477" s="990" t="str">
        <f t="shared" si="1357"/>
        <v/>
      </c>
      <c r="CJ477" s="989" t="str">
        <f t="shared" si="1357"/>
        <v/>
      </c>
      <c r="CK477" s="989" t="str">
        <f t="shared" si="1357"/>
        <v/>
      </c>
      <c r="CL477" s="989" t="str">
        <f t="shared" si="1357"/>
        <v/>
      </c>
      <c r="CM477" s="988" t="str">
        <f t="shared" si="1357"/>
        <v/>
      </c>
      <c r="CN477" s="533" t="str">
        <f t="shared" ref="CN477:CN484" si="135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35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6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36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36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36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36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36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36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36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36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36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37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37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37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37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37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375">COUNT(B477:R477)</f>
        <v>0</v>
      </c>
      <c r="DF477" s="95">
        <f t="shared" ref="DF477:DF484" si="1376">COUNT(T477:AJ477)</f>
        <v>0</v>
      </c>
      <c r="DG477" s="95">
        <f t="shared" ref="DG477:DG484" si="1377">COUNT(AL477:BB477)</f>
        <v>0</v>
      </c>
      <c r="DH477" s="95">
        <f t="shared" ref="DH477:DH484" si="1378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343"/>
        <v/>
      </c>
      <c r="CA478" s="582" t="str">
        <f t="shared" si="1344"/>
        <v/>
      </c>
      <c r="CB478" s="582" t="str">
        <f t="shared" si="1345"/>
        <v/>
      </c>
      <c r="CC478" s="670" t="str">
        <f t="shared" si="1346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37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379"/>
        <v/>
      </c>
      <c r="CG478" s="989" t="str">
        <f t="shared" si="1379"/>
        <v/>
      </c>
      <c r="CH478" s="990" t="str">
        <f t="shared" si="1379"/>
        <v/>
      </c>
      <c r="CI478" s="990" t="str">
        <f t="shared" si="1379"/>
        <v/>
      </c>
      <c r="CJ478" s="989" t="str">
        <f t="shared" si="1379"/>
        <v/>
      </c>
      <c r="CK478" s="989" t="str">
        <f t="shared" si="1379"/>
        <v/>
      </c>
      <c r="CL478" s="989" t="str">
        <f t="shared" si="1379"/>
        <v/>
      </c>
      <c r="CM478" s="988" t="str">
        <f t="shared" si="1379"/>
        <v/>
      </c>
      <c r="CN478" s="533" t="str">
        <f t="shared" si="1358"/>
        <v/>
      </c>
      <c r="CO478" s="534" t="str">
        <f t="shared" si="1359"/>
        <v/>
      </c>
      <c r="CP478" s="535" t="str">
        <f t="shared" si="1360"/>
        <v/>
      </c>
      <c r="CQ478" s="535" t="str">
        <f t="shared" si="1361"/>
        <v/>
      </c>
      <c r="CR478" s="535" t="str">
        <f t="shared" si="1362"/>
        <v/>
      </c>
      <c r="CS478" s="535" t="str">
        <f t="shared" si="1363"/>
        <v/>
      </c>
      <c r="CT478" s="535" t="str">
        <f t="shared" si="1364"/>
        <v/>
      </c>
      <c r="CU478" s="536" t="str">
        <f t="shared" si="1365"/>
        <v/>
      </c>
      <c r="CV478" s="536" t="str">
        <f t="shared" si="1366"/>
        <v/>
      </c>
      <c r="CW478" s="536" t="str">
        <f t="shared" si="1367"/>
        <v/>
      </c>
      <c r="CX478" s="535" t="str">
        <f t="shared" si="1368"/>
        <v/>
      </c>
      <c r="CY478" s="535" t="str">
        <f t="shared" si="1369"/>
        <v/>
      </c>
      <c r="CZ478" s="535" t="str">
        <f t="shared" si="1370"/>
        <v/>
      </c>
      <c r="DA478" s="535" t="str">
        <f t="shared" si="1371"/>
        <v/>
      </c>
      <c r="DB478" s="535" t="str">
        <f t="shared" si="1372"/>
        <v/>
      </c>
      <c r="DC478" s="534" t="str">
        <f t="shared" si="1373"/>
        <v/>
      </c>
      <c r="DD478" s="533" t="str">
        <f t="shared" si="1374"/>
        <v/>
      </c>
      <c r="DE478" s="635">
        <f t="shared" si="1375"/>
        <v>0</v>
      </c>
      <c r="DF478" s="95">
        <f t="shared" si="1376"/>
        <v>0</v>
      </c>
      <c r="DG478" s="95">
        <f t="shared" si="1377"/>
        <v>0</v>
      </c>
      <c r="DH478" s="95">
        <f t="shared" si="1378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343"/>
        <v/>
      </c>
      <c r="CA479" s="582" t="str">
        <f t="shared" si="1344"/>
        <v/>
      </c>
      <c r="CB479" s="582" t="str">
        <f t="shared" si="1345"/>
        <v/>
      </c>
      <c r="CC479" s="670" t="str">
        <f t="shared" si="1346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379"/>
        <v/>
      </c>
      <c r="CF479" s="989" t="str">
        <f t="shared" si="1379"/>
        <v/>
      </c>
      <c r="CG479" s="989" t="str">
        <f t="shared" si="1379"/>
        <v/>
      </c>
      <c r="CH479" s="990" t="str">
        <f t="shared" si="1379"/>
        <v/>
      </c>
      <c r="CI479" s="990" t="str">
        <f t="shared" si="1379"/>
        <v/>
      </c>
      <c r="CJ479" s="989" t="str">
        <f t="shared" si="1379"/>
        <v/>
      </c>
      <c r="CK479" s="989" t="str">
        <f t="shared" si="1379"/>
        <v/>
      </c>
      <c r="CL479" s="989" t="str">
        <f t="shared" si="1379"/>
        <v/>
      </c>
      <c r="CM479" s="988" t="str">
        <f t="shared" si="1379"/>
        <v/>
      </c>
      <c r="CN479" s="533" t="str">
        <f t="shared" si="1358"/>
        <v/>
      </c>
      <c r="CO479" s="534" t="str">
        <f t="shared" si="1359"/>
        <v/>
      </c>
      <c r="CP479" s="535" t="str">
        <f t="shared" si="1360"/>
        <v/>
      </c>
      <c r="CQ479" s="535" t="str">
        <f t="shared" si="1361"/>
        <v/>
      </c>
      <c r="CR479" s="535" t="str">
        <f t="shared" si="1362"/>
        <v/>
      </c>
      <c r="CS479" s="535" t="str">
        <f t="shared" si="1363"/>
        <v/>
      </c>
      <c r="CT479" s="535" t="str">
        <f t="shared" si="1364"/>
        <v/>
      </c>
      <c r="CU479" s="536" t="str">
        <f t="shared" si="1365"/>
        <v/>
      </c>
      <c r="CV479" s="536" t="str">
        <f t="shared" si="1366"/>
        <v/>
      </c>
      <c r="CW479" s="536" t="str">
        <f t="shared" si="1367"/>
        <v/>
      </c>
      <c r="CX479" s="535" t="str">
        <f t="shared" si="1368"/>
        <v/>
      </c>
      <c r="CY479" s="535" t="str">
        <f t="shared" si="1369"/>
        <v/>
      </c>
      <c r="CZ479" s="535" t="str">
        <f t="shared" si="1370"/>
        <v/>
      </c>
      <c r="DA479" s="535" t="str">
        <f t="shared" si="1371"/>
        <v/>
      </c>
      <c r="DB479" s="535" t="str">
        <f t="shared" si="1372"/>
        <v/>
      </c>
      <c r="DC479" s="534" t="str">
        <f t="shared" si="1373"/>
        <v/>
      </c>
      <c r="DD479" s="533" t="str">
        <f t="shared" si="1374"/>
        <v/>
      </c>
      <c r="DE479" s="635">
        <f t="shared" si="1375"/>
        <v>0</v>
      </c>
      <c r="DF479" s="95">
        <f t="shared" si="1376"/>
        <v>0</v>
      </c>
      <c r="DG479" s="95">
        <f t="shared" si="1377"/>
        <v>0</v>
      </c>
      <c r="DH479" s="95">
        <f t="shared" si="1378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380">IF(B478="","",B477*B478*B479)</f>
        <v/>
      </c>
      <c r="C480" s="612" t="str">
        <f t="shared" si="1380"/>
        <v/>
      </c>
      <c r="D480" s="612" t="str">
        <f t="shared" si="1380"/>
        <v/>
      </c>
      <c r="E480" s="612" t="str">
        <f t="shared" si="1380"/>
        <v/>
      </c>
      <c r="F480" s="612" t="str">
        <f t="shared" si="1380"/>
        <v/>
      </c>
      <c r="G480" s="612" t="str">
        <f t="shared" si="1380"/>
        <v/>
      </c>
      <c r="H480" s="612" t="str">
        <f t="shared" si="1380"/>
        <v/>
      </c>
      <c r="I480" s="612" t="str">
        <f t="shared" si="1380"/>
        <v/>
      </c>
      <c r="J480" s="612" t="str">
        <f t="shared" si="1380"/>
        <v/>
      </c>
      <c r="K480" s="612" t="str">
        <f t="shared" si="1380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381">IF(T478="","",T477*T478*T479)</f>
        <v/>
      </c>
      <c r="U480" s="612" t="str">
        <f t="shared" si="1381"/>
        <v/>
      </c>
      <c r="V480" s="612" t="str">
        <f t="shared" si="1381"/>
        <v/>
      </c>
      <c r="W480" s="612" t="str">
        <f t="shared" si="1381"/>
        <v/>
      </c>
      <c r="X480" s="612" t="str">
        <f t="shared" si="1381"/>
        <v/>
      </c>
      <c r="Y480" s="612" t="str">
        <f t="shared" si="1381"/>
        <v/>
      </c>
      <c r="Z480" s="612" t="str">
        <f t="shared" si="1381"/>
        <v/>
      </c>
      <c r="AA480" s="612" t="str">
        <f t="shared" si="1381"/>
        <v/>
      </c>
      <c r="AB480" s="612" t="str">
        <f t="shared" si="1381"/>
        <v/>
      </c>
      <c r="AC480" s="612" t="str">
        <f t="shared" si="1381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382">IF(AL478="","",AL477*AL478*AL479)</f>
        <v/>
      </c>
      <c r="AM480" s="612" t="str">
        <f t="shared" si="1382"/>
        <v/>
      </c>
      <c r="AN480" s="612" t="str">
        <f t="shared" si="1382"/>
        <v/>
      </c>
      <c r="AO480" s="612" t="str">
        <f t="shared" si="1382"/>
        <v/>
      </c>
      <c r="AP480" s="612" t="str">
        <f t="shared" si="1382"/>
        <v/>
      </c>
      <c r="AQ480" s="612" t="str">
        <f t="shared" si="1382"/>
        <v/>
      </c>
      <c r="AR480" s="612" t="str">
        <f t="shared" si="1382"/>
        <v/>
      </c>
      <c r="AS480" s="612" t="str">
        <f t="shared" si="1382"/>
        <v/>
      </c>
      <c r="AT480" s="612" t="str">
        <f t="shared" si="1382"/>
        <v/>
      </c>
      <c r="AU480" s="612" t="str">
        <f t="shared" si="1382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383">IF(BD478="","",BD477*BD478*BD479)</f>
        <v/>
      </c>
      <c r="BE480" s="1201" t="str">
        <f t="shared" si="1383"/>
        <v/>
      </c>
      <c r="BF480" s="1201" t="str">
        <f t="shared" si="1383"/>
        <v/>
      </c>
      <c r="BG480" s="1201" t="str">
        <f t="shared" si="1383"/>
        <v/>
      </c>
      <c r="BH480" s="1201" t="str">
        <f t="shared" si="1383"/>
        <v/>
      </c>
      <c r="BI480" s="1201" t="str">
        <f t="shared" si="1383"/>
        <v/>
      </c>
      <c r="BJ480" s="1201" t="str">
        <f t="shared" si="1383"/>
        <v/>
      </c>
      <c r="BK480" s="1201" t="str">
        <f t="shared" si="1383"/>
        <v/>
      </c>
      <c r="BL480" s="1201" t="str">
        <f t="shared" si="1383"/>
        <v/>
      </c>
      <c r="BM480" s="1201" t="str">
        <f t="shared" si="1383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343"/>
        <v/>
      </c>
      <c r="CA480" s="582" t="str">
        <f t="shared" si="1344"/>
        <v/>
      </c>
      <c r="CB480" s="582" t="str">
        <f t="shared" si="1345"/>
        <v/>
      </c>
      <c r="CC480" s="670" t="str">
        <f t="shared" si="1346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379"/>
        <v/>
      </c>
      <c r="CF480" s="989" t="str">
        <f t="shared" si="1379"/>
        <v/>
      </c>
      <c r="CG480" s="989" t="str">
        <f t="shared" si="1379"/>
        <v/>
      </c>
      <c r="CH480" s="990" t="str">
        <f t="shared" si="1379"/>
        <v/>
      </c>
      <c r="CI480" s="990" t="str">
        <f t="shared" si="1379"/>
        <v/>
      </c>
      <c r="CJ480" s="989" t="str">
        <f t="shared" si="1379"/>
        <v/>
      </c>
      <c r="CK480" s="989" t="str">
        <f t="shared" si="1379"/>
        <v/>
      </c>
      <c r="CL480" s="989" t="str">
        <f t="shared" si="1379"/>
        <v/>
      </c>
      <c r="CM480" s="988" t="str">
        <f t="shared" si="1379"/>
        <v/>
      </c>
      <c r="CN480" s="533" t="str">
        <f t="shared" si="1358"/>
        <v/>
      </c>
      <c r="CO480" s="534" t="str">
        <f t="shared" si="1359"/>
        <v/>
      </c>
      <c r="CP480" s="535" t="str">
        <f t="shared" si="1360"/>
        <v/>
      </c>
      <c r="CQ480" s="535" t="str">
        <f t="shared" si="1361"/>
        <v/>
      </c>
      <c r="CR480" s="535" t="str">
        <f t="shared" si="1362"/>
        <v/>
      </c>
      <c r="CS480" s="535" t="str">
        <f t="shared" si="1363"/>
        <v/>
      </c>
      <c r="CT480" s="535" t="str">
        <f t="shared" si="1364"/>
        <v/>
      </c>
      <c r="CU480" s="536" t="str">
        <f t="shared" si="1365"/>
        <v/>
      </c>
      <c r="CV480" s="536" t="str">
        <f t="shared" si="1366"/>
        <v/>
      </c>
      <c r="CW480" s="536" t="str">
        <f t="shared" si="1367"/>
        <v/>
      </c>
      <c r="CX480" s="535" t="str">
        <f t="shared" si="1368"/>
        <v/>
      </c>
      <c r="CY480" s="535" t="str">
        <f t="shared" si="1369"/>
        <v/>
      </c>
      <c r="CZ480" s="535" t="str">
        <f t="shared" si="1370"/>
        <v/>
      </c>
      <c r="DA480" s="535" t="str">
        <f t="shared" si="1371"/>
        <v/>
      </c>
      <c r="DB480" s="535" t="str">
        <f t="shared" si="1372"/>
        <v/>
      </c>
      <c r="DC480" s="534" t="str">
        <f t="shared" si="1373"/>
        <v/>
      </c>
      <c r="DD480" s="533" t="str">
        <f t="shared" si="1374"/>
        <v/>
      </c>
      <c r="DE480" s="635">
        <f t="shared" si="1375"/>
        <v>0</v>
      </c>
      <c r="DF480" s="95">
        <f t="shared" si="1376"/>
        <v>0</v>
      </c>
      <c r="DG480" s="95">
        <f t="shared" si="1377"/>
        <v>0</v>
      </c>
      <c r="DH480" s="95">
        <f t="shared" si="1378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384">750*$K$1</f>
        <v>3140.1</v>
      </c>
      <c r="D481" s="740">
        <f t="shared" si="1384"/>
        <v>3140.1</v>
      </c>
      <c r="E481" s="740">
        <f t="shared" si="1384"/>
        <v>3140.1</v>
      </c>
      <c r="F481" s="740">
        <f t="shared" si="1384"/>
        <v>3140.1</v>
      </c>
      <c r="G481" s="740">
        <f t="shared" si="1384"/>
        <v>3140.1</v>
      </c>
      <c r="H481" s="740">
        <f t="shared" si="1384"/>
        <v>3140.1</v>
      </c>
      <c r="I481" s="740">
        <f t="shared" si="1384"/>
        <v>3140.1</v>
      </c>
      <c r="J481" s="740">
        <f t="shared" si="1384"/>
        <v>3140.1</v>
      </c>
      <c r="K481" s="740">
        <f t="shared" si="1384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385">750*$K$1</f>
        <v>3140.1</v>
      </c>
      <c r="V481" s="740">
        <f t="shared" si="1385"/>
        <v>3140.1</v>
      </c>
      <c r="W481" s="740">
        <f t="shared" si="1385"/>
        <v>3140.1</v>
      </c>
      <c r="X481" s="740">
        <f t="shared" si="1385"/>
        <v>3140.1</v>
      </c>
      <c r="Y481" s="740">
        <f t="shared" si="1385"/>
        <v>3140.1</v>
      </c>
      <c r="Z481" s="740">
        <f t="shared" si="1385"/>
        <v>3140.1</v>
      </c>
      <c r="AA481" s="740">
        <f t="shared" si="1385"/>
        <v>3140.1</v>
      </c>
      <c r="AB481" s="740">
        <f t="shared" si="1385"/>
        <v>3140.1</v>
      </c>
      <c r="AC481" s="740">
        <f t="shared" si="1385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386">750*$K$1</f>
        <v>3140.1</v>
      </c>
      <c r="AN481" s="740">
        <f t="shared" si="1386"/>
        <v>3140.1</v>
      </c>
      <c r="AO481" s="740">
        <f t="shared" si="1386"/>
        <v>3140.1</v>
      </c>
      <c r="AP481" s="740">
        <f t="shared" si="1386"/>
        <v>3140.1</v>
      </c>
      <c r="AQ481" s="740">
        <f t="shared" si="1386"/>
        <v>3140.1</v>
      </c>
      <c r="AR481" s="740">
        <f t="shared" si="1386"/>
        <v>3140.1</v>
      </c>
      <c r="AS481" s="740">
        <f t="shared" si="1386"/>
        <v>3140.1</v>
      </c>
      <c r="AT481" s="740">
        <f t="shared" si="1386"/>
        <v>3140.1</v>
      </c>
      <c r="AU481" s="740">
        <f t="shared" si="1386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387">750*$K$1</f>
        <v>3140.1</v>
      </c>
      <c r="BF481" s="1236">
        <f t="shared" si="1387"/>
        <v>3140.1</v>
      </c>
      <c r="BG481" s="1236">
        <f t="shared" si="1387"/>
        <v>3140.1</v>
      </c>
      <c r="BH481" s="1236">
        <f t="shared" si="1387"/>
        <v>3140.1</v>
      </c>
      <c r="BI481" s="1236">
        <f t="shared" si="1387"/>
        <v>3140.1</v>
      </c>
      <c r="BJ481" s="1236">
        <f t="shared" si="1387"/>
        <v>3140.1</v>
      </c>
      <c r="BK481" s="1236">
        <f t="shared" si="1387"/>
        <v>3140.1</v>
      </c>
      <c r="BL481" s="1236">
        <f t="shared" si="1387"/>
        <v>3140.1</v>
      </c>
      <c r="BM481" s="1236">
        <f t="shared" si="1387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>750*$K$1</f>
        <v>3140.1</v>
      </c>
      <c r="BW481" s="740">
        <f>750*$K$1</f>
        <v>3140.1</v>
      </c>
      <c r="BX481" s="740">
        <f>750*$K$1</f>
        <v>3140.1</v>
      </c>
      <c r="BY481" s="740">
        <f>750*$K$1</f>
        <v>3140.1</v>
      </c>
      <c r="BZ481" s="582">
        <f t="shared" si="1343"/>
        <v>3140.0999999999995</v>
      </c>
      <c r="CA481" s="582">
        <f t="shared" si="1344"/>
        <v>3140.0999999999995</v>
      </c>
      <c r="CB481" s="582">
        <f t="shared" si="1345"/>
        <v>3140.0999999999995</v>
      </c>
      <c r="CC481" s="670">
        <f t="shared" si="1346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379"/>
        <v>3140.1</v>
      </c>
      <c r="CF481" s="989">
        <f t="shared" si="1379"/>
        <v>3140.1</v>
      </c>
      <c r="CG481" s="989">
        <f t="shared" si="1379"/>
        <v>3140.1</v>
      </c>
      <c r="CH481" s="990">
        <f t="shared" si="1379"/>
        <v>3140.1</v>
      </c>
      <c r="CI481" s="990">
        <f t="shared" si="1379"/>
        <v>3140.1</v>
      </c>
      <c r="CJ481" s="989">
        <f t="shared" si="1379"/>
        <v>3140.1</v>
      </c>
      <c r="CK481" s="989">
        <f t="shared" si="1379"/>
        <v>3140.1</v>
      </c>
      <c r="CL481" s="989">
        <f t="shared" si="1379"/>
        <v>3140.1</v>
      </c>
      <c r="CM481" s="988">
        <f t="shared" si="1379"/>
        <v>3140.1</v>
      </c>
      <c r="CN481" s="533" t="str">
        <f t="shared" si="1358"/>
        <v/>
      </c>
      <c r="CO481" s="534" t="str">
        <f t="shared" si="1359"/>
        <v/>
      </c>
      <c r="CP481" s="535" t="str">
        <f t="shared" si="1360"/>
        <v/>
      </c>
      <c r="CQ481" s="535" t="str">
        <f t="shared" si="1361"/>
        <v/>
      </c>
      <c r="CR481" s="535">
        <f t="shared" si="1362"/>
        <v>3140.1</v>
      </c>
      <c r="CS481" s="535">
        <f t="shared" si="1363"/>
        <v>3140.1</v>
      </c>
      <c r="CT481" s="535">
        <f t="shared" si="1364"/>
        <v>3140.1</v>
      </c>
      <c r="CU481" s="536">
        <f t="shared" si="1365"/>
        <v>3140.1</v>
      </c>
      <c r="CV481" s="536">
        <f t="shared" si="1366"/>
        <v>3140.1</v>
      </c>
      <c r="CW481" s="536">
        <f t="shared" si="1367"/>
        <v>3140.1</v>
      </c>
      <c r="CX481" s="535">
        <f t="shared" si="1368"/>
        <v>3140.1</v>
      </c>
      <c r="CY481" s="535">
        <f t="shared" si="1369"/>
        <v>3140.1</v>
      </c>
      <c r="CZ481" s="535">
        <f t="shared" si="1370"/>
        <v>3140.1</v>
      </c>
      <c r="DA481" s="535">
        <f t="shared" si="1371"/>
        <v>3140.1</v>
      </c>
      <c r="DB481" s="535" t="str">
        <f t="shared" si="1372"/>
        <v/>
      </c>
      <c r="DC481" s="534" t="str">
        <f t="shared" si="1373"/>
        <v/>
      </c>
      <c r="DD481" s="533" t="str">
        <f t="shared" si="1374"/>
        <v/>
      </c>
      <c r="DE481" s="635">
        <f t="shared" si="1375"/>
        <v>10</v>
      </c>
      <c r="DF481" s="95">
        <f t="shared" si="1376"/>
        <v>10</v>
      </c>
      <c r="DG481" s="95">
        <f t="shared" si="1377"/>
        <v>10</v>
      </c>
      <c r="DH481" s="95">
        <f t="shared" si="1378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388">IF(B480="","",B480*B481/B$46/365/$G$1)</f>
        <v/>
      </c>
      <c r="C482" s="615" t="str">
        <f t="shared" si="1388"/>
        <v/>
      </c>
      <c r="D482" s="615" t="str">
        <f t="shared" si="1388"/>
        <v/>
      </c>
      <c r="E482" s="615" t="str">
        <f t="shared" si="1388"/>
        <v/>
      </c>
      <c r="F482" s="615" t="str">
        <f t="shared" si="1388"/>
        <v/>
      </c>
      <c r="G482" s="615" t="str">
        <f t="shared" si="1388"/>
        <v/>
      </c>
      <c r="H482" s="615" t="str">
        <f t="shared" si="1388"/>
        <v/>
      </c>
      <c r="I482" s="615" t="str">
        <f t="shared" si="1388"/>
        <v/>
      </c>
      <c r="J482" s="615" t="str">
        <f t="shared" si="1388"/>
        <v/>
      </c>
      <c r="K482" s="615" t="str">
        <f t="shared" si="1388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389">IF(T480="","",T480*T481/T$46/365/$G$1)</f>
        <v/>
      </c>
      <c r="U482" s="615" t="str">
        <f t="shared" si="1389"/>
        <v/>
      </c>
      <c r="V482" s="615" t="str">
        <f t="shared" si="1389"/>
        <v/>
      </c>
      <c r="W482" s="615" t="str">
        <f t="shared" si="1389"/>
        <v/>
      </c>
      <c r="X482" s="615" t="str">
        <f t="shared" si="1389"/>
        <v/>
      </c>
      <c r="Y482" s="615" t="str">
        <f t="shared" si="1389"/>
        <v/>
      </c>
      <c r="Z482" s="615" t="str">
        <f t="shared" si="1389"/>
        <v/>
      </c>
      <c r="AA482" s="615" t="str">
        <f t="shared" si="1389"/>
        <v/>
      </c>
      <c r="AB482" s="615" t="str">
        <f t="shared" si="1389"/>
        <v/>
      </c>
      <c r="AC482" s="615" t="str">
        <f t="shared" si="1389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390">IF(AL480="","",AL480*AL481/AL$46/365/$G$1)</f>
        <v/>
      </c>
      <c r="AM482" s="615" t="str">
        <f t="shared" si="1390"/>
        <v/>
      </c>
      <c r="AN482" s="615" t="str">
        <f t="shared" si="1390"/>
        <v/>
      </c>
      <c r="AO482" s="615" t="str">
        <f t="shared" si="1390"/>
        <v/>
      </c>
      <c r="AP482" s="615" t="str">
        <f t="shared" si="1390"/>
        <v/>
      </c>
      <c r="AQ482" s="615" t="str">
        <f t="shared" si="1390"/>
        <v/>
      </c>
      <c r="AR482" s="615" t="str">
        <f t="shared" si="1390"/>
        <v/>
      </c>
      <c r="AS482" s="615" t="str">
        <f t="shared" si="1390"/>
        <v/>
      </c>
      <c r="AT482" s="615" t="str">
        <f t="shared" si="1390"/>
        <v/>
      </c>
      <c r="AU482" s="615" t="str">
        <f t="shared" si="1390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391">IF(BD480="","",BD480*BD481/BD$46/365/$G$1)</f>
        <v/>
      </c>
      <c r="BE482" s="1202" t="str">
        <f t="shared" si="1391"/>
        <v/>
      </c>
      <c r="BF482" s="1202" t="str">
        <f t="shared" si="1391"/>
        <v/>
      </c>
      <c r="BG482" s="1202" t="str">
        <f t="shared" si="1391"/>
        <v/>
      </c>
      <c r="BH482" s="1202" t="str">
        <f t="shared" si="1391"/>
        <v/>
      </c>
      <c r="BI482" s="1202" t="str">
        <f t="shared" si="1391"/>
        <v/>
      </c>
      <c r="BJ482" s="1202" t="str">
        <f t="shared" si="1391"/>
        <v/>
      </c>
      <c r="BK482" s="1202" t="str">
        <f t="shared" si="1391"/>
        <v/>
      </c>
      <c r="BL482" s="1202" t="str">
        <f t="shared" si="1391"/>
        <v/>
      </c>
      <c r="BM482" s="1202" t="str">
        <f t="shared" si="1391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343"/>
        <v/>
      </c>
      <c r="CA482" s="607" t="str">
        <f t="shared" si="1344"/>
        <v/>
      </c>
      <c r="CB482" s="607" t="str">
        <f t="shared" si="1345"/>
        <v/>
      </c>
      <c r="CC482" s="607" t="str">
        <f t="shared" si="1346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379"/>
        <v/>
      </c>
      <c r="CF482" s="992" t="str">
        <f t="shared" si="1379"/>
        <v/>
      </c>
      <c r="CG482" s="992" t="str">
        <f t="shared" si="1379"/>
        <v/>
      </c>
      <c r="CH482" s="993" t="str">
        <f t="shared" si="1379"/>
        <v/>
      </c>
      <c r="CI482" s="993" t="str">
        <f t="shared" si="1379"/>
        <v/>
      </c>
      <c r="CJ482" s="992" t="str">
        <f t="shared" si="1379"/>
        <v/>
      </c>
      <c r="CK482" s="992" t="str">
        <f t="shared" si="1379"/>
        <v/>
      </c>
      <c r="CL482" s="992" t="str">
        <f t="shared" si="1379"/>
        <v/>
      </c>
      <c r="CM482" s="991" t="str">
        <f t="shared" si="1379"/>
        <v/>
      </c>
      <c r="CN482" s="521" t="str">
        <f t="shared" si="1358"/>
        <v/>
      </c>
      <c r="CO482" s="522" t="str">
        <f t="shared" si="1359"/>
        <v/>
      </c>
      <c r="CP482" s="523" t="str">
        <f t="shared" si="1360"/>
        <v/>
      </c>
      <c r="CQ482" s="523" t="str">
        <f t="shared" si="1361"/>
        <v/>
      </c>
      <c r="CR482" s="523" t="str">
        <f t="shared" si="1362"/>
        <v/>
      </c>
      <c r="CS482" s="523" t="str">
        <f t="shared" si="1363"/>
        <v/>
      </c>
      <c r="CT482" s="523" t="str">
        <f t="shared" si="1364"/>
        <v/>
      </c>
      <c r="CU482" s="524" t="str">
        <f t="shared" si="1365"/>
        <v/>
      </c>
      <c r="CV482" s="524" t="str">
        <f t="shared" si="1366"/>
        <v/>
      </c>
      <c r="CW482" s="524" t="str">
        <f t="shared" si="1367"/>
        <v/>
      </c>
      <c r="CX482" s="523" t="str">
        <f t="shared" si="1368"/>
        <v/>
      </c>
      <c r="CY482" s="523" t="str">
        <f t="shared" si="1369"/>
        <v/>
      </c>
      <c r="CZ482" s="523" t="str">
        <f t="shared" si="1370"/>
        <v/>
      </c>
      <c r="DA482" s="523" t="str">
        <f t="shared" si="1371"/>
        <v/>
      </c>
      <c r="DB482" s="523" t="str">
        <f t="shared" si="1372"/>
        <v/>
      </c>
      <c r="DC482" s="522" t="str">
        <f t="shared" si="1373"/>
        <v/>
      </c>
      <c r="DD482" s="521" t="str">
        <f t="shared" si="1374"/>
        <v/>
      </c>
      <c r="DE482" s="635">
        <f t="shared" si="1375"/>
        <v>0</v>
      </c>
      <c r="DF482" s="95">
        <f t="shared" si="1376"/>
        <v>0</v>
      </c>
      <c r="DG482" s="95">
        <f t="shared" si="1377"/>
        <v>0</v>
      </c>
      <c r="DH482" s="95">
        <f t="shared" si="1378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343"/>
        <v/>
      </c>
      <c r="CA483" s="582" t="str">
        <f t="shared" si="1344"/>
        <v/>
      </c>
      <c r="CB483" s="582" t="str">
        <f t="shared" si="1345"/>
        <v/>
      </c>
      <c r="CC483" s="670" t="str">
        <f t="shared" si="1346"/>
        <v/>
      </c>
      <c r="CD483" s="988" t="str">
        <f t="shared" ref="CD483:CM484" si="139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392"/>
        <v/>
      </c>
      <c r="CF483" s="989" t="str">
        <f t="shared" si="1392"/>
        <v/>
      </c>
      <c r="CG483" s="989" t="str">
        <f t="shared" si="1392"/>
        <v/>
      </c>
      <c r="CH483" s="990" t="str">
        <f t="shared" si="1392"/>
        <v/>
      </c>
      <c r="CI483" s="990" t="str">
        <f t="shared" si="1392"/>
        <v/>
      </c>
      <c r="CJ483" s="989" t="str">
        <f t="shared" si="1392"/>
        <v/>
      </c>
      <c r="CK483" s="989" t="str">
        <f t="shared" si="1392"/>
        <v/>
      </c>
      <c r="CL483" s="989" t="str">
        <f t="shared" si="1392"/>
        <v/>
      </c>
      <c r="CM483" s="988" t="str">
        <f t="shared" si="1392"/>
        <v/>
      </c>
      <c r="CN483" s="533" t="str">
        <f t="shared" si="1358"/>
        <v/>
      </c>
      <c r="CO483" s="534" t="str">
        <f t="shared" si="1359"/>
        <v/>
      </c>
      <c r="CP483" s="535" t="str">
        <f t="shared" si="1360"/>
        <v/>
      </c>
      <c r="CQ483" s="535" t="str">
        <f t="shared" si="1361"/>
        <v/>
      </c>
      <c r="CR483" s="535" t="str">
        <f t="shared" si="1362"/>
        <v/>
      </c>
      <c r="CS483" s="535" t="str">
        <f t="shared" si="1363"/>
        <v/>
      </c>
      <c r="CT483" s="535" t="str">
        <f t="shared" si="1364"/>
        <v/>
      </c>
      <c r="CU483" s="536" t="str">
        <f t="shared" si="1365"/>
        <v/>
      </c>
      <c r="CV483" s="536" t="str">
        <f t="shared" si="1366"/>
        <v/>
      </c>
      <c r="CW483" s="536" t="str">
        <f t="shared" si="1367"/>
        <v/>
      </c>
      <c r="CX483" s="535" t="str">
        <f t="shared" si="1368"/>
        <v/>
      </c>
      <c r="CY483" s="535" t="str">
        <f t="shared" si="1369"/>
        <v/>
      </c>
      <c r="CZ483" s="535" t="str">
        <f t="shared" si="1370"/>
        <v/>
      </c>
      <c r="DA483" s="535" t="str">
        <f t="shared" si="1371"/>
        <v/>
      </c>
      <c r="DB483" s="535" t="str">
        <f t="shared" si="1372"/>
        <v/>
      </c>
      <c r="DC483" s="534" t="str">
        <f t="shared" si="1373"/>
        <v/>
      </c>
      <c r="DD483" s="533" t="str">
        <f t="shared" si="1374"/>
        <v/>
      </c>
      <c r="DE483" s="635">
        <f t="shared" si="1375"/>
        <v>0</v>
      </c>
      <c r="DF483" s="95">
        <f t="shared" si="1376"/>
        <v>0</v>
      </c>
      <c r="DG483" s="95">
        <f t="shared" si="1377"/>
        <v>0</v>
      </c>
      <c r="DH483" s="95">
        <f t="shared" si="1378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393">IF(B483="","",B478*B483*B479)</f>
        <v/>
      </c>
      <c r="C484" s="612" t="str">
        <f t="shared" si="1393"/>
        <v/>
      </c>
      <c r="D484" s="612" t="str">
        <f t="shared" si="1393"/>
        <v/>
      </c>
      <c r="E484" s="612" t="str">
        <f t="shared" si="1393"/>
        <v/>
      </c>
      <c r="F484" s="612" t="str">
        <f t="shared" si="1393"/>
        <v/>
      </c>
      <c r="G484" s="612" t="str">
        <f t="shared" si="1393"/>
        <v/>
      </c>
      <c r="H484" s="612" t="str">
        <f t="shared" si="1393"/>
        <v/>
      </c>
      <c r="I484" s="612" t="str">
        <f t="shared" si="1393"/>
        <v/>
      </c>
      <c r="J484" s="612" t="str">
        <f t="shared" si="1393"/>
        <v/>
      </c>
      <c r="K484" s="612" t="str">
        <f t="shared" si="1393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394">IF(T483="","",T478*T483*T479)</f>
        <v/>
      </c>
      <c r="U484" s="612" t="str">
        <f t="shared" si="1394"/>
        <v/>
      </c>
      <c r="V484" s="612" t="str">
        <f t="shared" si="1394"/>
        <v/>
      </c>
      <c r="W484" s="612" t="str">
        <f t="shared" si="1394"/>
        <v/>
      </c>
      <c r="X484" s="612" t="str">
        <f t="shared" si="1394"/>
        <v/>
      </c>
      <c r="Y484" s="612" t="str">
        <f t="shared" si="1394"/>
        <v/>
      </c>
      <c r="Z484" s="612" t="str">
        <f t="shared" si="1394"/>
        <v/>
      </c>
      <c r="AA484" s="612" t="str">
        <f t="shared" si="1394"/>
        <v/>
      </c>
      <c r="AB484" s="612" t="str">
        <f t="shared" si="1394"/>
        <v/>
      </c>
      <c r="AC484" s="612" t="str">
        <f t="shared" si="1394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395">IF(AL483="","",AL478*AL483*AL479)</f>
        <v/>
      </c>
      <c r="AM484" s="612" t="str">
        <f t="shared" si="1395"/>
        <v/>
      </c>
      <c r="AN484" s="612" t="str">
        <f t="shared" si="1395"/>
        <v/>
      </c>
      <c r="AO484" s="612" t="str">
        <f t="shared" si="1395"/>
        <v/>
      </c>
      <c r="AP484" s="612" t="str">
        <f t="shared" si="1395"/>
        <v/>
      </c>
      <c r="AQ484" s="612" t="str">
        <f t="shared" si="1395"/>
        <v/>
      </c>
      <c r="AR484" s="612" t="str">
        <f t="shared" si="1395"/>
        <v/>
      </c>
      <c r="AS484" s="612" t="str">
        <f t="shared" si="1395"/>
        <v/>
      </c>
      <c r="AT484" s="612" t="str">
        <f t="shared" si="1395"/>
        <v/>
      </c>
      <c r="AU484" s="612" t="str">
        <f t="shared" si="1395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396">IF(BD483="","",BD478*BD483*BD479)</f>
        <v/>
      </c>
      <c r="BE484" s="1201" t="str">
        <f t="shared" si="1396"/>
        <v/>
      </c>
      <c r="BF484" s="1201" t="str">
        <f t="shared" si="1396"/>
        <v/>
      </c>
      <c r="BG484" s="1201" t="str">
        <f t="shared" si="1396"/>
        <v/>
      </c>
      <c r="BH484" s="1201" t="str">
        <f t="shared" si="1396"/>
        <v/>
      </c>
      <c r="BI484" s="1201" t="str">
        <f t="shared" si="1396"/>
        <v/>
      </c>
      <c r="BJ484" s="1201" t="str">
        <f t="shared" si="1396"/>
        <v/>
      </c>
      <c r="BK484" s="1201" t="str">
        <f t="shared" si="1396"/>
        <v/>
      </c>
      <c r="BL484" s="1201" t="str">
        <f t="shared" si="1396"/>
        <v/>
      </c>
      <c r="BM484" s="1201" t="str">
        <f t="shared" si="1396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343"/>
        <v/>
      </c>
      <c r="CA484" s="582" t="str">
        <f t="shared" si="1344"/>
        <v/>
      </c>
      <c r="CB484" s="582" t="str">
        <f t="shared" si="1345"/>
        <v/>
      </c>
      <c r="CC484" s="670" t="str">
        <f t="shared" si="1346"/>
        <v/>
      </c>
      <c r="CD484" s="988" t="str">
        <f t="shared" si="1392"/>
        <v/>
      </c>
      <c r="CE484" s="989" t="str">
        <f t="shared" ref="CE484:CM484" si="139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397"/>
        <v/>
      </c>
      <c r="CG484" s="989" t="str">
        <f t="shared" si="1397"/>
        <v/>
      </c>
      <c r="CH484" s="990" t="str">
        <f t="shared" si="1397"/>
        <v/>
      </c>
      <c r="CI484" s="990" t="str">
        <f t="shared" si="1397"/>
        <v/>
      </c>
      <c r="CJ484" s="989" t="str">
        <f t="shared" si="1397"/>
        <v/>
      </c>
      <c r="CK484" s="989" t="str">
        <f t="shared" si="1397"/>
        <v/>
      </c>
      <c r="CL484" s="989" t="str">
        <f t="shared" si="1397"/>
        <v/>
      </c>
      <c r="CM484" s="988" t="str">
        <f t="shared" si="1397"/>
        <v/>
      </c>
      <c r="CN484" s="533" t="str">
        <f t="shared" si="1358"/>
        <v/>
      </c>
      <c r="CO484" s="534" t="str">
        <f t="shared" si="1359"/>
        <v/>
      </c>
      <c r="CP484" s="535" t="str">
        <f t="shared" si="1360"/>
        <v/>
      </c>
      <c r="CQ484" s="535" t="str">
        <f t="shared" si="1361"/>
        <v/>
      </c>
      <c r="CR484" s="535" t="str">
        <f t="shared" si="1362"/>
        <v/>
      </c>
      <c r="CS484" s="535" t="str">
        <f t="shared" si="1363"/>
        <v/>
      </c>
      <c r="CT484" s="535" t="str">
        <f t="shared" si="1364"/>
        <v/>
      </c>
      <c r="CU484" s="536" t="str">
        <f t="shared" si="1365"/>
        <v/>
      </c>
      <c r="CV484" s="536" t="str">
        <f t="shared" si="1366"/>
        <v/>
      </c>
      <c r="CW484" s="536" t="str">
        <f t="shared" si="1367"/>
        <v/>
      </c>
      <c r="CX484" s="535" t="str">
        <f t="shared" si="1368"/>
        <v/>
      </c>
      <c r="CY484" s="535" t="str">
        <f t="shared" si="1369"/>
        <v/>
      </c>
      <c r="CZ484" s="535" t="str">
        <f t="shared" si="1370"/>
        <v/>
      </c>
      <c r="DA484" s="535" t="str">
        <f t="shared" si="1371"/>
        <v/>
      </c>
      <c r="DB484" s="535" t="str">
        <f t="shared" si="1372"/>
        <v/>
      </c>
      <c r="DC484" s="534" t="str">
        <f t="shared" si="1373"/>
        <v/>
      </c>
      <c r="DD484" s="533" t="str">
        <f t="shared" si="1374"/>
        <v/>
      </c>
      <c r="DE484" s="635">
        <f t="shared" si="1375"/>
        <v>0</v>
      </c>
      <c r="DF484" s="95">
        <f t="shared" si="1376"/>
        <v>0</v>
      </c>
      <c r="DG484" s="95">
        <f t="shared" si="1377"/>
        <v>0</v>
      </c>
      <c r="DH484" s="95">
        <f t="shared" si="1378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343"/>
        <v/>
      </c>
      <c r="CA485" s="574" t="str">
        <f t="shared" si="1344"/>
        <v/>
      </c>
      <c r="CB485" s="574" t="str">
        <f t="shared" si="1345"/>
        <v/>
      </c>
      <c r="CC485" s="669" t="str">
        <f t="shared" si="1346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343"/>
        <v>0.70000000000000007</v>
      </c>
      <c r="CA486" s="582">
        <f t="shared" si="1344"/>
        <v>0.70000000000000007</v>
      </c>
      <c r="CB486" s="582">
        <f t="shared" si="1345"/>
        <v>0.70000000000000007</v>
      </c>
      <c r="CC486" s="670">
        <f t="shared" si="1346"/>
        <v>0.70000000000000007</v>
      </c>
      <c r="CD486" s="988">
        <f t="shared" ref="CD486:CM486" si="139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398"/>
        <v>0.7</v>
      </c>
      <c r="CF486" s="989">
        <f t="shared" si="1398"/>
        <v>0.7</v>
      </c>
      <c r="CG486" s="989">
        <f t="shared" si="1398"/>
        <v>0.7</v>
      </c>
      <c r="CH486" s="990">
        <f t="shared" si="1398"/>
        <v>0.7</v>
      </c>
      <c r="CI486" s="990">
        <f t="shared" si="1398"/>
        <v>0.7</v>
      </c>
      <c r="CJ486" s="989">
        <f t="shared" si="1398"/>
        <v>0.7</v>
      </c>
      <c r="CK486" s="989">
        <f t="shared" si="1398"/>
        <v>0.7</v>
      </c>
      <c r="CL486" s="989">
        <f t="shared" si="1398"/>
        <v>0.7</v>
      </c>
      <c r="CM486" s="988">
        <f t="shared" si="1398"/>
        <v>0.7</v>
      </c>
      <c r="CN486" s="533" t="str">
        <f t="shared" ref="CN486:CN493" si="1399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400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01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402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403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404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405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0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40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40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0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41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41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41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41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1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416">COUNT(B486:R486)</f>
        <v>10</v>
      </c>
      <c r="DF486" s="95">
        <f t="shared" ref="DF486:DF493" si="1417">COUNT(T486:AJ486)</f>
        <v>10</v>
      </c>
      <c r="DG486" s="95">
        <f t="shared" ref="DG486:DG493" si="1418">COUNT(AL486:BB486)</f>
        <v>10</v>
      </c>
      <c r="DH486" s="95">
        <f t="shared" ref="DH486:DH493" si="1419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343"/>
        <v/>
      </c>
      <c r="CA487" s="582" t="str">
        <f t="shared" si="1344"/>
        <v/>
      </c>
      <c r="CB487" s="582" t="str">
        <f t="shared" si="1345"/>
        <v/>
      </c>
      <c r="CC487" s="670" t="str">
        <f t="shared" si="1346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42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420"/>
        <v/>
      </c>
      <c r="CG487" s="989" t="str">
        <f t="shared" si="1420"/>
        <v/>
      </c>
      <c r="CH487" s="990" t="str">
        <f t="shared" si="1420"/>
        <v/>
      </c>
      <c r="CI487" s="990" t="str">
        <f t="shared" si="1420"/>
        <v/>
      </c>
      <c r="CJ487" s="989" t="str">
        <f t="shared" si="1420"/>
        <v/>
      </c>
      <c r="CK487" s="989" t="str">
        <f t="shared" si="1420"/>
        <v/>
      </c>
      <c r="CL487" s="989" t="str">
        <f t="shared" si="1420"/>
        <v/>
      </c>
      <c r="CM487" s="988" t="str">
        <f t="shared" si="1420"/>
        <v/>
      </c>
      <c r="CN487" s="533" t="str">
        <f t="shared" si="1399"/>
        <v/>
      </c>
      <c r="CO487" s="534" t="str">
        <f t="shared" si="1400"/>
        <v/>
      </c>
      <c r="CP487" s="535" t="str">
        <f t="shared" si="1401"/>
        <v/>
      </c>
      <c r="CQ487" s="535" t="str">
        <f t="shared" si="1402"/>
        <v/>
      </c>
      <c r="CR487" s="535" t="str">
        <f t="shared" si="1403"/>
        <v/>
      </c>
      <c r="CS487" s="535" t="str">
        <f t="shared" si="1404"/>
        <v/>
      </c>
      <c r="CT487" s="535" t="str">
        <f t="shared" si="1405"/>
        <v/>
      </c>
      <c r="CU487" s="536" t="str">
        <f t="shared" si="1406"/>
        <v/>
      </c>
      <c r="CV487" s="536" t="str">
        <f t="shared" si="1407"/>
        <v/>
      </c>
      <c r="CW487" s="536" t="str">
        <f t="shared" si="1408"/>
        <v/>
      </c>
      <c r="CX487" s="535" t="str">
        <f t="shared" si="1409"/>
        <v/>
      </c>
      <c r="CY487" s="535" t="str">
        <f t="shared" si="1410"/>
        <v/>
      </c>
      <c r="CZ487" s="535" t="str">
        <f t="shared" si="1411"/>
        <v/>
      </c>
      <c r="DA487" s="535" t="str">
        <f t="shared" si="1412"/>
        <v/>
      </c>
      <c r="DB487" s="535" t="str">
        <f t="shared" si="1413"/>
        <v/>
      </c>
      <c r="DC487" s="534" t="str">
        <f t="shared" si="1414"/>
        <v/>
      </c>
      <c r="DD487" s="533" t="str">
        <f t="shared" si="1415"/>
        <v/>
      </c>
      <c r="DE487" s="635">
        <f t="shared" si="1416"/>
        <v>0</v>
      </c>
      <c r="DF487" s="95">
        <f t="shared" si="1417"/>
        <v>0</v>
      </c>
      <c r="DG487" s="95">
        <f t="shared" si="1418"/>
        <v>0</v>
      </c>
      <c r="DH487" s="95">
        <f t="shared" si="1419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343"/>
        <v/>
      </c>
      <c r="CA488" s="582" t="str">
        <f t="shared" si="1344"/>
        <v/>
      </c>
      <c r="CB488" s="582" t="str">
        <f t="shared" si="1345"/>
        <v/>
      </c>
      <c r="CC488" s="670" t="str">
        <f t="shared" si="1346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420"/>
        <v/>
      </c>
      <c r="CF488" s="989" t="str">
        <f t="shared" si="1420"/>
        <v/>
      </c>
      <c r="CG488" s="989" t="str">
        <f t="shared" si="1420"/>
        <v/>
      </c>
      <c r="CH488" s="990" t="str">
        <f t="shared" si="1420"/>
        <v/>
      </c>
      <c r="CI488" s="990" t="str">
        <f t="shared" si="1420"/>
        <v/>
      </c>
      <c r="CJ488" s="989" t="str">
        <f t="shared" si="1420"/>
        <v/>
      </c>
      <c r="CK488" s="989" t="str">
        <f t="shared" si="1420"/>
        <v/>
      </c>
      <c r="CL488" s="989" t="str">
        <f t="shared" si="1420"/>
        <v/>
      </c>
      <c r="CM488" s="988" t="str">
        <f t="shared" si="1420"/>
        <v/>
      </c>
      <c r="CN488" s="533" t="str">
        <f t="shared" si="1399"/>
        <v/>
      </c>
      <c r="CO488" s="534" t="str">
        <f t="shared" si="1400"/>
        <v/>
      </c>
      <c r="CP488" s="535" t="str">
        <f t="shared" si="1401"/>
        <v/>
      </c>
      <c r="CQ488" s="535" t="str">
        <f t="shared" si="1402"/>
        <v/>
      </c>
      <c r="CR488" s="535" t="str">
        <f t="shared" si="1403"/>
        <v/>
      </c>
      <c r="CS488" s="535" t="str">
        <f t="shared" si="1404"/>
        <v/>
      </c>
      <c r="CT488" s="535" t="str">
        <f t="shared" si="1405"/>
        <v/>
      </c>
      <c r="CU488" s="536" t="str">
        <f t="shared" si="1406"/>
        <v/>
      </c>
      <c r="CV488" s="536" t="str">
        <f t="shared" si="1407"/>
        <v/>
      </c>
      <c r="CW488" s="536" t="str">
        <f t="shared" si="1408"/>
        <v/>
      </c>
      <c r="CX488" s="535" t="str">
        <f t="shared" si="1409"/>
        <v/>
      </c>
      <c r="CY488" s="535" t="str">
        <f t="shared" si="1410"/>
        <v/>
      </c>
      <c r="CZ488" s="535" t="str">
        <f t="shared" si="1411"/>
        <v/>
      </c>
      <c r="DA488" s="535" t="str">
        <f t="shared" si="1412"/>
        <v/>
      </c>
      <c r="DB488" s="535" t="str">
        <f t="shared" si="1413"/>
        <v/>
      </c>
      <c r="DC488" s="534" t="str">
        <f t="shared" si="1414"/>
        <v/>
      </c>
      <c r="DD488" s="533" t="str">
        <f t="shared" si="1415"/>
        <v/>
      </c>
      <c r="DE488" s="635">
        <f t="shared" si="1416"/>
        <v>0</v>
      </c>
      <c r="DF488" s="95">
        <f t="shared" si="1417"/>
        <v>0</v>
      </c>
      <c r="DG488" s="95">
        <f t="shared" si="1418"/>
        <v>0</v>
      </c>
      <c r="DH488" s="95">
        <f t="shared" si="1419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421">IF(B487="","",B486*B487*B488)</f>
        <v/>
      </c>
      <c r="C489" s="612" t="str">
        <f t="shared" si="1421"/>
        <v/>
      </c>
      <c r="D489" s="612" t="str">
        <f t="shared" si="1421"/>
        <v/>
      </c>
      <c r="E489" s="612" t="str">
        <f t="shared" si="1421"/>
        <v/>
      </c>
      <c r="F489" s="612" t="str">
        <f t="shared" si="1421"/>
        <v/>
      </c>
      <c r="G489" s="612" t="str">
        <f t="shared" si="1421"/>
        <v/>
      </c>
      <c r="H489" s="612" t="str">
        <f t="shared" si="1421"/>
        <v/>
      </c>
      <c r="I489" s="612" t="str">
        <f t="shared" si="1421"/>
        <v/>
      </c>
      <c r="J489" s="612" t="str">
        <f t="shared" si="1421"/>
        <v/>
      </c>
      <c r="K489" s="612" t="str">
        <f t="shared" si="1421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422">IF(T487="","",T486*T487*T488)</f>
        <v/>
      </c>
      <c r="U489" s="612" t="str">
        <f t="shared" si="1422"/>
        <v/>
      </c>
      <c r="V489" s="612" t="str">
        <f t="shared" si="1422"/>
        <v/>
      </c>
      <c r="W489" s="612" t="str">
        <f t="shared" si="1422"/>
        <v/>
      </c>
      <c r="X489" s="612" t="str">
        <f t="shared" si="1422"/>
        <v/>
      </c>
      <c r="Y489" s="612" t="str">
        <f t="shared" si="1422"/>
        <v/>
      </c>
      <c r="Z489" s="612" t="str">
        <f t="shared" si="1422"/>
        <v/>
      </c>
      <c r="AA489" s="612" t="str">
        <f t="shared" si="1422"/>
        <v/>
      </c>
      <c r="AB489" s="612" t="str">
        <f t="shared" si="1422"/>
        <v/>
      </c>
      <c r="AC489" s="612" t="str">
        <f t="shared" si="1422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423">IF(AL487="","",AL486*AL487*AL488)</f>
        <v/>
      </c>
      <c r="AM489" s="612" t="str">
        <f t="shared" si="1423"/>
        <v/>
      </c>
      <c r="AN489" s="612" t="str">
        <f t="shared" si="1423"/>
        <v/>
      </c>
      <c r="AO489" s="612" t="str">
        <f t="shared" si="1423"/>
        <v/>
      </c>
      <c r="AP489" s="612" t="str">
        <f t="shared" si="1423"/>
        <v/>
      </c>
      <c r="AQ489" s="612" t="str">
        <f t="shared" si="1423"/>
        <v/>
      </c>
      <c r="AR489" s="612" t="str">
        <f t="shared" si="1423"/>
        <v/>
      </c>
      <c r="AS489" s="612" t="str">
        <f t="shared" si="1423"/>
        <v/>
      </c>
      <c r="AT489" s="612" t="str">
        <f t="shared" si="1423"/>
        <v/>
      </c>
      <c r="AU489" s="612" t="str">
        <f t="shared" si="1423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424">IF(BD487="","",BD486*BD487*BD488)</f>
        <v/>
      </c>
      <c r="BE489" s="1201" t="str">
        <f t="shared" si="1424"/>
        <v/>
      </c>
      <c r="BF489" s="1201" t="str">
        <f t="shared" si="1424"/>
        <v/>
      </c>
      <c r="BG489" s="1201" t="str">
        <f t="shared" si="1424"/>
        <v/>
      </c>
      <c r="BH489" s="1201" t="str">
        <f t="shared" si="1424"/>
        <v/>
      </c>
      <c r="BI489" s="1201" t="str">
        <f t="shared" si="1424"/>
        <v/>
      </c>
      <c r="BJ489" s="1201" t="str">
        <f t="shared" si="1424"/>
        <v/>
      </c>
      <c r="BK489" s="1201" t="str">
        <f t="shared" si="1424"/>
        <v/>
      </c>
      <c r="BL489" s="1201" t="str">
        <f t="shared" si="1424"/>
        <v/>
      </c>
      <c r="BM489" s="1201" t="str">
        <f t="shared" si="1424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343"/>
        <v/>
      </c>
      <c r="CA489" s="582" t="str">
        <f t="shared" si="1344"/>
        <v/>
      </c>
      <c r="CB489" s="582" t="str">
        <f t="shared" si="1345"/>
        <v/>
      </c>
      <c r="CC489" s="670" t="str">
        <f t="shared" si="1346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420"/>
        <v/>
      </c>
      <c r="CF489" s="989" t="str">
        <f t="shared" si="1420"/>
        <v/>
      </c>
      <c r="CG489" s="989" t="str">
        <f t="shared" si="1420"/>
        <v/>
      </c>
      <c r="CH489" s="990" t="str">
        <f t="shared" si="1420"/>
        <v/>
      </c>
      <c r="CI489" s="990" t="str">
        <f t="shared" si="1420"/>
        <v/>
      </c>
      <c r="CJ489" s="989" t="str">
        <f t="shared" si="1420"/>
        <v/>
      </c>
      <c r="CK489" s="989" t="str">
        <f t="shared" si="1420"/>
        <v/>
      </c>
      <c r="CL489" s="989" t="str">
        <f t="shared" si="1420"/>
        <v/>
      </c>
      <c r="CM489" s="988" t="str">
        <f t="shared" si="1420"/>
        <v/>
      </c>
      <c r="CN489" s="533" t="str">
        <f t="shared" si="1399"/>
        <v/>
      </c>
      <c r="CO489" s="534" t="str">
        <f t="shared" si="1400"/>
        <v/>
      </c>
      <c r="CP489" s="535" t="str">
        <f t="shared" si="1401"/>
        <v/>
      </c>
      <c r="CQ489" s="535" t="str">
        <f t="shared" si="1402"/>
        <v/>
      </c>
      <c r="CR489" s="535" t="str">
        <f t="shared" si="1403"/>
        <v/>
      </c>
      <c r="CS489" s="535" t="str">
        <f t="shared" si="1404"/>
        <v/>
      </c>
      <c r="CT489" s="535" t="str">
        <f t="shared" si="1405"/>
        <v/>
      </c>
      <c r="CU489" s="536" t="str">
        <f t="shared" si="1406"/>
        <v/>
      </c>
      <c r="CV489" s="536" t="str">
        <f t="shared" si="1407"/>
        <v/>
      </c>
      <c r="CW489" s="536" t="str">
        <f t="shared" si="1408"/>
        <v/>
      </c>
      <c r="CX489" s="535" t="str">
        <f t="shared" si="1409"/>
        <v/>
      </c>
      <c r="CY489" s="535" t="str">
        <f t="shared" si="1410"/>
        <v/>
      </c>
      <c r="CZ489" s="535" t="str">
        <f t="shared" si="1411"/>
        <v/>
      </c>
      <c r="DA489" s="535" t="str">
        <f t="shared" si="1412"/>
        <v/>
      </c>
      <c r="DB489" s="535" t="str">
        <f t="shared" si="1413"/>
        <v/>
      </c>
      <c r="DC489" s="534" t="str">
        <f t="shared" si="1414"/>
        <v/>
      </c>
      <c r="DD489" s="533" t="str">
        <f t="shared" si="1415"/>
        <v/>
      </c>
      <c r="DE489" s="635">
        <f t="shared" si="1416"/>
        <v>0</v>
      </c>
      <c r="DF489" s="95">
        <f t="shared" si="1417"/>
        <v>0</v>
      </c>
      <c r="DG489" s="95">
        <f t="shared" si="1418"/>
        <v>0</v>
      </c>
      <c r="DH489" s="95">
        <f t="shared" si="1419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425">2430*$K$1</f>
        <v>10173.923999999999</v>
      </c>
      <c r="D490" s="740">
        <f t="shared" si="1425"/>
        <v>10173.923999999999</v>
      </c>
      <c r="E490" s="740">
        <f t="shared" si="1425"/>
        <v>10173.923999999999</v>
      </c>
      <c r="F490" s="740">
        <f t="shared" si="1425"/>
        <v>10173.923999999999</v>
      </c>
      <c r="G490" s="740">
        <f t="shared" si="1425"/>
        <v>10173.923999999999</v>
      </c>
      <c r="H490" s="740">
        <f t="shared" si="1425"/>
        <v>10173.923999999999</v>
      </c>
      <c r="I490" s="740">
        <f t="shared" si="1425"/>
        <v>10173.923999999999</v>
      </c>
      <c r="J490" s="740">
        <f t="shared" si="1425"/>
        <v>10173.923999999999</v>
      </c>
      <c r="K490" s="740">
        <f t="shared" si="1425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426">2430*$K$1</f>
        <v>10173.923999999999</v>
      </c>
      <c r="V490" s="740">
        <f t="shared" si="1426"/>
        <v>10173.923999999999</v>
      </c>
      <c r="W490" s="740">
        <f t="shared" si="1426"/>
        <v>10173.923999999999</v>
      </c>
      <c r="X490" s="740">
        <f t="shared" si="1426"/>
        <v>10173.923999999999</v>
      </c>
      <c r="Y490" s="740">
        <f t="shared" si="1426"/>
        <v>10173.923999999999</v>
      </c>
      <c r="Z490" s="740">
        <f t="shared" si="1426"/>
        <v>10173.923999999999</v>
      </c>
      <c r="AA490" s="740">
        <f t="shared" si="1426"/>
        <v>10173.923999999999</v>
      </c>
      <c r="AB490" s="740">
        <f t="shared" si="1426"/>
        <v>10173.923999999999</v>
      </c>
      <c r="AC490" s="740">
        <f t="shared" si="1426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427">2430*$K$1</f>
        <v>10173.923999999999</v>
      </c>
      <c r="AN490" s="740">
        <f t="shared" si="1427"/>
        <v>10173.923999999999</v>
      </c>
      <c r="AO490" s="740">
        <f t="shared" si="1427"/>
        <v>10173.923999999999</v>
      </c>
      <c r="AP490" s="740">
        <f t="shared" si="1427"/>
        <v>10173.923999999999</v>
      </c>
      <c r="AQ490" s="740">
        <f t="shared" si="1427"/>
        <v>10173.923999999999</v>
      </c>
      <c r="AR490" s="740">
        <f t="shared" si="1427"/>
        <v>10173.923999999999</v>
      </c>
      <c r="AS490" s="740">
        <f t="shared" si="1427"/>
        <v>10173.923999999999</v>
      </c>
      <c r="AT490" s="740">
        <f t="shared" si="1427"/>
        <v>10173.923999999999</v>
      </c>
      <c r="AU490" s="740">
        <f t="shared" si="1427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428">2430*$K$1</f>
        <v>10173.923999999999</v>
      </c>
      <c r="BF490" s="1236">
        <f t="shared" si="1428"/>
        <v>10173.923999999999</v>
      </c>
      <c r="BG490" s="1236">
        <f t="shared" si="1428"/>
        <v>10173.923999999999</v>
      </c>
      <c r="BH490" s="1236">
        <f t="shared" si="1428"/>
        <v>10173.923999999999</v>
      </c>
      <c r="BI490" s="1236">
        <f t="shared" si="1428"/>
        <v>10173.923999999999</v>
      </c>
      <c r="BJ490" s="1236">
        <f t="shared" si="1428"/>
        <v>10173.923999999999</v>
      </c>
      <c r="BK490" s="1236">
        <f t="shared" si="1428"/>
        <v>10173.923999999999</v>
      </c>
      <c r="BL490" s="1236">
        <f t="shared" si="1428"/>
        <v>10173.923999999999</v>
      </c>
      <c r="BM490" s="1236">
        <f t="shared" si="1428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>2430*$K$1</f>
        <v>10173.923999999999</v>
      </c>
      <c r="BW490" s="740">
        <f>2430*$K$1</f>
        <v>10173.923999999999</v>
      </c>
      <c r="BX490" s="740">
        <f>2430*$K$1</f>
        <v>10173.923999999999</v>
      </c>
      <c r="BY490" s="740">
        <f>2430*$K$1</f>
        <v>10173.923999999999</v>
      </c>
      <c r="BZ490" s="582">
        <f t="shared" si="1343"/>
        <v>10173.923999999999</v>
      </c>
      <c r="CA490" s="582">
        <f t="shared" si="1344"/>
        <v>10173.923999999999</v>
      </c>
      <c r="CB490" s="582">
        <f t="shared" si="1345"/>
        <v>10173.923999999999</v>
      </c>
      <c r="CC490" s="670">
        <f t="shared" si="1346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420"/>
        <v>10173.923999999999</v>
      </c>
      <c r="CF490" s="989">
        <f t="shared" si="1420"/>
        <v>10173.923999999999</v>
      </c>
      <c r="CG490" s="989">
        <f t="shared" si="1420"/>
        <v>10173.923999999999</v>
      </c>
      <c r="CH490" s="990">
        <f t="shared" si="1420"/>
        <v>10173.923999999999</v>
      </c>
      <c r="CI490" s="990">
        <f t="shared" si="1420"/>
        <v>10173.923999999999</v>
      </c>
      <c r="CJ490" s="989">
        <f t="shared" si="1420"/>
        <v>10173.923999999999</v>
      </c>
      <c r="CK490" s="989">
        <f t="shared" si="1420"/>
        <v>10173.923999999999</v>
      </c>
      <c r="CL490" s="989">
        <f t="shared" si="1420"/>
        <v>10173.923999999999</v>
      </c>
      <c r="CM490" s="988">
        <f t="shared" si="1420"/>
        <v>10173.923999999999</v>
      </c>
      <c r="CN490" s="533" t="str">
        <f t="shared" si="1399"/>
        <v/>
      </c>
      <c r="CO490" s="534" t="str">
        <f t="shared" si="1400"/>
        <v/>
      </c>
      <c r="CP490" s="535" t="str">
        <f t="shared" si="1401"/>
        <v/>
      </c>
      <c r="CQ490" s="535" t="str">
        <f t="shared" si="1402"/>
        <v/>
      </c>
      <c r="CR490" s="535">
        <f t="shared" si="1403"/>
        <v>10173.923999999999</v>
      </c>
      <c r="CS490" s="535">
        <f t="shared" si="1404"/>
        <v>10173.923999999999</v>
      </c>
      <c r="CT490" s="535">
        <f t="shared" si="1405"/>
        <v>10173.923999999999</v>
      </c>
      <c r="CU490" s="536">
        <f t="shared" si="1406"/>
        <v>10173.923999999999</v>
      </c>
      <c r="CV490" s="536">
        <f t="shared" si="1407"/>
        <v>10173.923999999999</v>
      </c>
      <c r="CW490" s="536">
        <f t="shared" si="1408"/>
        <v>10173.923999999999</v>
      </c>
      <c r="CX490" s="535">
        <f t="shared" si="1409"/>
        <v>10173.923999999999</v>
      </c>
      <c r="CY490" s="535">
        <f t="shared" si="1410"/>
        <v>10173.923999999999</v>
      </c>
      <c r="CZ490" s="535">
        <f t="shared" si="1411"/>
        <v>10173.923999999999</v>
      </c>
      <c r="DA490" s="535">
        <f t="shared" si="1412"/>
        <v>10173.923999999999</v>
      </c>
      <c r="DB490" s="535" t="str">
        <f t="shared" si="1413"/>
        <v/>
      </c>
      <c r="DC490" s="534" t="str">
        <f t="shared" si="1414"/>
        <v/>
      </c>
      <c r="DD490" s="533" t="str">
        <f t="shared" si="1415"/>
        <v/>
      </c>
      <c r="DE490" s="635">
        <f t="shared" si="1416"/>
        <v>10</v>
      </c>
      <c r="DF490" s="95">
        <f t="shared" si="1417"/>
        <v>10</v>
      </c>
      <c r="DG490" s="95">
        <f t="shared" si="1418"/>
        <v>10</v>
      </c>
      <c r="DH490" s="95">
        <f t="shared" si="1419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429">IF(B489="","",B489*B490/B$46/365/$G$1)</f>
        <v/>
      </c>
      <c r="C491" s="615" t="str">
        <f t="shared" si="1429"/>
        <v/>
      </c>
      <c r="D491" s="615" t="str">
        <f t="shared" si="1429"/>
        <v/>
      </c>
      <c r="E491" s="615" t="str">
        <f t="shared" si="1429"/>
        <v/>
      </c>
      <c r="F491" s="615" t="str">
        <f t="shared" si="1429"/>
        <v/>
      </c>
      <c r="G491" s="615" t="str">
        <f t="shared" si="1429"/>
        <v/>
      </c>
      <c r="H491" s="615" t="str">
        <f t="shared" si="1429"/>
        <v/>
      </c>
      <c r="I491" s="615" t="str">
        <f t="shared" si="1429"/>
        <v/>
      </c>
      <c r="J491" s="615" t="str">
        <f t="shared" si="1429"/>
        <v/>
      </c>
      <c r="K491" s="615" t="str">
        <f t="shared" si="1429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430">IF(T489="","",T489*T490/T$46/365/$G$1)</f>
        <v/>
      </c>
      <c r="U491" s="615" t="str">
        <f t="shared" si="1430"/>
        <v/>
      </c>
      <c r="V491" s="615" t="str">
        <f t="shared" si="1430"/>
        <v/>
      </c>
      <c r="W491" s="615" t="str">
        <f t="shared" si="1430"/>
        <v/>
      </c>
      <c r="X491" s="615" t="str">
        <f t="shared" si="1430"/>
        <v/>
      </c>
      <c r="Y491" s="615" t="str">
        <f t="shared" si="1430"/>
        <v/>
      </c>
      <c r="Z491" s="615" t="str">
        <f t="shared" si="1430"/>
        <v/>
      </c>
      <c r="AA491" s="615" t="str">
        <f t="shared" si="1430"/>
        <v/>
      </c>
      <c r="AB491" s="615" t="str">
        <f t="shared" si="1430"/>
        <v/>
      </c>
      <c r="AC491" s="615" t="str">
        <f t="shared" si="1430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431">IF(AL489="","",AL489*AL490/AL$46/365/$G$1)</f>
        <v/>
      </c>
      <c r="AM491" s="615" t="str">
        <f t="shared" si="1431"/>
        <v/>
      </c>
      <c r="AN491" s="615" t="str">
        <f t="shared" si="1431"/>
        <v/>
      </c>
      <c r="AO491" s="615" t="str">
        <f t="shared" si="1431"/>
        <v/>
      </c>
      <c r="AP491" s="615" t="str">
        <f t="shared" si="1431"/>
        <v/>
      </c>
      <c r="AQ491" s="615" t="str">
        <f t="shared" si="1431"/>
        <v/>
      </c>
      <c r="AR491" s="615" t="str">
        <f t="shared" si="1431"/>
        <v/>
      </c>
      <c r="AS491" s="615" t="str">
        <f t="shared" si="1431"/>
        <v/>
      </c>
      <c r="AT491" s="615" t="str">
        <f t="shared" si="1431"/>
        <v/>
      </c>
      <c r="AU491" s="615" t="str">
        <f t="shared" si="1431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432">IF(BD489="","",BD489*BD490/BD$46/365/$G$1)</f>
        <v/>
      </c>
      <c r="BE491" s="1202" t="str">
        <f t="shared" si="1432"/>
        <v/>
      </c>
      <c r="BF491" s="1202" t="str">
        <f t="shared" si="1432"/>
        <v/>
      </c>
      <c r="BG491" s="1202" t="str">
        <f t="shared" si="1432"/>
        <v/>
      </c>
      <c r="BH491" s="1202" t="str">
        <f t="shared" si="1432"/>
        <v/>
      </c>
      <c r="BI491" s="1202" t="str">
        <f t="shared" si="1432"/>
        <v/>
      </c>
      <c r="BJ491" s="1202" t="str">
        <f t="shared" si="1432"/>
        <v/>
      </c>
      <c r="BK491" s="1202" t="str">
        <f t="shared" si="1432"/>
        <v/>
      </c>
      <c r="BL491" s="1202" t="str">
        <f t="shared" si="1432"/>
        <v/>
      </c>
      <c r="BM491" s="1202" t="str">
        <f t="shared" si="1432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343"/>
        <v/>
      </c>
      <c r="CA491" s="607" t="str">
        <f t="shared" si="1344"/>
        <v/>
      </c>
      <c r="CB491" s="607" t="str">
        <f t="shared" si="1345"/>
        <v/>
      </c>
      <c r="CC491" s="607" t="str">
        <f t="shared" si="1346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420"/>
        <v/>
      </c>
      <c r="CF491" s="992" t="str">
        <f t="shared" si="1420"/>
        <v/>
      </c>
      <c r="CG491" s="992" t="str">
        <f t="shared" si="1420"/>
        <v/>
      </c>
      <c r="CH491" s="993" t="str">
        <f t="shared" si="1420"/>
        <v/>
      </c>
      <c r="CI491" s="993" t="str">
        <f t="shared" si="1420"/>
        <v/>
      </c>
      <c r="CJ491" s="992" t="str">
        <f t="shared" si="1420"/>
        <v/>
      </c>
      <c r="CK491" s="992" t="str">
        <f t="shared" si="1420"/>
        <v/>
      </c>
      <c r="CL491" s="992" t="str">
        <f t="shared" si="1420"/>
        <v/>
      </c>
      <c r="CM491" s="991" t="str">
        <f t="shared" si="1420"/>
        <v/>
      </c>
      <c r="CN491" s="521" t="str">
        <f t="shared" si="1399"/>
        <v/>
      </c>
      <c r="CO491" s="522" t="str">
        <f t="shared" si="1400"/>
        <v/>
      </c>
      <c r="CP491" s="523" t="str">
        <f t="shared" si="1401"/>
        <v/>
      </c>
      <c r="CQ491" s="523" t="str">
        <f t="shared" si="1402"/>
        <v/>
      </c>
      <c r="CR491" s="523" t="str">
        <f t="shared" si="1403"/>
        <v/>
      </c>
      <c r="CS491" s="523" t="str">
        <f t="shared" si="1404"/>
        <v/>
      </c>
      <c r="CT491" s="523" t="str">
        <f t="shared" si="1405"/>
        <v/>
      </c>
      <c r="CU491" s="524" t="str">
        <f t="shared" si="1406"/>
        <v/>
      </c>
      <c r="CV491" s="524" t="str">
        <f t="shared" si="1407"/>
        <v/>
      </c>
      <c r="CW491" s="524" t="str">
        <f t="shared" si="1408"/>
        <v/>
      </c>
      <c r="CX491" s="523" t="str">
        <f t="shared" si="1409"/>
        <v/>
      </c>
      <c r="CY491" s="523" t="str">
        <f t="shared" si="1410"/>
        <v/>
      </c>
      <c r="CZ491" s="523" t="str">
        <f t="shared" si="1411"/>
        <v/>
      </c>
      <c r="DA491" s="523" t="str">
        <f t="shared" si="1412"/>
        <v/>
      </c>
      <c r="DB491" s="523" t="str">
        <f t="shared" si="1413"/>
        <v/>
      </c>
      <c r="DC491" s="522" t="str">
        <f t="shared" si="1414"/>
        <v/>
      </c>
      <c r="DD491" s="521" t="str">
        <f t="shared" si="1415"/>
        <v/>
      </c>
      <c r="DE491" s="635">
        <f t="shared" si="1416"/>
        <v>0</v>
      </c>
      <c r="DF491" s="95">
        <f t="shared" si="1417"/>
        <v>0</v>
      </c>
      <c r="DG491" s="95">
        <f t="shared" si="1418"/>
        <v>0</v>
      </c>
      <c r="DH491" s="95">
        <f t="shared" si="1419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343"/>
        <v/>
      </c>
      <c r="CA492" s="582" t="str">
        <f t="shared" si="1344"/>
        <v/>
      </c>
      <c r="CB492" s="582" t="str">
        <f t="shared" si="1345"/>
        <v/>
      </c>
      <c r="CC492" s="670" t="str">
        <f t="shared" si="1346"/>
        <v/>
      </c>
      <c r="CD492" s="988" t="str">
        <f t="shared" ref="CD492:CM493" si="143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433"/>
        <v/>
      </c>
      <c r="CF492" s="989" t="str">
        <f t="shared" si="1433"/>
        <v/>
      </c>
      <c r="CG492" s="989" t="str">
        <f t="shared" si="1433"/>
        <v/>
      </c>
      <c r="CH492" s="990" t="str">
        <f t="shared" si="1433"/>
        <v/>
      </c>
      <c r="CI492" s="990" t="str">
        <f t="shared" si="1433"/>
        <v/>
      </c>
      <c r="CJ492" s="989" t="str">
        <f t="shared" si="1433"/>
        <v/>
      </c>
      <c r="CK492" s="989" t="str">
        <f t="shared" si="1433"/>
        <v/>
      </c>
      <c r="CL492" s="989" t="str">
        <f t="shared" si="1433"/>
        <v/>
      </c>
      <c r="CM492" s="988" t="str">
        <f t="shared" si="1433"/>
        <v/>
      </c>
      <c r="CN492" s="533" t="str">
        <f t="shared" si="1399"/>
        <v/>
      </c>
      <c r="CO492" s="534" t="str">
        <f t="shared" si="1400"/>
        <v/>
      </c>
      <c r="CP492" s="535" t="str">
        <f t="shared" si="1401"/>
        <v/>
      </c>
      <c r="CQ492" s="535" t="str">
        <f t="shared" si="1402"/>
        <v/>
      </c>
      <c r="CR492" s="535" t="str">
        <f t="shared" si="1403"/>
        <v/>
      </c>
      <c r="CS492" s="535" t="str">
        <f t="shared" si="1404"/>
        <v/>
      </c>
      <c r="CT492" s="535" t="str">
        <f t="shared" si="1405"/>
        <v/>
      </c>
      <c r="CU492" s="536" t="str">
        <f t="shared" si="1406"/>
        <v/>
      </c>
      <c r="CV492" s="536" t="str">
        <f t="shared" si="1407"/>
        <v/>
      </c>
      <c r="CW492" s="536" t="str">
        <f t="shared" si="1408"/>
        <v/>
      </c>
      <c r="CX492" s="535" t="str">
        <f t="shared" si="1409"/>
        <v/>
      </c>
      <c r="CY492" s="535" t="str">
        <f t="shared" si="1410"/>
        <v/>
      </c>
      <c r="CZ492" s="535" t="str">
        <f t="shared" si="1411"/>
        <v/>
      </c>
      <c r="DA492" s="535" t="str">
        <f t="shared" si="1412"/>
        <v/>
      </c>
      <c r="DB492" s="535" t="str">
        <f t="shared" si="1413"/>
        <v/>
      </c>
      <c r="DC492" s="534" t="str">
        <f t="shared" si="1414"/>
        <v/>
      </c>
      <c r="DD492" s="533" t="str">
        <f t="shared" si="1415"/>
        <v/>
      </c>
      <c r="DE492" s="635">
        <f t="shared" si="1416"/>
        <v>0</v>
      </c>
      <c r="DF492" s="95">
        <f t="shared" si="1417"/>
        <v>0</v>
      </c>
      <c r="DG492" s="95">
        <f t="shared" si="1418"/>
        <v>0</v>
      </c>
      <c r="DH492" s="95">
        <f t="shared" si="1419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434">IF(B492="","",B487*B492*B488)</f>
        <v/>
      </c>
      <c r="C493" s="612" t="str">
        <f t="shared" si="1434"/>
        <v/>
      </c>
      <c r="D493" s="612" t="str">
        <f t="shared" si="1434"/>
        <v/>
      </c>
      <c r="E493" s="612" t="str">
        <f t="shared" si="1434"/>
        <v/>
      </c>
      <c r="F493" s="612" t="str">
        <f t="shared" si="1434"/>
        <v/>
      </c>
      <c r="G493" s="612" t="str">
        <f t="shared" si="1434"/>
        <v/>
      </c>
      <c r="H493" s="612" t="str">
        <f t="shared" si="1434"/>
        <v/>
      </c>
      <c r="I493" s="612" t="str">
        <f t="shared" si="1434"/>
        <v/>
      </c>
      <c r="J493" s="612" t="str">
        <f t="shared" si="1434"/>
        <v/>
      </c>
      <c r="K493" s="612" t="str">
        <f t="shared" si="1434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435">IF(T492="","",T489*T492)</f>
        <v/>
      </c>
      <c r="U493" s="612" t="str">
        <f t="shared" si="1435"/>
        <v/>
      </c>
      <c r="V493" s="612" t="str">
        <f t="shared" si="1435"/>
        <v/>
      </c>
      <c r="W493" s="612" t="str">
        <f t="shared" si="1435"/>
        <v/>
      </c>
      <c r="X493" s="612" t="str">
        <f t="shared" si="1435"/>
        <v/>
      </c>
      <c r="Y493" s="612" t="str">
        <f t="shared" si="1435"/>
        <v/>
      </c>
      <c r="Z493" s="612" t="str">
        <f t="shared" si="1435"/>
        <v/>
      </c>
      <c r="AA493" s="612" t="str">
        <f t="shared" si="1435"/>
        <v/>
      </c>
      <c r="AB493" s="612" t="str">
        <f t="shared" si="1435"/>
        <v/>
      </c>
      <c r="AC493" s="612" t="str">
        <f t="shared" si="1435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436">IF(AL492="","",AL489*AL492)</f>
        <v/>
      </c>
      <c r="AM493" s="612" t="str">
        <f t="shared" si="1436"/>
        <v/>
      </c>
      <c r="AN493" s="612" t="str">
        <f t="shared" si="1436"/>
        <v/>
      </c>
      <c r="AO493" s="612" t="str">
        <f t="shared" si="1436"/>
        <v/>
      </c>
      <c r="AP493" s="612" t="str">
        <f t="shared" si="1436"/>
        <v/>
      </c>
      <c r="AQ493" s="612" t="str">
        <f t="shared" si="1436"/>
        <v/>
      </c>
      <c r="AR493" s="612" t="str">
        <f t="shared" si="1436"/>
        <v/>
      </c>
      <c r="AS493" s="612" t="str">
        <f t="shared" si="1436"/>
        <v/>
      </c>
      <c r="AT493" s="612" t="str">
        <f t="shared" si="1436"/>
        <v/>
      </c>
      <c r="AU493" s="612" t="str">
        <f t="shared" si="1436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437">IF(BD492="","",BD489*BD492)</f>
        <v/>
      </c>
      <c r="BE493" s="1201" t="str">
        <f t="shared" si="1437"/>
        <v/>
      </c>
      <c r="BF493" s="1201" t="str">
        <f t="shared" si="1437"/>
        <v/>
      </c>
      <c r="BG493" s="1201" t="str">
        <f t="shared" si="1437"/>
        <v/>
      </c>
      <c r="BH493" s="1201" t="str">
        <f t="shared" si="1437"/>
        <v/>
      </c>
      <c r="BI493" s="1201" t="str">
        <f t="shared" si="1437"/>
        <v/>
      </c>
      <c r="BJ493" s="1201" t="str">
        <f t="shared" si="1437"/>
        <v/>
      </c>
      <c r="BK493" s="1201" t="str">
        <f t="shared" si="1437"/>
        <v/>
      </c>
      <c r="BL493" s="1201" t="str">
        <f t="shared" si="1437"/>
        <v/>
      </c>
      <c r="BM493" s="1201" t="str">
        <f t="shared" si="1437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343"/>
        <v/>
      </c>
      <c r="CA493" s="582" t="str">
        <f t="shared" si="1344"/>
        <v/>
      </c>
      <c r="CB493" s="582" t="str">
        <f t="shared" si="1345"/>
        <v/>
      </c>
      <c r="CC493" s="670" t="str">
        <f t="shared" si="1346"/>
        <v/>
      </c>
      <c r="CD493" s="988" t="str">
        <f t="shared" si="1433"/>
        <v/>
      </c>
      <c r="CE493" s="989" t="str">
        <f t="shared" ref="CE493:CM493" si="143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438"/>
        <v/>
      </c>
      <c r="CG493" s="989" t="str">
        <f t="shared" si="1438"/>
        <v/>
      </c>
      <c r="CH493" s="990" t="str">
        <f t="shared" si="1438"/>
        <v/>
      </c>
      <c r="CI493" s="990" t="str">
        <f t="shared" si="1438"/>
        <v/>
      </c>
      <c r="CJ493" s="989" t="str">
        <f t="shared" si="1438"/>
        <v/>
      </c>
      <c r="CK493" s="989" t="str">
        <f t="shared" si="1438"/>
        <v/>
      </c>
      <c r="CL493" s="989" t="str">
        <f t="shared" si="1438"/>
        <v/>
      </c>
      <c r="CM493" s="988" t="str">
        <f t="shared" si="1438"/>
        <v/>
      </c>
      <c r="CN493" s="533" t="str">
        <f t="shared" si="1399"/>
        <v/>
      </c>
      <c r="CO493" s="534" t="str">
        <f t="shared" si="1400"/>
        <v/>
      </c>
      <c r="CP493" s="535" t="str">
        <f t="shared" si="1401"/>
        <v/>
      </c>
      <c r="CQ493" s="535" t="str">
        <f t="shared" si="1402"/>
        <v/>
      </c>
      <c r="CR493" s="535" t="str">
        <f t="shared" si="1403"/>
        <v/>
      </c>
      <c r="CS493" s="535" t="str">
        <f t="shared" si="1404"/>
        <v/>
      </c>
      <c r="CT493" s="535" t="str">
        <f t="shared" si="1405"/>
        <v/>
      </c>
      <c r="CU493" s="536" t="str">
        <f t="shared" si="1406"/>
        <v/>
      </c>
      <c r="CV493" s="536" t="str">
        <f t="shared" si="1407"/>
        <v/>
      </c>
      <c r="CW493" s="536" t="str">
        <f t="shared" si="1408"/>
        <v/>
      </c>
      <c r="CX493" s="535" t="str">
        <f t="shared" si="1409"/>
        <v/>
      </c>
      <c r="CY493" s="535" t="str">
        <f t="shared" si="1410"/>
        <v/>
      </c>
      <c r="CZ493" s="535" t="str">
        <f t="shared" si="1411"/>
        <v/>
      </c>
      <c r="DA493" s="535" t="str">
        <f t="shared" si="1412"/>
        <v/>
      </c>
      <c r="DB493" s="535" t="str">
        <f t="shared" si="1413"/>
        <v/>
      </c>
      <c r="DC493" s="534" t="str">
        <f t="shared" si="1414"/>
        <v/>
      </c>
      <c r="DD493" s="533" t="str">
        <f t="shared" si="1415"/>
        <v/>
      </c>
      <c r="DE493" s="635">
        <f t="shared" si="1416"/>
        <v>0</v>
      </c>
      <c r="DF493" s="95">
        <f t="shared" si="1417"/>
        <v>0</v>
      </c>
      <c r="DG493" s="95">
        <f t="shared" si="1418"/>
        <v>0</v>
      </c>
      <c r="DH493" s="95">
        <f t="shared" si="1419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1188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343"/>
        <v/>
      </c>
      <c r="CA494" s="574" t="str">
        <f t="shared" si="1344"/>
        <v/>
      </c>
      <c r="CB494" s="574" t="str">
        <f t="shared" si="1345"/>
        <v/>
      </c>
      <c r="CC494" s="669" t="str">
        <f t="shared" si="1346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343"/>
        <v/>
      </c>
      <c r="CA495" s="582" t="str">
        <f t="shared" si="1344"/>
        <v/>
      </c>
      <c r="CB495" s="582" t="str">
        <f t="shared" si="1345"/>
        <v/>
      </c>
      <c r="CC495" s="670" t="str">
        <f t="shared" si="1346"/>
        <v/>
      </c>
      <c r="CD495" s="988" t="str">
        <f t="shared" ref="CD495:CM495" si="143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439"/>
        <v/>
      </c>
      <c r="CF495" s="989" t="str">
        <f t="shared" si="1439"/>
        <v/>
      </c>
      <c r="CG495" s="989" t="str">
        <f t="shared" si="1439"/>
        <v/>
      </c>
      <c r="CH495" s="990" t="str">
        <f t="shared" si="1439"/>
        <v/>
      </c>
      <c r="CI495" s="990" t="str">
        <f t="shared" si="1439"/>
        <v/>
      </c>
      <c r="CJ495" s="989" t="str">
        <f t="shared" si="1439"/>
        <v/>
      </c>
      <c r="CK495" s="989" t="str">
        <f t="shared" si="1439"/>
        <v/>
      </c>
      <c r="CL495" s="989" t="str">
        <f t="shared" si="1439"/>
        <v/>
      </c>
      <c r="CM495" s="988" t="str">
        <f t="shared" si="1439"/>
        <v/>
      </c>
      <c r="CN495" s="533" t="str">
        <f t="shared" ref="CN495:CN558" si="1440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441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4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44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44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44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44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44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44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44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45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45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45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45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45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45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45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457">COUNT(B495:R495)</f>
        <v>0</v>
      </c>
      <c r="DF495" s="95">
        <f t="shared" ref="DF495:DF526" si="1458">COUNT(T495:AJ495)</f>
        <v>0</v>
      </c>
      <c r="DG495" s="95">
        <f t="shared" ref="DG495:DG526" si="1459">COUNT(AL495:BB495)</f>
        <v>0</v>
      </c>
      <c r="DH495" s="95">
        <f t="shared" ref="DH495:DH526" si="1460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343"/>
        <v/>
      </c>
      <c r="CA496" s="582" t="str">
        <f t="shared" si="1344"/>
        <v/>
      </c>
      <c r="CB496" s="582" t="str">
        <f t="shared" si="1345"/>
        <v/>
      </c>
      <c r="CC496" s="670" t="str">
        <f t="shared" si="1346"/>
        <v/>
      </c>
      <c r="CD496" s="988" t="str">
        <f t="shared" ref="CD496:CD526" si="146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46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462"/>
        <v/>
      </c>
      <c r="CG496" s="989" t="str">
        <f t="shared" si="1462"/>
        <v/>
      </c>
      <c r="CH496" s="990" t="str">
        <f t="shared" si="1462"/>
        <v/>
      </c>
      <c r="CI496" s="990" t="str">
        <f t="shared" si="1462"/>
        <v/>
      </c>
      <c r="CJ496" s="989" t="str">
        <f t="shared" si="1462"/>
        <v/>
      </c>
      <c r="CK496" s="989" t="str">
        <f t="shared" si="1462"/>
        <v/>
      </c>
      <c r="CL496" s="989" t="str">
        <f t="shared" si="1462"/>
        <v/>
      </c>
      <c r="CM496" s="988" t="str">
        <f t="shared" si="1462"/>
        <v/>
      </c>
      <c r="CN496" s="533" t="str">
        <f t="shared" si="1440"/>
        <v/>
      </c>
      <c r="CO496" s="534" t="str">
        <f t="shared" si="1441"/>
        <v/>
      </c>
      <c r="CP496" s="535" t="str">
        <f t="shared" si="1442"/>
        <v/>
      </c>
      <c r="CQ496" s="535" t="str">
        <f t="shared" si="1443"/>
        <v/>
      </c>
      <c r="CR496" s="535" t="str">
        <f t="shared" si="1444"/>
        <v/>
      </c>
      <c r="CS496" s="535" t="str">
        <f t="shared" si="1445"/>
        <v/>
      </c>
      <c r="CT496" s="535" t="str">
        <f t="shared" si="1446"/>
        <v/>
      </c>
      <c r="CU496" s="536" t="str">
        <f t="shared" si="1447"/>
        <v/>
      </c>
      <c r="CV496" s="536" t="str">
        <f t="shared" si="1448"/>
        <v/>
      </c>
      <c r="CW496" s="536" t="str">
        <f t="shared" si="1449"/>
        <v/>
      </c>
      <c r="CX496" s="535" t="str">
        <f t="shared" si="1450"/>
        <v/>
      </c>
      <c r="CY496" s="535" t="str">
        <f t="shared" si="1451"/>
        <v/>
      </c>
      <c r="CZ496" s="535" t="str">
        <f t="shared" si="1452"/>
        <v/>
      </c>
      <c r="DA496" s="535" t="str">
        <f t="shared" si="1453"/>
        <v/>
      </c>
      <c r="DB496" s="535" t="str">
        <f t="shared" si="1454"/>
        <v/>
      </c>
      <c r="DC496" s="534" t="str">
        <f t="shared" si="1455"/>
        <v/>
      </c>
      <c r="DD496" s="533" t="str">
        <f t="shared" si="1456"/>
        <v/>
      </c>
      <c r="DE496" s="635">
        <f t="shared" si="1457"/>
        <v>0</v>
      </c>
      <c r="DF496" s="95">
        <f t="shared" si="1458"/>
        <v>0</v>
      </c>
      <c r="DG496" s="95">
        <f t="shared" si="1459"/>
        <v>0</v>
      </c>
      <c r="DH496" s="95">
        <f t="shared" si="1460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343"/>
        <v/>
      </c>
      <c r="CA497" s="582" t="str">
        <f t="shared" si="1344"/>
        <v/>
      </c>
      <c r="CB497" s="582" t="str">
        <f t="shared" si="1345"/>
        <v/>
      </c>
      <c r="CC497" s="670" t="str">
        <f t="shared" si="1346"/>
        <v/>
      </c>
      <c r="CD497" s="988" t="str">
        <f t="shared" si="1461"/>
        <v/>
      </c>
      <c r="CE497" s="989" t="str">
        <f t="shared" si="1462"/>
        <v/>
      </c>
      <c r="CF497" s="989" t="str">
        <f t="shared" si="1462"/>
        <v/>
      </c>
      <c r="CG497" s="989" t="str">
        <f t="shared" si="1462"/>
        <v/>
      </c>
      <c r="CH497" s="990" t="str">
        <f t="shared" si="1462"/>
        <v/>
      </c>
      <c r="CI497" s="990" t="str">
        <f t="shared" si="1462"/>
        <v/>
      </c>
      <c r="CJ497" s="989" t="str">
        <f t="shared" si="1462"/>
        <v/>
      </c>
      <c r="CK497" s="989" t="str">
        <f t="shared" si="1462"/>
        <v/>
      </c>
      <c r="CL497" s="989" t="str">
        <f t="shared" si="1462"/>
        <v/>
      </c>
      <c r="CM497" s="988" t="str">
        <f t="shared" si="1462"/>
        <v/>
      </c>
      <c r="CN497" s="533" t="str">
        <f t="shared" si="1440"/>
        <v/>
      </c>
      <c r="CO497" s="534" t="str">
        <f t="shared" si="1441"/>
        <v/>
      </c>
      <c r="CP497" s="535" t="str">
        <f t="shared" si="1442"/>
        <v/>
      </c>
      <c r="CQ497" s="535" t="str">
        <f t="shared" si="1443"/>
        <v/>
      </c>
      <c r="CR497" s="535" t="str">
        <f t="shared" si="1444"/>
        <v/>
      </c>
      <c r="CS497" s="535" t="str">
        <f t="shared" si="1445"/>
        <v/>
      </c>
      <c r="CT497" s="535" t="str">
        <f t="shared" si="1446"/>
        <v/>
      </c>
      <c r="CU497" s="536" t="str">
        <f t="shared" si="1447"/>
        <v/>
      </c>
      <c r="CV497" s="536" t="str">
        <f t="shared" si="1448"/>
        <v/>
      </c>
      <c r="CW497" s="536" t="str">
        <f t="shared" si="1449"/>
        <v/>
      </c>
      <c r="CX497" s="535" t="str">
        <f t="shared" si="1450"/>
        <v/>
      </c>
      <c r="CY497" s="535" t="str">
        <f t="shared" si="1451"/>
        <v/>
      </c>
      <c r="CZ497" s="535" t="str">
        <f t="shared" si="1452"/>
        <v/>
      </c>
      <c r="DA497" s="535" t="str">
        <f t="shared" si="1453"/>
        <v/>
      </c>
      <c r="DB497" s="535" t="str">
        <f t="shared" si="1454"/>
        <v/>
      </c>
      <c r="DC497" s="534" t="str">
        <f t="shared" si="1455"/>
        <v/>
      </c>
      <c r="DD497" s="533" t="str">
        <f t="shared" si="1456"/>
        <v/>
      </c>
      <c r="DE497" s="635">
        <f t="shared" si="1457"/>
        <v>0</v>
      </c>
      <c r="DF497" s="95">
        <f t="shared" si="1458"/>
        <v>0</v>
      </c>
      <c r="DG497" s="95">
        <f t="shared" si="1459"/>
        <v>0</v>
      </c>
      <c r="DH497" s="95">
        <f t="shared" si="1460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463">IF(B496="","",B495*B496*B497)</f>
        <v/>
      </c>
      <c r="C498" s="612" t="str">
        <f t="shared" si="1463"/>
        <v/>
      </c>
      <c r="D498" s="612" t="str">
        <f t="shared" si="1463"/>
        <v/>
      </c>
      <c r="E498" s="612" t="str">
        <f t="shared" si="1463"/>
        <v/>
      </c>
      <c r="F498" s="612" t="str">
        <f t="shared" si="1463"/>
        <v/>
      </c>
      <c r="G498" s="612" t="str">
        <f t="shared" si="1463"/>
        <v/>
      </c>
      <c r="H498" s="612" t="str">
        <f t="shared" si="1463"/>
        <v/>
      </c>
      <c r="I498" s="612" t="str">
        <f t="shared" si="1463"/>
        <v/>
      </c>
      <c r="J498" s="612" t="str">
        <f t="shared" si="1463"/>
        <v/>
      </c>
      <c r="K498" s="612" t="str">
        <f t="shared" si="1463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464">IF(T496="","",T495*T496*T497)</f>
        <v/>
      </c>
      <c r="U498" s="612" t="str">
        <f t="shared" si="1464"/>
        <v/>
      </c>
      <c r="V498" s="612" t="str">
        <f t="shared" si="1464"/>
        <v/>
      </c>
      <c r="W498" s="612" t="str">
        <f t="shared" si="1464"/>
        <v/>
      </c>
      <c r="X498" s="612" t="str">
        <f t="shared" si="1464"/>
        <v/>
      </c>
      <c r="Y498" s="612" t="str">
        <f t="shared" si="1464"/>
        <v/>
      </c>
      <c r="Z498" s="612" t="str">
        <f t="shared" si="1464"/>
        <v/>
      </c>
      <c r="AA498" s="612" t="str">
        <f t="shared" si="1464"/>
        <v/>
      </c>
      <c r="AB498" s="612" t="str">
        <f t="shared" si="1464"/>
        <v/>
      </c>
      <c r="AC498" s="612" t="str">
        <f t="shared" si="1464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465">IF(AL496="","",AL495*AL496*AL497)</f>
        <v/>
      </c>
      <c r="AM498" s="612" t="str">
        <f t="shared" si="1465"/>
        <v/>
      </c>
      <c r="AN498" s="612" t="str">
        <f t="shared" si="1465"/>
        <v/>
      </c>
      <c r="AO498" s="612" t="str">
        <f t="shared" si="1465"/>
        <v/>
      </c>
      <c r="AP498" s="612" t="str">
        <f t="shared" si="1465"/>
        <v/>
      </c>
      <c r="AQ498" s="612" t="str">
        <f t="shared" si="1465"/>
        <v/>
      </c>
      <c r="AR498" s="612" t="str">
        <f t="shared" si="1465"/>
        <v/>
      </c>
      <c r="AS498" s="612" t="str">
        <f t="shared" si="1465"/>
        <v/>
      </c>
      <c r="AT498" s="612" t="str">
        <f t="shared" si="1465"/>
        <v/>
      </c>
      <c r="AU498" s="612" t="str">
        <f t="shared" si="1465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466">IF(BD496="","",BD495*BD496*BD497)</f>
        <v/>
      </c>
      <c r="BE498" s="1201" t="str">
        <f t="shared" si="1466"/>
        <v/>
      </c>
      <c r="BF498" s="1201" t="str">
        <f t="shared" si="1466"/>
        <v/>
      </c>
      <c r="BG498" s="1201" t="str">
        <f t="shared" si="1466"/>
        <v/>
      </c>
      <c r="BH498" s="1201" t="str">
        <f t="shared" si="1466"/>
        <v/>
      </c>
      <c r="BI498" s="1201" t="str">
        <f t="shared" si="1466"/>
        <v/>
      </c>
      <c r="BJ498" s="1201" t="str">
        <f t="shared" si="1466"/>
        <v/>
      </c>
      <c r="BK498" s="1201" t="str">
        <f t="shared" si="1466"/>
        <v/>
      </c>
      <c r="BL498" s="1201" t="str">
        <f t="shared" si="1466"/>
        <v/>
      </c>
      <c r="BM498" s="1201" t="str">
        <f t="shared" si="1466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>IF(BV496="","",BV495*BV496*BV497)</f>
        <v>67.199999999999989</v>
      </c>
      <c r="BW498" s="612">
        <f>IF(BW496="","",BW495*BW496*BW497)</f>
        <v>100.79999999999998</v>
      </c>
      <c r="BX498" s="612" t="str">
        <f>IF(BX496="","",BX495*BX496*BX497)</f>
        <v/>
      </c>
      <c r="BY498" s="612" t="str">
        <f>IF(BY496="","",BY495*BY496*BY497)</f>
        <v/>
      </c>
      <c r="BZ498" s="582" t="str">
        <f t="shared" si="1343"/>
        <v/>
      </c>
      <c r="CA498" s="582" t="str">
        <f t="shared" si="1344"/>
        <v/>
      </c>
      <c r="CB498" s="582" t="str">
        <f t="shared" si="1345"/>
        <v/>
      </c>
      <c r="CC498" s="670" t="str">
        <f t="shared" si="1346"/>
        <v/>
      </c>
      <c r="CD498" s="988" t="str">
        <f t="shared" si="1461"/>
        <v/>
      </c>
      <c r="CE498" s="989" t="str">
        <f t="shared" si="1462"/>
        <v/>
      </c>
      <c r="CF498" s="989" t="str">
        <f t="shared" si="1462"/>
        <v/>
      </c>
      <c r="CG498" s="989" t="str">
        <f t="shared" si="1462"/>
        <v/>
      </c>
      <c r="CH498" s="990" t="str">
        <f t="shared" si="1462"/>
        <v/>
      </c>
      <c r="CI498" s="990" t="str">
        <f t="shared" si="1462"/>
        <v/>
      </c>
      <c r="CJ498" s="989" t="str">
        <f t="shared" si="1462"/>
        <v/>
      </c>
      <c r="CK498" s="989" t="str">
        <f t="shared" si="1462"/>
        <v/>
      </c>
      <c r="CL498" s="989" t="str">
        <f t="shared" si="1462"/>
        <v/>
      </c>
      <c r="CM498" s="988" t="str">
        <f t="shared" si="1462"/>
        <v/>
      </c>
      <c r="CN498" s="533" t="str">
        <f t="shared" si="1440"/>
        <v/>
      </c>
      <c r="CO498" s="534" t="str">
        <f t="shared" si="1441"/>
        <v/>
      </c>
      <c r="CP498" s="535" t="str">
        <f t="shared" si="1442"/>
        <v/>
      </c>
      <c r="CQ498" s="535" t="str">
        <f t="shared" si="1443"/>
        <v/>
      </c>
      <c r="CR498" s="535" t="str">
        <f t="shared" si="1444"/>
        <v/>
      </c>
      <c r="CS498" s="535" t="str">
        <f t="shared" si="1445"/>
        <v/>
      </c>
      <c r="CT498" s="535" t="str">
        <f t="shared" si="1446"/>
        <v/>
      </c>
      <c r="CU498" s="536" t="str">
        <f t="shared" si="1447"/>
        <v/>
      </c>
      <c r="CV498" s="536" t="str">
        <f t="shared" si="1448"/>
        <v/>
      </c>
      <c r="CW498" s="536" t="str">
        <f t="shared" si="1449"/>
        <v/>
      </c>
      <c r="CX498" s="535" t="str">
        <f t="shared" si="1450"/>
        <v/>
      </c>
      <c r="CY498" s="535" t="str">
        <f t="shared" si="1451"/>
        <v/>
      </c>
      <c r="CZ498" s="535" t="str">
        <f t="shared" si="1452"/>
        <v/>
      </c>
      <c r="DA498" s="535" t="str">
        <f t="shared" si="1453"/>
        <v/>
      </c>
      <c r="DB498" s="535" t="str">
        <f t="shared" si="1454"/>
        <v/>
      </c>
      <c r="DC498" s="534" t="str">
        <f t="shared" si="1455"/>
        <v/>
      </c>
      <c r="DD498" s="533" t="str">
        <f t="shared" si="1456"/>
        <v/>
      </c>
      <c r="DE498" s="635">
        <f t="shared" si="1457"/>
        <v>0</v>
      </c>
      <c r="DF498" s="95">
        <f t="shared" si="1458"/>
        <v>0</v>
      </c>
      <c r="DG498" s="95">
        <f t="shared" si="1459"/>
        <v>0</v>
      </c>
      <c r="DH498" s="95">
        <f t="shared" si="1460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467">2680*$K$1</f>
        <v>11220.624</v>
      </c>
      <c r="D499" s="740">
        <f t="shared" si="1467"/>
        <v>11220.624</v>
      </c>
      <c r="E499" s="740">
        <f t="shared" si="1467"/>
        <v>11220.624</v>
      </c>
      <c r="F499" s="740">
        <f t="shared" si="1467"/>
        <v>11220.624</v>
      </c>
      <c r="G499" s="740">
        <f t="shared" si="1467"/>
        <v>11220.624</v>
      </c>
      <c r="H499" s="740">
        <f t="shared" si="1467"/>
        <v>11220.624</v>
      </c>
      <c r="I499" s="740">
        <f t="shared" si="1467"/>
        <v>11220.624</v>
      </c>
      <c r="J499" s="740">
        <f t="shared" si="1467"/>
        <v>11220.624</v>
      </c>
      <c r="K499" s="740">
        <f t="shared" si="1467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468">2680*$K$1</f>
        <v>11220.624</v>
      </c>
      <c r="V499" s="740">
        <f t="shared" si="1468"/>
        <v>11220.624</v>
      </c>
      <c r="W499" s="740">
        <f t="shared" si="1468"/>
        <v>11220.624</v>
      </c>
      <c r="X499" s="740">
        <f t="shared" si="1468"/>
        <v>11220.624</v>
      </c>
      <c r="Y499" s="740">
        <f t="shared" si="1468"/>
        <v>11220.624</v>
      </c>
      <c r="Z499" s="740">
        <f t="shared" si="1468"/>
        <v>11220.624</v>
      </c>
      <c r="AA499" s="740">
        <f t="shared" si="1468"/>
        <v>11220.624</v>
      </c>
      <c r="AB499" s="740">
        <f t="shared" si="1468"/>
        <v>11220.624</v>
      </c>
      <c r="AC499" s="740">
        <f t="shared" si="1468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469">2680*$K$1</f>
        <v>11220.624</v>
      </c>
      <c r="AN499" s="740">
        <f t="shared" si="1469"/>
        <v>11220.624</v>
      </c>
      <c r="AO499" s="740">
        <f t="shared" si="1469"/>
        <v>11220.624</v>
      </c>
      <c r="AP499" s="740">
        <f t="shared" si="1469"/>
        <v>11220.624</v>
      </c>
      <c r="AQ499" s="740">
        <f t="shared" si="1469"/>
        <v>11220.624</v>
      </c>
      <c r="AR499" s="740">
        <f t="shared" si="1469"/>
        <v>11220.624</v>
      </c>
      <c r="AS499" s="740">
        <f t="shared" si="1469"/>
        <v>11220.624</v>
      </c>
      <c r="AT499" s="740">
        <f t="shared" si="1469"/>
        <v>11220.624</v>
      </c>
      <c r="AU499" s="740">
        <f t="shared" si="1469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470">2680*$K$1</f>
        <v>11220.624</v>
      </c>
      <c r="BF499" s="1236">
        <f t="shared" si="1470"/>
        <v>11220.624</v>
      </c>
      <c r="BG499" s="1236">
        <f t="shared" si="1470"/>
        <v>11220.624</v>
      </c>
      <c r="BH499" s="1236">
        <f t="shared" si="1470"/>
        <v>11220.624</v>
      </c>
      <c r="BI499" s="1236">
        <f t="shared" si="1470"/>
        <v>11220.624</v>
      </c>
      <c r="BJ499" s="1236">
        <f t="shared" si="1470"/>
        <v>11220.624</v>
      </c>
      <c r="BK499" s="1236">
        <f t="shared" si="1470"/>
        <v>11220.624</v>
      </c>
      <c r="BL499" s="1236">
        <f t="shared" si="1470"/>
        <v>11220.624</v>
      </c>
      <c r="BM499" s="1236">
        <f t="shared" si="1470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>2680*$K$1</f>
        <v>11220.624</v>
      </c>
      <c r="BW499" s="740">
        <f>2680*$K$1</f>
        <v>11220.624</v>
      </c>
      <c r="BX499" s="740">
        <f>2680*$K$1</f>
        <v>11220.624</v>
      </c>
      <c r="BY499" s="740">
        <f>2680*$K$1</f>
        <v>11220.624</v>
      </c>
      <c r="BZ499" s="582">
        <f t="shared" si="1343"/>
        <v>11220.623999999998</v>
      </c>
      <c r="CA499" s="582">
        <f t="shared" si="1344"/>
        <v>11220.623999999998</v>
      </c>
      <c r="CB499" s="582">
        <f t="shared" si="1345"/>
        <v>11220.623999999998</v>
      </c>
      <c r="CC499" s="670">
        <f t="shared" si="1346"/>
        <v>11220.623999999998</v>
      </c>
      <c r="CD499" s="988">
        <f t="shared" si="1461"/>
        <v>11220.624</v>
      </c>
      <c r="CE499" s="989">
        <f t="shared" si="1462"/>
        <v>11220.624</v>
      </c>
      <c r="CF499" s="989">
        <f t="shared" si="1462"/>
        <v>11220.624</v>
      </c>
      <c r="CG499" s="989">
        <f t="shared" si="1462"/>
        <v>11220.624</v>
      </c>
      <c r="CH499" s="990">
        <f t="shared" si="1462"/>
        <v>11220.624</v>
      </c>
      <c r="CI499" s="990">
        <f t="shared" si="1462"/>
        <v>11220.624</v>
      </c>
      <c r="CJ499" s="989">
        <f t="shared" si="1462"/>
        <v>11220.624</v>
      </c>
      <c r="CK499" s="989">
        <f t="shared" si="1462"/>
        <v>11220.624</v>
      </c>
      <c r="CL499" s="989">
        <f t="shared" si="1462"/>
        <v>11220.624</v>
      </c>
      <c r="CM499" s="988">
        <f t="shared" si="1462"/>
        <v>11220.624</v>
      </c>
      <c r="CN499" s="533" t="str">
        <f t="shared" si="1440"/>
        <v/>
      </c>
      <c r="CO499" s="534" t="str">
        <f t="shared" si="1441"/>
        <v/>
      </c>
      <c r="CP499" s="535" t="str">
        <f t="shared" si="1442"/>
        <v/>
      </c>
      <c r="CQ499" s="535" t="str">
        <f t="shared" si="1443"/>
        <v/>
      </c>
      <c r="CR499" s="535">
        <f t="shared" si="1444"/>
        <v>11220.624</v>
      </c>
      <c r="CS499" s="535">
        <f t="shared" si="1445"/>
        <v>11220.624</v>
      </c>
      <c r="CT499" s="535">
        <f t="shared" si="1446"/>
        <v>11220.624</v>
      </c>
      <c r="CU499" s="536">
        <f t="shared" si="1447"/>
        <v>11220.624</v>
      </c>
      <c r="CV499" s="536">
        <f t="shared" si="1448"/>
        <v>11220.624</v>
      </c>
      <c r="CW499" s="536">
        <f t="shared" si="1449"/>
        <v>11220.624</v>
      </c>
      <c r="CX499" s="535">
        <f t="shared" si="1450"/>
        <v>11220.624</v>
      </c>
      <c r="CY499" s="535">
        <f t="shared" si="1451"/>
        <v>11220.624</v>
      </c>
      <c r="CZ499" s="535">
        <f t="shared" si="1452"/>
        <v>11220.624</v>
      </c>
      <c r="DA499" s="535">
        <f t="shared" si="1453"/>
        <v>11220.624</v>
      </c>
      <c r="DB499" s="535" t="str">
        <f t="shared" si="1454"/>
        <v/>
      </c>
      <c r="DC499" s="534" t="str">
        <f t="shared" si="1455"/>
        <v/>
      </c>
      <c r="DD499" s="533" t="str">
        <f t="shared" si="1456"/>
        <v/>
      </c>
      <c r="DE499" s="635">
        <f t="shared" si="1457"/>
        <v>10</v>
      </c>
      <c r="DF499" s="95">
        <f t="shared" si="1458"/>
        <v>10</v>
      </c>
      <c r="DG499" s="95">
        <f t="shared" si="1459"/>
        <v>10</v>
      </c>
      <c r="DH499" s="95">
        <f t="shared" si="1460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471">IF(B498="","",B498*B499/B$46/365/$G$1)</f>
        <v/>
      </c>
      <c r="C500" s="615" t="str">
        <f t="shared" si="1471"/>
        <v/>
      </c>
      <c r="D500" s="615" t="str">
        <f t="shared" si="1471"/>
        <v/>
      </c>
      <c r="E500" s="615" t="str">
        <f t="shared" si="1471"/>
        <v/>
      </c>
      <c r="F500" s="615" t="str">
        <f t="shared" si="1471"/>
        <v/>
      </c>
      <c r="G500" s="615" t="str">
        <f t="shared" si="1471"/>
        <v/>
      </c>
      <c r="H500" s="615" t="str">
        <f t="shared" si="1471"/>
        <v/>
      </c>
      <c r="I500" s="615" t="str">
        <f t="shared" si="1471"/>
        <v/>
      </c>
      <c r="J500" s="615" t="str">
        <f t="shared" si="1471"/>
        <v/>
      </c>
      <c r="K500" s="615" t="str">
        <f t="shared" si="147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472">IF(T498="","",T498*T499/T$46/365/$G$1)</f>
        <v/>
      </c>
      <c r="U500" s="615" t="str">
        <f t="shared" si="1472"/>
        <v/>
      </c>
      <c r="V500" s="615" t="str">
        <f t="shared" si="1472"/>
        <v/>
      </c>
      <c r="W500" s="615" t="str">
        <f t="shared" si="1472"/>
        <v/>
      </c>
      <c r="X500" s="615" t="str">
        <f t="shared" si="1472"/>
        <v/>
      </c>
      <c r="Y500" s="615" t="str">
        <f t="shared" si="1472"/>
        <v/>
      </c>
      <c r="Z500" s="615" t="str">
        <f t="shared" si="1472"/>
        <v/>
      </c>
      <c r="AA500" s="615" t="str">
        <f t="shared" si="1472"/>
        <v/>
      </c>
      <c r="AB500" s="615" t="str">
        <f t="shared" si="1472"/>
        <v/>
      </c>
      <c r="AC500" s="615" t="str">
        <f t="shared" si="147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473">IF(AL498="","",AL498*AL499/AL$46/365/$G$1)</f>
        <v/>
      </c>
      <c r="AM500" s="615" t="str">
        <f t="shared" si="1473"/>
        <v/>
      </c>
      <c r="AN500" s="615" t="str">
        <f t="shared" si="1473"/>
        <v/>
      </c>
      <c r="AO500" s="615" t="str">
        <f t="shared" si="1473"/>
        <v/>
      </c>
      <c r="AP500" s="615" t="str">
        <f t="shared" si="1473"/>
        <v/>
      </c>
      <c r="AQ500" s="615" t="str">
        <f t="shared" si="1473"/>
        <v/>
      </c>
      <c r="AR500" s="615" t="str">
        <f t="shared" si="1473"/>
        <v/>
      </c>
      <c r="AS500" s="615" t="str">
        <f t="shared" si="1473"/>
        <v/>
      </c>
      <c r="AT500" s="615" t="str">
        <f t="shared" si="1473"/>
        <v/>
      </c>
      <c r="AU500" s="615" t="str">
        <f t="shared" si="147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474">IF(BD498="","",BD498*BD499/BD$46/365/$G$1)</f>
        <v/>
      </c>
      <c r="BE500" s="1202" t="str">
        <f t="shared" si="1474"/>
        <v/>
      </c>
      <c r="BF500" s="1202" t="str">
        <f t="shared" si="1474"/>
        <v/>
      </c>
      <c r="BG500" s="1202" t="str">
        <f t="shared" si="1474"/>
        <v/>
      </c>
      <c r="BH500" s="1202" t="str">
        <f t="shared" si="1474"/>
        <v/>
      </c>
      <c r="BI500" s="1202" t="str">
        <f t="shared" si="1474"/>
        <v/>
      </c>
      <c r="BJ500" s="1202" t="str">
        <f t="shared" si="1474"/>
        <v/>
      </c>
      <c r="BK500" s="1202" t="str">
        <f t="shared" si="1474"/>
        <v/>
      </c>
      <c r="BL500" s="1202" t="str">
        <f t="shared" si="1474"/>
        <v/>
      </c>
      <c r="BM500" s="1202" t="str">
        <f t="shared" si="147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343"/>
        <v/>
      </c>
      <c r="CA500" s="607" t="str">
        <f t="shared" si="1344"/>
        <v/>
      </c>
      <c r="CB500" s="607" t="str">
        <f t="shared" si="1345"/>
        <v/>
      </c>
      <c r="CC500" s="607" t="str">
        <f t="shared" si="1346"/>
        <v/>
      </c>
      <c r="CD500" s="991" t="str">
        <f t="shared" si="1461"/>
        <v/>
      </c>
      <c r="CE500" s="992" t="str">
        <f t="shared" si="1462"/>
        <v/>
      </c>
      <c r="CF500" s="992" t="str">
        <f t="shared" si="1462"/>
        <v/>
      </c>
      <c r="CG500" s="992" t="str">
        <f t="shared" si="1462"/>
        <v/>
      </c>
      <c r="CH500" s="993" t="str">
        <f t="shared" si="1462"/>
        <v/>
      </c>
      <c r="CI500" s="993" t="str">
        <f t="shared" si="1462"/>
        <v/>
      </c>
      <c r="CJ500" s="992" t="str">
        <f t="shared" si="1462"/>
        <v/>
      </c>
      <c r="CK500" s="992" t="str">
        <f t="shared" si="1462"/>
        <v/>
      </c>
      <c r="CL500" s="992" t="str">
        <f t="shared" si="1462"/>
        <v/>
      </c>
      <c r="CM500" s="991" t="str">
        <f t="shared" si="1462"/>
        <v/>
      </c>
      <c r="CN500" s="521" t="str">
        <f t="shared" si="1440"/>
        <v/>
      </c>
      <c r="CO500" s="522" t="str">
        <f t="shared" si="1441"/>
        <v/>
      </c>
      <c r="CP500" s="523" t="str">
        <f t="shared" si="1442"/>
        <v/>
      </c>
      <c r="CQ500" s="523" t="str">
        <f t="shared" si="1443"/>
        <v/>
      </c>
      <c r="CR500" s="523" t="str">
        <f t="shared" si="1444"/>
        <v/>
      </c>
      <c r="CS500" s="523" t="str">
        <f t="shared" si="1445"/>
        <v/>
      </c>
      <c r="CT500" s="523" t="str">
        <f t="shared" si="1446"/>
        <v/>
      </c>
      <c r="CU500" s="524" t="str">
        <f t="shared" si="1447"/>
        <v/>
      </c>
      <c r="CV500" s="524" t="str">
        <f t="shared" si="1448"/>
        <v/>
      </c>
      <c r="CW500" s="524" t="str">
        <f t="shared" si="1449"/>
        <v/>
      </c>
      <c r="CX500" s="523" t="str">
        <f t="shared" si="1450"/>
        <v/>
      </c>
      <c r="CY500" s="523" t="str">
        <f t="shared" si="1451"/>
        <v/>
      </c>
      <c r="CZ500" s="523" t="str">
        <f t="shared" si="1452"/>
        <v/>
      </c>
      <c r="DA500" s="523" t="str">
        <f t="shared" si="1453"/>
        <v/>
      </c>
      <c r="DB500" s="523" t="str">
        <f t="shared" si="1454"/>
        <v/>
      </c>
      <c r="DC500" s="522" t="str">
        <f t="shared" si="1455"/>
        <v/>
      </c>
      <c r="DD500" s="521" t="str">
        <f t="shared" si="1456"/>
        <v/>
      </c>
      <c r="DE500" s="635">
        <f t="shared" si="1457"/>
        <v>0</v>
      </c>
      <c r="DF500" s="95">
        <f t="shared" si="1458"/>
        <v>0</v>
      </c>
      <c r="DG500" s="95">
        <f t="shared" si="1459"/>
        <v>0</v>
      </c>
      <c r="DH500" s="95">
        <f t="shared" si="1460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343"/>
        <v/>
      </c>
      <c r="CA501" s="582" t="str">
        <f t="shared" si="1344"/>
        <v/>
      </c>
      <c r="CB501" s="582" t="str">
        <f t="shared" si="1345"/>
        <v/>
      </c>
      <c r="CC501" s="670" t="str">
        <f t="shared" si="1346"/>
        <v/>
      </c>
      <c r="CD501" s="988" t="str">
        <f t="shared" si="1461"/>
        <v/>
      </c>
      <c r="CE501" s="989" t="str">
        <f t="shared" ref="CE501:CM501" si="147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475"/>
        <v/>
      </c>
      <c r="CG501" s="989" t="str">
        <f t="shared" si="1475"/>
        <v/>
      </c>
      <c r="CH501" s="990" t="str">
        <f t="shared" si="1475"/>
        <v/>
      </c>
      <c r="CI501" s="990" t="str">
        <f t="shared" si="1475"/>
        <v/>
      </c>
      <c r="CJ501" s="989" t="str">
        <f t="shared" si="1475"/>
        <v/>
      </c>
      <c r="CK501" s="989" t="str">
        <f t="shared" si="1475"/>
        <v/>
      </c>
      <c r="CL501" s="989" t="str">
        <f t="shared" si="1475"/>
        <v/>
      </c>
      <c r="CM501" s="988" t="str">
        <f t="shared" si="1475"/>
        <v/>
      </c>
      <c r="CN501" s="533" t="str">
        <f t="shared" si="1440"/>
        <v/>
      </c>
      <c r="CO501" s="534" t="str">
        <f t="shared" si="1441"/>
        <v/>
      </c>
      <c r="CP501" s="535" t="str">
        <f t="shared" si="1442"/>
        <v/>
      </c>
      <c r="CQ501" s="535" t="str">
        <f t="shared" si="1443"/>
        <v/>
      </c>
      <c r="CR501" s="535" t="str">
        <f t="shared" si="1444"/>
        <v/>
      </c>
      <c r="CS501" s="535" t="str">
        <f t="shared" si="1445"/>
        <v/>
      </c>
      <c r="CT501" s="535" t="str">
        <f t="shared" si="1446"/>
        <v/>
      </c>
      <c r="CU501" s="536" t="str">
        <f t="shared" si="1447"/>
        <v/>
      </c>
      <c r="CV501" s="536" t="str">
        <f t="shared" si="1448"/>
        <v/>
      </c>
      <c r="CW501" s="536" t="str">
        <f t="shared" si="1449"/>
        <v/>
      </c>
      <c r="CX501" s="535" t="str">
        <f t="shared" si="1450"/>
        <v/>
      </c>
      <c r="CY501" s="535" t="str">
        <f t="shared" si="1451"/>
        <v/>
      </c>
      <c r="CZ501" s="535" t="str">
        <f t="shared" si="1452"/>
        <v/>
      </c>
      <c r="DA501" s="535" t="str">
        <f t="shared" si="1453"/>
        <v/>
      </c>
      <c r="DB501" s="535" t="str">
        <f t="shared" si="1454"/>
        <v/>
      </c>
      <c r="DC501" s="534" t="str">
        <f t="shared" si="1455"/>
        <v/>
      </c>
      <c r="DD501" s="533" t="str">
        <f t="shared" si="1456"/>
        <v/>
      </c>
      <c r="DE501" s="635">
        <f t="shared" si="1457"/>
        <v>0</v>
      </c>
      <c r="DF501" s="95">
        <f t="shared" si="1458"/>
        <v>0</v>
      </c>
      <c r="DG501" s="95">
        <f t="shared" si="1459"/>
        <v>0</v>
      </c>
      <c r="DH501" s="95">
        <f t="shared" si="1460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476">IF(B501="","",B496*B501*B497)</f>
        <v/>
      </c>
      <c r="C502" s="612" t="str">
        <f t="shared" si="1476"/>
        <v/>
      </c>
      <c r="D502" s="612" t="str">
        <f t="shared" si="1476"/>
        <v/>
      </c>
      <c r="E502" s="612" t="str">
        <f t="shared" si="1476"/>
        <v/>
      </c>
      <c r="F502" s="612" t="str">
        <f t="shared" si="1476"/>
        <v/>
      </c>
      <c r="G502" s="612" t="str">
        <f t="shared" si="1476"/>
        <v/>
      </c>
      <c r="H502" s="612" t="str">
        <f t="shared" si="1476"/>
        <v/>
      </c>
      <c r="I502" s="612" t="str">
        <f t="shared" si="1476"/>
        <v/>
      </c>
      <c r="J502" s="612" t="str">
        <f t="shared" si="1476"/>
        <v/>
      </c>
      <c r="K502" s="612" t="str">
        <f t="shared" si="147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477">IF(T501="","",T496*T501*T497)</f>
        <v/>
      </c>
      <c r="U502" s="612" t="str">
        <f t="shared" si="1477"/>
        <v/>
      </c>
      <c r="V502" s="612" t="str">
        <f t="shared" si="1477"/>
        <v/>
      </c>
      <c r="W502" s="612" t="str">
        <f t="shared" si="1477"/>
        <v/>
      </c>
      <c r="X502" s="612" t="str">
        <f t="shared" si="1477"/>
        <v/>
      </c>
      <c r="Y502" s="612" t="str">
        <f t="shared" si="1477"/>
        <v/>
      </c>
      <c r="Z502" s="612" t="str">
        <f t="shared" si="1477"/>
        <v/>
      </c>
      <c r="AA502" s="612" t="str">
        <f t="shared" si="1477"/>
        <v/>
      </c>
      <c r="AB502" s="612" t="str">
        <f t="shared" si="1477"/>
        <v/>
      </c>
      <c r="AC502" s="612" t="str">
        <f t="shared" si="147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478">IF(AL501="","",AL496*AL501*AL497)</f>
        <v/>
      </c>
      <c r="AM502" s="612" t="str">
        <f t="shared" si="1478"/>
        <v/>
      </c>
      <c r="AN502" s="612" t="str">
        <f t="shared" si="1478"/>
        <v/>
      </c>
      <c r="AO502" s="612" t="str">
        <f t="shared" si="1478"/>
        <v/>
      </c>
      <c r="AP502" s="612" t="str">
        <f t="shared" si="1478"/>
        <v/>
      </c>
      <c r="AQ502" s="612" t="str">
        <f t="shared" si="1478"/>
        <v/>
      </c>
      <c r="AR502" s="612" t="str">
        <f t="shared" si="1478"/>
        <v/>
      </c>
      <c r="AS502" s="612" t="str">
        <f t="shared" si="1478"/>
        <v/>
      </c>
      <c r="AT502" s="612" t="str">
        <f t="shared" si="1478"/>
        <v/>
      </c>
      <c r="AU502" s="612" t="str">
        <f t="shared" si="147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479">IF(BD501="","",BD496*BD501*BD497)</f>
        <v/>
      </c>
      <c r="BE502" s="1201" t="str">
        <f t="shared" si="1479"/>
        <v/>
      </c>
      <c r="BF502" s="1201" t="str">
        <f t="shared" si="1479"/>
        <v/>
      </c>
      <c r="BG502" s="1201" t="str">
        <f t="shared" si="1479"/>
        <v/>
      </c>
      <c r="BH502" s="1201" t="str">
        <f t="shared" si="1479"/>
        <v/>
      </c>
      <c r="BI502" s="1201" t="str">
        <f t="shared" si="1479"/>
        <v/>
      </c>
      <c r="BJ502" s="1201" t="str">
        <f t="shared" si="1479"/>
        <v/>
      </c>
      <c r="BK502" s="1201" t="str">
        <f t="shared" si="1479"/>
        <v/>
      </c>
      <c r="BL502" s="1201" t="str">
        <f t="shared" si="1479"/>
        <v/>
      </c>
      <c r="BM502" s="1201" t="str">
        <f t="shared" si="147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343"/>
        <v/>
      </c>
      <c r="CA502" s="582" t="str">
        <f t="shared" si="1344"/>
        <v/>
      </c>
      <c r="CB502" s="582" t="str">
        <f t="shared" si="1345"/>
        <v/>
      </c>
      <c r="CC502" s="670" t="str">
        <f t="shared" si="1346"/>
        <v/>
      </c>
      <c r="CD502" s="988" t="str">
        <f t="shared" si="1461"/>
        <v/>
      </c>
      <c r="CE502" s="989" t="str">
        <f t="shared" ref="CE502:CM506" si="148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480"/>
        <v/>
      </c>
      <c r="CG502" s="989" t="str">
        <f t="shared" si="1480"/>
        <v/>
      </c>
      <c r="CH502" s="990" t="str">
        <f t="shared" si="1480"/>
        <v/>
      </c>
      <c r="CI502" s="990" t="str">
        <f t="shared" si="1480"/>
        <v/>
      </c>
      <c r="CJ502" s="989" t="str">
        <f t="shared" si="1480"/>
        <v/>
      </c>
      <c r="CK502" s="989" t="str">
        <f t="shared" si="1480"/>
        <v/>
      </c>
      <c r="CL502" s="989" t="str">
        <f t="shared" si="1480"/>
        <v/>
      </c>
      <c r="CM502" s="988" t="str">
        <f t="shared" si="1480"/>
        <v/>
      </c>
      <c r="CN502" s="533" t="str">
        <f t="shared" si="1440"/>
        <v/>
      </c>
      <c r="CO502" s="534" t="str">
        <f t="shared" si="1441"/>
        <v/>
      </c>
      <c r="CP502" s="535" t="str">
        <f t="shared" si="1442"/>
        <v/>
      </c>
      <c r="CQ502" s="535" t="str">
        <f t="shared" si="1443"/>
        <v/>
      </c>
      <c r="CR502" s="535" t="str">
        <f t="shared" si="1444"/>
        <v/>
      </c>
      <c r="CS502" s="535" t="str">
        <f t="shared" si="1445"/>
        <v/>
      </c>
      <c r="CT502" s="535" t="str">
        <f t="shared" si="1446"/>
        <v/>
      </c>
      <c r="CU502" s="536" t="str">
        <f t="shared" si="1447"/>
        <v/>
      </c>
      <c r="CV502" s="536" t="str">
        <f t="shared" si="1448"/>
        <v/>
      </c>
      <c r="CW502" s="536" t="str">
        <f t="shared" si="1449"/>
        <v/>
      </c>
      <c r="CX502" s="535" t="str">
        <f t="shared" si="1450"/>
        <v/>
      </c>
      <c r="CY502" s="535" t="str">
        <f t="shared" si="1451"/>
        <v/>
      </c>
      <c r="CZ502" s="535" t="str">
        <f t="shared" si="1452"/>
        <v/>
      </c>
      <c r="DA502" s="535" t="str">
        <f t="shared" si="1453"/>
        <v/>
      </c>
      <c r="DB502" s="535" t="str">
        <f t="shared" si="1454"/>
        <v/>
      </c>
      <c r="DC502" s="534" t="str">
        <f t="shared" si="1455"/>
        <v/>
      </c>
      <c r="DD502" s="533" t="str">
        <f t="shared" si="1456"/>
        <v/>
      </c>
      <c r="DE502" s="635">
        <f t="shared" si="1457"/>
        <v>0</v>
      </c>
      <c r="DF502" s="95">
        <f t="shared" si="1458"/>
        <v>0</v>
      </c>
      <c r="DG502" s="95">
        <f t="shared" si="1459"/>
        <v>0</v>
      </c>
      <c r="DH502" s="95">
        <f t="shared" si="1460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343"/>
        <v/>
      </c>
      <c r="CA503" s="582" t="str">
        <f t="shared" si="1344"/>
        <v/>
      </c>
      <c r="CB503" s="582" t="str">
        <f t="shared" si="1345"/>
        <v/>
      </c>
      <c r="CC503" s="670" t="str">
        <f t="shared" si="1346"/>
        <v/>
      </c>
      <c r="CD503" s="988" t="str">
        <f t="shared" si="1461"/>
        <v/>
      </c>
      <c r="CE503" s="989" t="str">
        <f t="shared" si="1480"/>
        <v/>
      </c>
      <c r="CF503" s="989" t="str">
        <f t="shared" si="1480"/>
        <v/>
      </c>
      <c r="CG503" s="989" t="str">
        <f t="shared" si="1480"/>
        <v/>
      </c>
      <c r="CH503" s="990" t="str">
        <f t="shared" si="1480"/>
        <v/>
      </c>
      <c r="CI503" s="990" t="str">
        <f t="shared" si="1480"/>
        <v/>
      </c>
      <c r="CJ503" s="989" t="str">
        <f t="shared" si="1480"/>
        <v/>
      </c>
      <c r="CK503" s="989" t="str">
        <f t="shared" si="1480"/>
        <v/>
      </c>
      <c r="CL503" s="989" t="str">
        <f t="shared" si="1480"/>
        <v/>
      </c>
      <c r="CM503" s="988" t="str">
        <f t="shared" si="1480"/>
        <v/>
      </c>
      <c r="CN503" s="533" t="str">
        <f t="shared" si="1440"/>
        <v/>
      </c>
      <c r="CO503" s="534" t="str">
        <f t="shared" si="1441"/>
        <v/>
      </c>
      <c r="CP503" s="535" t="str">
        <f t="shared" si="1442"/>
        <v/>
      </c>
      <c r="CQ503" s="535" t="str">
        <f t="shared" si="1443"/>
        <v/>
      </c>
      <c r="CR503" s="535" t="str">
        <f t="shared" si="1444"/>
        <v/>
      </c>
      <c r="CS503" s="535" t="str">
        <f t="shared" si="1445"/>
        <v/>
      </c>
      <c r="CT503" s="535" t="str">
        <f t="shared" si="1446"/>
        <v/>
      </c>
      <c r="CU503" s="536" t="str">
        <f t="shared" si="1447"/>
        <v/>
      </c>
      <c r="CV503" s="536" t="str">
        <f t="shared" si="1448"/>
        <v/>
      </c>
      <c r="CW503" s="536" t="str">
        <f t="shared" si="1449"/>
        <v/>
      </c>
      <c r="CX503" s="535" t="str">
        <f t="shared" si="1450"/>
        <v/>
      </c>
      <c r="CY503" s="535" t="str">
        <f t="shared" si="1451"/>
        <v/>
      </c>
      <c r="CZ503" s="535" t="str">
        <f t="shared" si="1452"/>
        <v/>
      </c>
      <c r="DA503" s="535" t="str">
        <f t="shared" si="1453"/>
        <v/>
      </c>
      <c r="DB503" s="535" t="str">
        <f t="shared" si="1454"/>
        <v/>
      </c>
      <c r="DC503" s="534" t="str">
        <f t="shared" si="1455"/>
        <v/>
      </c>
      <c r="DD503" s="533" t="str">
        <f t="shared" si="1456"/>
        <v/>
      </c>
      <c r="DE503" s="635">
        <f t="shared" si="1457"/>
        <v>0</v>
      </c>
      <c r="DF503" s="95">
        <f t="shared" si="1458"/>
        <v>0</v>
      </c>
      <c r="DG503" s="95">
        <f t="shared" si="1459"/>
        <v>0</v>
      </c>
      <c r="DH503" s="95">
        <f t="shared" si="1460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481">IF(DE504&lt;3,"",(SUM(B504:R504)-MIN(B504:R504)-MAX(B504:R504))/(DE504-2))</f>
        <v/>
      </c>
      <c r="CA504" s="582" t="str">
        <f t="shared" ref="CA504:CA526" si="1482">IF(DF504&lt;3,"",(SUM(T504:AJ504)-MIN(T504:AJ504)-MAX(T504:AJ504))/(DF504-2))</f>
        <v/>
      </c>
      <c r="CB504" s="582" t="str">
        <f t="shared" ref="CB504:CB526" si="1483">IF(DG504&lt;3,"",(SUM(AL504:BB504)-MIN(AL504:BB504)-MAX(AL504:BB504))/(DG504-2))</f>
        <v/>
      </c>
      <c r="CC504" s="670" t="str">
        <f t="shared" ref="CC504:CC526" si="1484">IF(DH504&lt;3,"",(SUM(BD504:BT504)-MIN(BD504:BT504)-MAX(BD504:BT504))/(DH504-2))</f>
        <v/>
      </c>
      <c r="CD504" s="988" t="str">
        <f t="shared" si="1461"/>
        <v/>
      </c>
      <c r="CE504" s="989" t="str">
        <f t="shared" si="1480"/>
        <v/>
      </c>
      <c r="CF504" s="989" t="str">
        <f t="shared" si="1480"/>
        <v/>
      </c>
      <c r="CG504" s="989" t="str">
        <f t="shared" si="1480"/>
        <v/>
      </c>
      <c r="CH504" s="990" t="str">
        <f t="shared" si="1480"/>
        <v/>
      </c>
      <c r="CI504" s="990" t="str">
        <f t="shared" si="1480"/>
        <v/>
      </c>
      <c r="CJ504" s="989" t="str">
        <f t="shared" si="1480"/>
        <v/>
      </c>
      <c r="CK504" s="989" t="str">
        <f t="shared" si="1480"/>
        <v/>
      </c>
      <c r="CL504" s="989" t="str">
        <f t="shared" si="1480"/>
        <v/>
      </c>
      <c r="CM504" s="988" t="str">
        <f t="shared" si="1480"/>
        <v/>
      </c>
      <c r="CN504" s="533" t="str">
        <f t="shared" si="1440"/>
        <v/>
      </c>
      <c r="CO504" s="534" t="str">
        <f t="shared" si="1441"/>
        <v/>
      </c>
      <c r="CP504" s="535" t="str">
        <f t="shared" si="1442"/>
        <v/>
      </c>
      <c r="CQ504" s="535" t="str">
        <f t="shared" si="1443"/>
        <v/>
      </c>
      <c r="CR504" s="535" t="str">
        <f t="shared" si="1444"/>
        <v/>
      </c>
      <c r="CS504" s="535" t="str">
        <f t="shared" si="1445"/>
        <v/>
      </c>
      <c r="CT504" s="535" t="str">
        <f t="shared" si="1446"/>
        <v/>
      </c>
      <c r="CU504" s="536" t="str">
        <f t="shared" si="1447"/>
        <v/>
      </c>
      <c r="CV504" s="536" t="str">
        <f t="shared" si="1448"/>
        <v/>
      </c>
      <c r="CW504" s="536" t="str">
        <f t="shared" si="1449"/>
        <v/>
      </c>
      <c r="CX504" s="535" t="str">
        <f t="shared" si="1450"/>
        <v/>
      </c>
      <c r="CY504" s="535" t="str">
        <f t="shared" si="1451"/>
        <v/>
      </c>
      <c r="CZ504" s="535" t="str">
        <f t="shared" si="1452"/>
        <v/>
      </c>
      <c r="DA504" s="535" t="str">
        <f t="shared" si="1453"/>
        <v/>
      </c>
      <c r="DB504" s="535" t="str">
        <f t="shared" si="1454"/>
        <v/>
      </c>
      <c r="DC504" s="534" t="str">
        <f t="shared" si="1455"/>
        <v/>
      </c>
      <c r="DD504" s="533" t="str">
        <f t="shared" si="1456"/>
        <v/>
      </c>
      <c r="DE504" s="635">
        <f t="shared" si="1457"/>
        <v>0</v>
      </c>
      <c r="DF504" s="95">
        <f t="shared" si="1458"/>
        <v>0</v>
      </c>
      <c r="DG504" s="95">
        <f t="shared" si="1459"/>
        <v>0</v>
      </c>
      <c r="DH504" s="95">
        <f t="shared" si="1460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485">4000*$K$1</f>
        <v>16747.2</v>
      </c>
      <c r="D505" s="740">
        <f t="shared" si="1485"/>
        <v>16747.2</v>
      </c>
      <c r="E505" s="740">
        <f t="shared" si="1485"/>
        <v>16747.2</v>
      </c>
      <c r="F505" s="740">
        <f t="shared" si="1485"/>
        <v>16747.2</v>
      </c>
      <c r="G505" s="740">
        <f t="shared" si="1485"/>
        <v>16747.2</v>
      </c>
      <c r="H505" s="740">
        <f t="shared" si="1485"/>
        <v>16747.2</v>
      </c>
      <c r="I505" s="740">
        <f t="shared" si="1485"/>
        <v>16747.2</v>
      </c>
      <c r="J505" s="740">
        <f t="shared" si="1485"/>
        <v>16747.2</v>
      </c>
      <c r="K505" s="740">
        <f t="shared" si="148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486">4000*$K$1</f>
        <v>16747.2</v>
      </c>
      <c r="V505" s="740">
        <f t="shared" si="1486"/>
        <v>16747.2</v>
      </c>
      <c r="W505" s="740">
        <f t="shared" si="1486"/>
        <v>16747.2</v>
      </c>
      <c r="X505" s="740">
        <f t="shared" si="1486"/>
        <v>16747.2</v>
      </c>
      <c r="Y505" s="740">
        <f t="shared" si="1486"/>
        <v>16747.2</v>
      </c>
      <c r="Z505" s="740">
        <f t="shared" si="1486"/>
        <v>16747.2</v>
      </c>
      <c r="AA505" s="740">
        <f t="shared" si="1486"/>
        <v>16747.2</v>
      </c>
      <c r="AB505" s="740">
        <f t="shared" si="1486"/>
        <v>16747.2</v>
      </c>
      <c r="AC505" s="740">
        <f t="shared" si="148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487">4000*$K$1</f>
        <v>16747.2</v>
      </c>
      <c r="AN505" s="740">
        <f t="shared" si="1487"/>
        <v>16747.2</v>
      </c>
      <c r="AO505" s="740">
        <f t="shared" si="1487"/>
        <v>16747.2</v>
      </c>
      <c r="AP505" s="740">
        <f t="shared" si="1487"/>
        <v>16747.2</v>
      </c>
      <c r="AQ505" s="740">
        <f t="shared" si="1487"/>
        <v>16747.2</v>
      </c>
      <c r="AR505" s="740">
        <f t="shared" si="1487"/>
        <v>16747.2</v>
      </c>
      <c r="AS505" s="740">
        <f t="shared" si="1487"/>
        <v>16747.2</v>
      </c>
      <c r="AT505" s="740">
        <f t="shared" si="1487"/>
        <v>16747.2</v>
      </c>
      <c r="AU505" s="740">
        <f t="shared" si="148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488">4000*$K$1</f>
        <v>16747.2</v>
      </c>
      <c r="BF505" s="1236">
        <f t="shared" si="1488"/>
        <v>16747.2</v>
      </c>
      <c r="BG505" s="1236">
        <f t="shared" si="1488"/>
        <v>16747.2</v>
      </c>
      <c r="BH505" s="1236">
        <f t="shared" si="1488"/>
        <v>16747.2</v>
      </c>
      <c r="BI505" s="1236">
        <f t="shared" si="1488"/>
        <v>16747.2</v>
      </c>
      <c r="BJ505" s="1236">
        <f t="shared" si="1488"/>
        <v>16747.2</v>
      </c>
      <c r="BK505" s="1236">
        <f t="shared" si="1488"/>
        <v>16747.2</v>
      </c>
      <c r="BL505" s="1236">
        <f t="shared" si="1488"/>
        <v>16747.2</v>
      </c>
      <c r="BM505" s="1236">
        <f t="shared" si="148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>4000*$K$1</f>
        <v>16747.2</v>
      </c>
      <c r="BW505" s="740">
        <f>4000*$K$1</f>
        <v>16747.2</v>
      </c>
      <c r="BX505" s="740">
        <f>4000*$K$1</f>
        <v>16747.2</v>
      </c>
      <c r="BY505" s="740">
        <f>4000*$K$1</f>
        <v>16747.2</v>
      </c>
      <c r="BZ505" s="582">
        <f t="shared" si="1481"/>
        <v>16747.2</v>
      </c>
      <c r="CA505" s="582">
        <f t="shared" si="1482"/>
        <v>16747.2</v>
      </c>
      <c r="CB505" s="582">
        <f t="shared" si="1483"/>
        <v>16747.2</v>
      </c>
      <c r="CC505" s="670">
        <f t="shared" si="1484"/>
        <v>16747.2</v>
      </c>
      <c r="CD505" s="988">
        <f t="shared" si="1461"/>
        <v>16747.2</v>
      </c>
      <c r="CE505" s="989">
        <f t="shared" si="1480"/>
        <v>16747.2</v>
      </c>
      <c r="CF505" s="989">
        <f t="shared" si="1480"/>
        <v>16747.2</v>
      </c>
      <c r="CG505" s="989">
        <f t="shared" si="1480"/>
        <v>16747.2</v>
      </c>
      <c r="CH505" s="990">
        <f t="shared" si="1480"/>
        <v>16747.2</v>
      </c>
      <c r="CI505" s="990">
        <f t="shared" si="1480"/>
        <v>16747.2</v>
      </c>
      <c r="CJ505" s="989">
        <f t="shared" si="1480"/>
        <v>16747.2</v>
      </c>
      <c r="CK505" s="989">
        <f t="shared" si="1480"/>
        <v>16747.2</v>
      </c>
      <c r="CL505" s="989">
        <f t="shared" si="1480"/>
        <v>16747.2</v>
      </c>
      <c r="CM505" s="988">
        <f t="shared" si="1480"/>
        <v>16747.2</v>
      </c>
      <c r="CN505" s="533" t="str">
        <f t="shared" si="1440"/>
        <v/>
      </c>
      <c r="CO505" s="534" t="str">
        <f t="shared" si="1441"/>
        <v/>
      </c>
      <c r="CP505" s="535" t="str">
        <f t="shared" si="1442"/>
        <v/>
      </c>
      <c r="CQ505" s="535" t="str">
        <f t="shared" si="1443"/>
        <v/>
      </c>
      <c r="CR505" s="535">
        <f t="shared" si="1444"/>
        <v>16747.2</v>
      </c>
      <c r="CS505" s="535">
        <f t="shared" si="1445"/>
        <v>16747.2</v>
      </c>
      <c r="CT505" s="535">
        <f t="shared" si="1446"/>
        <v>16747.2</v>
      </c>
      <c r="CU505" s="536">
        <f t="shared" si="1447"/>
        <v>16747.2</v>
      </c>
      <c r="CV505" s="536">
        <f t="shared" si="1448"/>
        <v>16747.2</v>
      </c>
      <c r="CW505" s="536">
        <f t="shared" si="1449"/>
        <v>16747.2</v>
      </c>
      <c r="CX505" s="535">
        <f t="shared" si="1450"/>
        <v>16747.2</v>
      </c>
      <c r="CY505" s="535">
        <f t="shared" si="1451"/>
        <v>16747.2</v>
      </c>
      <c r="CZ505" s="535">
        <f t="shared" si="1452"/>
        <v>16747.2</v>
      </c>
      <c r="DA505" s="535">
        <f t="shared" si="1453"/>
        <v>16747.2</v>
      </c>
      <c r="DB505" s="535" t="str">
        <f t="shared" si="1454"/>
        <v/>
      </c>
      <c r="DC505" s="534" t="str">
        <f t="shared" si="1455"/>
        <v/>
      </c>
      <c r="DD505" s="533" t="str">
        <f t="shared" si="1456"/>
        <v/>
      </c>
      <c r="DE505" s="635">
        <f t="shared" si="1457"/>
        <v>10</v>
      </c>
      <c r="DF505" s="95">
        <f t="shared" si="1458"/>
        <v>10</v>
      </c>
      <c r="DG505" s="95">
        <f t="shared" si="1459"/>
        <v>10</v>
      </c>
      <c r="DH505" s="95">
        <f t="shared" si="1460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489">IF(B503="","",B503*B504*B505/B$46/365/$G$1)</f>
        <v/>
      </c>
      <c r="C506" s="615" t="str">
        <f t="shared" si="1489"/>
        <v/>
      </c>
      <c r="D506" s="742" t="str">
        <f t="shared" si="1489"/>
        <v/>
      </c>
      <c r="E506" s="615" t="str">
        <f t="shared" si="1489"/>
        <v/>
      </c>
      <c r="F506" s="742" t="str">
        <f t="shared" si="1489"/>
        <v/>
      </c>
      <c r="G506" s="615" t="str">
        <f t="shared" si="1489"/>
        <v/>
      </c>
      <c r="H506" s="742" t="str">
        <f t="shared" si="1489"/>
        <v/>
      </c>
      <c r="I506" s="615" t="str">
        <f t="shared" si="1489"/>
        <v/>
      </c>
      <c r="J506" s="742" t="str">
        <f t="shared" si="1489"/>
        <v/>
      </c>
      <c r="K506" s="742" t="str">
        <f t="shared" si="1489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490">IF(T503="","",T503*T504*T505/T$46/365/$G$1)</f>
        <v/>
      </c>
      <c r="U506" s="615" t="str">
        <f t="shared" si="1490"/>
        <v/>
      </c>
      <c r="V506" s="615" t="str">
        <f t="shared" si="1490"/>
        <v/>
      </c>
      <c r="W506" s="615" t="str">
        <f t="shared" si="1490"/>
        <v/>
      </c>
      <c r="X506" s="615" t="str">
        <f t="shared" si="1490"/>
        <v/>
      </c>
      <c r="Y506" s="615" t="str">
        <f t="shared" si="1490"/>
        <v/>
      </c>
      <c r="Z506" s="615" t="str">
        <f t="shared" si="1490"/>
        <v/>
      </c>
      <c r="AA506" s="615" t="str">
        <f t="shared" si="1490"/>
        <v/>
      </c>
      <c r="AB506" s="615" t="str">
        <f t="shared" si="1490"/>
        <v/>
      </c>
      <c r="AC506" s="615" t="str">
        <f t="shared" si="1490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491">IF(AL503="","",AL503*AL504*AL505/AL$46/365/$G$1)</f>
        <v/>
      </c>
      <c r="AM506" s="615" t="str">
        <f t="shared" si="1491"/>
        <v/>
      </c>
      <c r="AN506" s="615" t="str">
        <f t="shared" si="1491"/>
        <v/>
      </c>
      <c r="AO506" s="615" t="str">
        <f t="shared" si="1491"/>
        <v/>
      </c>
      <c r="AP506" s="615" t="str">
        <f t="shared" si="1491"/>
        <v/>
      </c>
      <c r="AQ506" s="615" t="str">
        <f t="shared" si="1491"/>
        <v/>
      </c>
      <c r="AR506" s="615" t="str">
        <f t="shared" si="1491"/>
        <v/>
      </c>
      <c r="AS506" s="615" t="str">
        <f t="shared" si="1491"/>
        <v/>
      </c>
      <c r="AT506" s="615" t="str">
        <f t="shared" si="1491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>IF(BJ503="","",BJ503*BJ504*BJ505/BJ$46/365/$G$1)</f>
        <v/>
      </c>
      <c r="BK506" s="1202" t="str">
        <f>IF(BK503="","",BK503*BK504*BK505/BK$46/365/$G$1)</f>
        <v/>
      </c>
      <c r="BL506" s="1202" t="str">
        <f>IF(BL503="","",BL503*BL504*BL505/BL$46/365/$G$1)</f>
        <v/>
      </c>
      <c r="BM506" s="1202" t="str">
        <f>IF(BM503="","",BM503*BM504*BM505/BM$46/365/$G$1)</f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481"/>
        <v/>
      </c>
      <c r="CA506" s="607" t="str">
        <f t="shared" si="1482"/>
        <v/>
      </c>
      <c r="CB506" s="607" t="str">
        <f t="shared" si="1483"/>
        <v/>
      </c>
      <c r="CC506" s="607" t="str">
        <f t="shared" si="1484"/>
        <v/>
      </c>
      <c r="CD506" s="991" t="str">
        <f t="shared" si="1461"/>
        <v/>
      </c>
      <c r="CE506" s="992" t="str">
        <f t="shared" si="1480"/>
        <v/>
      </c>
      <c r="CF506" s="992" t="str">
        <f t="shared" si="1480"/>
        <v/>
      </c>
      <c r="CG506" s="992" t="str">
        <f t="shared" si="1480"/>
        <v/>
      </c>
      <c r="CH506" s="993" t="str">
        <f t="shared" si="1480"/>
        <v/>
      </c>
      <c r="CI506" s="993" t="str">
        <f t="shared" si="1480"/>
        <v/>
      </c>
      <c r="CJ506" s="992" t="str">
        <f t="shared" si="1480"/>
        <v/>
      </c>
      <c r="CK506" s="992" t="str">
        <f t="shared" si="1480"/>
        <v/>
      </c>
      <c r="CL506" s="992" t="str">
        <f t="shared" si="1480"/>
        <v/>
      </c>
      <c r="CM506" s="991" t="str">
        <f t="shared" si="1480"/>
        <v/>
      </c>
      <c r="CN506" s="521" t="str">
        <f t="shared" si="1440"/>
        <v/>
      </c>
      <c r="CO506" s="522" t="str">
        <f t="shared" si="1441"/>
        <v/>
      </c>
      <c r="CP506" s="523" t="str">
        <f t="shared" si="1442"/>
        <v/>
      </c>
      <c r="CQ506" s="523" t="str">
        <f t="shared" si="1443"/>
        <v/>
      </c>
      <c r="CR506" s="523" t="str">
        <f t="shared" si="1444"/>
        <v/>
      </c>
      <c r="CS506" s="523" t="str">
        <f t="shared" si="1445"/>
        <v/>
      </c>
      <c r="CT506" s="523" t="str">
        <f t="shared" si="1446"/>
        <v/>
      </c>
      <c r="CU506" s="524" t="str">
        <f t="shared" si="1447"/>
        <v/>
      </c>
      <c r="CV506" s="524" t="str">
        <f t="shared" si="1448"/>
        <v/>
      </c>
      <c r="CW506" s="524" t="str">
        <f t="shared" si="1449"/>
        <v/>
      </c>
      <c r="CX506" s="523" t="str">
        <f t="shared" si="1450"/>
        <v/>
      </c>
      <c r="CY506" s="523" t="str">
        <f t="shared" si="1451"/>
        <v/>
      </c>
      <c r="CZ506" s="523" t="str">
        <f t="shared" si="1452"/>
        <v/>
      </c>
      <c r="DA506" s="523" t="str">
        <f t="shared" si="1453"/>
        <v/>
      </c>
      <c r="DB506" s="523" t="str">
        <f t="shared" si="1454"/>
        <v/>
      </c>
      <c r="DC506" s="522" t="str">
        <f t="shared" si="1455"/>
        <v/>
      </c>
      <c r="DD506" s="521" t="str">
        <f t="shared" si="1456"/>
        <v/>
      </c>
      <c r="DE506" s="635">
        <f t="shared" si="1457"/>
        <v>0</v>
      </c>
      <c r="DF506" s="95">
        <f t="shared" si="1458"/>
        <v>0</v>
      </c>
      <c r="DG506" s="95">
        <f t="shared" si="1459"/>
        <v>0</v>
      </c>
      <c r="DH506" s="95">
        <f t="shared" si="1460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481"/>
        <v/>
      </c>
      <c r="CA507" s="582" t="str">
        <f t="shared" si="1482"/>
        <v/>
      </c>
      <c r="CB507" s="582" t="str">
        <f t="shared" si="1483"/>
        <v/>
      </c>
      <c r="CC507" s="670" t="str">
        <f t="shared" si="1484"/>
        <v/>
      </c>
      <c r="CD507" s="988" t="str">
        <f t="shared" si="1461"/>
        <v/>
      </c>
      <c r="CE507" s="989" t="str">
        <f t="shared" ref="CE507:CM507" si="149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492"/>
        <v/>
      </c>
      <c r="CG507" s="989" t="str">
        <f t="shared" si="1492"/>
        <v/>
      </c>
      <c r="CH507" s="990" t="str">
        <f t="shared" si="1492"/>
        <v/>
      </c>
      <c r="CI507" s="990" t="str">
        <f t="shared" si="1492"/>
        <v/>
      </c>
      <c r="CJ507" s="989" t="str">
        <f t="shared" si="1492"/>
        <v/>
      </c>
      <c r="CK507" s="989" t="str">
        <f t="shared" si="1492"/>
        <v/>
      </c>
      <c r="CL507" s="989" t="str">
        <f t="shared" si="1492"/>
        <v/>
      </c>
      <c r="CM507" s="988" t="str">
        <f t="shared" si="1492"/>
        <v/>
      </c>
      <c r="CN507" s="533" t="str">
        <f t="shared" si="1440"/>
        <v/>
      </c>
      <c r="CO507" s="534" t="str">
        <f t="shared" si="1441"/>
        <v/>
      </c>
      <c r="CP507" s="535" t="str">
        <f t="shared" si="1442"/>
        <v/>
      </c>
      <c r="CQ507" s="535" t="str">
        <f t="shared" si="1443"/>
        <v/>
      </c>
      <c r="CR507" s="535" t="str">
        <f t="shared" si="1444"/>
        <v/>
      </c>
      <c r="CS507" s="535" t="str">
        <f t="shared" si="1445"/>
        <v/>
      </c>
      <c r="CT507" s="535" t="str">
        <f t="shared" si="1446"/>
        <v/>
      </c>
      <c r="CU507" s="536" t="str">
        <f t="shared" si="1447"/>
        <v/>
      </c>
      <c r="CV507" s="536" t="str">
        <f t="shared" si="1448"/>
        <v/>
      </c>
      <c r="CW507" s="536" t="str">
        <f t="shared" si="1449"/>
        <v/>
      </c>
      <c r="CX507" s="535" t="str">
        <f t="shared" si="1450"/>
        <v/>
      </c>
      <c r="CY507" s="535" t="str">
        <f t="shared" si="1451"/>
        <v/>
      </c>
      <c r="CZ507" s="535" t="str">
        <f t="shared" si="1452"/>
        <v/>
      </c>
      <c r="DA507" s="535" t="str">
        <f t="shared" si="1453"/>
        <v/>
      </c>
      <c r="DB507" s="535" t="str">
        <f t="shared" si="1454"/>
        <v/>
      </c>
      <c r="DC507" s="534" t="str">
        <f t="shared" si="1455"/>
        <v/>
      </c>
      <c r="DD507" s="533" t="str">
        <f t="shared" si="1456"/>
        <v/>
      </c>
      <c r="DE507" s="635">
        <f t="shared" si="1457"/>
        <v>0</v>
      </c>
      <c r="DF507" s="95">
        <f t="shared" si="1458"/>
        <v>0</v>
      </c>
      <c r="DG507" s="95">
        <f t="shared" si="1459"/>
        <v>0</v>
      </c>
      <c r="DH507" s="95">
        <f t="shared" si="1460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493">IF(D507="","",D503*D504*D507)</f>
        <v/>
      </c>
      <c r="E508" s="612" t="str">
        <f t="shared" si="1493"/>
        <v/>
      </c>
      <c r="F508" s="612" t="str">
        <f t="shared" si="1493"/>
        <v/>
      </c>
      <c r="G508" s="612" t="str">
        <f t="shared" si="1493"/>
        <v/>
      </c>
      <c r="H508" s="612" t="str">
        <f t="shared" si="1493"/>
        <v/>
      </c>
      <c r="I508" s="612" t="str">
        <f t="shared" si="1493"/>
        <v/>
      </c>
      <c r="J508" s="612" t="str">
        <f t="shared" si="1493"/>
        <v/>
      </c>
      <c r="K508" s="612" t="str">
        <f t="shared" si="149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494">IF(V507="","",V503*V504*V507)</f>
        <v/>
      </c>
      <c r="W508" s="612" t="str">
        <f t="shared" si="1494"/>
        <v/>
      </c>
      <c r="X508" s="612" t="str">
        <f t="shared" si="1494"/>
        <v/>
      </c>
      <c r="Y508" s="612" t="str">
        <f t="shared" si="1494"/>
        <v/>
      </c>
      <c r="Z508" s="612" t="str">
        <f t="shared" si="1494"/>
        <v/>
      </c>
      <c r="AA508" s="612" t="str">
        <f t="shared" si="1494"/>
        <v/>
      </c>
      <c r="AB508" s="612" t="str">
        <f t="shared" si="1494"/>
        <v/>
      </c>
      <c r="AC508" s="612" t="str">
        <f t="shared" si="149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495">IF(AN507="","",AN503*AN504*AN507)</f>
        <v/>
      </c>
      <c r="AO508" s="612" t="str">
        <f t="shared" si="1495"/>
        <v/>
      </c>
      <c r="AP508" s="612" t="str">
        <f t="shared" si="1495"/>
        <v/>
      </c>
      <c r="AQ508" s="612" t="str">
        <f t="shared" si="1495"/>
        <v/>
      </c>
      <c r="AR508" s="612" t="str">
        <f t="shared" si="1495"/>
        <v/>
      </c>
      <c r="AS508" s="612" t="str">
        <f t="shared" si="1495"/>
        <v/>
      </c>
      <c r="AT508" s="612" t="str">
        <f t="shared" si="1495"/>
        <v/>
      </c>
      <c r="AU508" s="612" t="str">
        <f t="shared" si="149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496">IF(BF507="","",BF503*BF504*BF507)</f>
        <v/>
      </c>
      <c r="BG508" s="1201" t="str">
        <f t="shared" si="1496"/>
        <v/>
      </c>
      <c r="BH508" s="1201" t="str">
        <f t="shared" si="1496"/>
        <v/>
      </c>
      <c r="BI508" s="1201" t="str">
        <f t="shared" si="1496"/>
        <v/>
      </c>
      <c r="BJ508" s="1201" t="str">
        <f t="shared" si="1496"/>
        <v/>
      </c>
      <c r="BK508" s="1201" t="str">
        <f t="shared" si="1496"/>
        <v/>
      </c>
      <c r="BL508" s="1201" t="str">
        <f t="shared" si="1496"/>
        <v/>
      </c>
      <c r="BM508" s="1201" t="str">
        <f t="shared" si="149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481"/>
        <v/>
      </c>
      <c r="CA508" s="582" t="str">
        <f t="shared" si="1482"/>
        <v/>
      </c>
      <c r="CB508" s="582" t="str">
        <f t="shared" si="1483"/>
        <v/>
      </c>
      <c r="CC508" s="670" t="str">
        <f t="shared" si="1484"/>
        <v/>
      </c>
      <c r="CD508" s="988" t="str">
        <f t="shared" si="1461"/>
        <v/>
      </c>
      <c r="CE508" s="989" t="str">
        <f t="shared" ref="CE508:CM512" si="149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497"/>
        <v/>
      </c>
      <c r="CG508" s="989" t="str">
        <f t="shared" si="1497"/>
        <v/>
      </c>
      <c r="CH508" s="990" t="str">
        <f t="shared" si="1497"/>
        <v/>
      </c>
      <c r="CI508" s="990" t="str">
        <f t="shared" si="1497"/>
        <v/>
      </c>
      <c r="CJ508" s="989" t="str">
        <f t="shared" si="1497"/>
        <v/>
      </c>
      <c r="CK508" s="989" t="str">
        <f t="shared" si="1497"/>
        <v/>
      </c>
      <c r="CL508" s="989" t="str">
        <f t="shared" si="1497"/>
        <v/>
      </c>
      <c r="CM508" s="988" t="str">
        <f t="shared" si="1497"/>
        <v/>
      </c>
      <c r="CN508" s="533" t="str">
        <f t="shared" si="1440"/>
        <v/>
      </c>
      <c r="CO508" s="534" t="str">
        <f t="shared" si="1441"/>
        <v/>
      </c>
      <c r="CP508" s="535" t="str">
        <f t="shared" si="1442"/>
        <v/>
      </c>
      <c r="CQ508" s="535" t="str">
        <f t="shared" si="1443"/>
        <v/>
      </c>
      <c r="CR508" s="535" t="str">
        <f t="shared" si="1444"/>
        <v/>
      </c>
      <c r="CS508" s="535" t="str">
        <f t="shared" si="1445"/>
        <v/>
      </c>
      <c r="CT508" s="535" t="str">
        <f t="shared" si="1446"/>
        <v/>
      </c>
      <c r="CU508" s="536" t="str">
        <f t="shared" si="1447"/>
        <v/>
      </c>
      <c r="CV508" s="536" t="str">
        <f t="shared" si="1448"/>
        <v/>
      </c>
      <c r="CW508" s="536" t="str">
        <f t="shared" si="1449"/>
        <v/>
      </c>
      <c r="CX508" s="535" t="str">
        <f t="shared" si="1450"/>
        <v/>
      </c>
      <c r="CY508" s="535" t="str">
        <f t="shared" si="1451"/>
        <v/>
      </c>
      <c r="CZ508" s="535" t="str">
        <f t="shared" si="1452"/>
        <v/>
      </c>
      <c r="DA508" s="535" t="str">
        <f t="shared" si="1453"/>
        <v/>
      </c>
      <c r="DB508" s="535" t="str">
        <f t="shared" si="1454"/>
        <v/>
      </c>
      <c r="DC508" s="534" t="str">
        <f t="shared" si="1455"/>
        <v/>
      </c>
      <c r="DD508" s="533" t="str">
        <f t="shared" si="1456"/>
        <v/>
      </c>
      <c r="DE508" s="635">
        <f t="shared" si="1457"/>
        <v>0</v>
      </c>
      <c r="DF508" s="95">
        <f t="shared" si="1458"/>
        <v>0</v>
      </c>
      <c r="DG508" s="95">
        <f t="shared" si="1459"/>
        <v>0</v>
      </c>
      <c r="DH508" s="95">
        <f t="shared" si="1460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481"/>
        <v/>
      </c>
      <c r="CA509" s="582" t="str">
        <f t="shared" si="1482"/>
        <v/>
      </c>
      <c r="CB509" s="582" t="str">
        <f t="shared" si="1483"/>
        <v/>
      </c>
      <c r="CC509" s="670" t="str">
        <f t="shared" si="1484"/>
        <v/>
      </c>
      <c r="CD509" s="988" t="str">
        <f t="shared" si="1461"/>
        <v/>
      </c>
      <c r="CE509" s="989" t="str">
        <f t="shared" si="1497"/>
        <v/>
      </c>
      <c r="CF509" s="989" t="str">
        <f t="shared" si="1497"/>
        <v/>
      </c>
      <c r="CG509" s="989" t="str">
        <f t="shared" si="1497"/>
        <v/>
      </c>
      <c r="CH509" s="990" t="str">
        <f t="shared" si="1497"/>
        <v/>
      </c>
      <c r="CI509" s="990" t="str">
        <f t="shared" si="1497"/>
        <v/>
      </c>
      <c r="CJ509" s="989" t="str">
        <f t="shared" si="1497"/>
        <v/>
      </c>
      <c r="CK509" s="989" t="str">
        <f t="shared" si="1497"/>
        <v/>
      </c>
      <c r="CL509" s="989" t="str">
        <f t="shared" si="1497"/>
        <v/>
      </c>
      <c r="CM509" s="988" t="str">
        <f t="shared" si="1497"/>
        <v/>
      </c>
      <c r="CN509" s="533" t="str">
        <f t="shared" si="1440"/>
        <v/>
      </c>
      <c r="CO509" s="534" t="str">
        <f t="shared" si="1441"/>
        <v/>
      </c>
      <c r="CP509" s="535" t="str">
        <f t="shared" si="1442"/>
        <v/>
      </c>
      <c r="CQ509" s="535" t="str">
        <f t="shared" si="1443"/>
        <v/>
      </c>
      <c r="CR509" s="535" t="str">
        <f t="shared" si="1444"/>
        <v/>
      </c>
      <c r="CS509" s="535" t="str">
        <f t="shared" si="1445"/>
        <v/>
      </c>
      <c r="CT509" s="535" t="str">
        <f t="shared" si="1446"/>
        <v/>
      </c>
      <c r="CU509" s="536" t="str">
        <f t="shared" si="1447"/>
        <v/>
      </c>
      <c r="CV509" s="536" t="str">
        <f t="shared" si="1448"/>
        <v/>
      </c>
      <c r="CW509" s="536" t="str">
        <f t="shared" si="1449"/>
        <v/>
      </c>
      <c r="CX509" s="535" t="str">
        <f t="shared" si="1450"/>
        <v/>
      </c>
      <c r="CY509" s="535" t="str">
        <f t="shared" si="1451"/>
        <v/>
      </c>
      <c r="CZ509" s="535" t="str">
        <f t="shared" si="1452"/>
        <v/>
      </c>
      <c r="DA509" s="535" t="str">
        <f t="shared" si="1453"/>
        <v/>
      </c>
      <c r="DB509" s="535" t="str">
        <f t="shared" si="1454"/>
        <v/>
      </c>
      <c r="DC509" s="534" t="str">
        <f t="shared" si="1455"/>
        <v/>
      </c>
      <c r="DD509" s="533" t="str">
        <f t="shared" si="1456"/>
        <v/>
      </c>
      <c r="DE509" s="635">
        <f t="shared" si="1457"/>
        <v>0</v>
      </c>
      <c r="DF509" s="95">
        <f t="shared" si="1458"/>
        <v>0</v>
      </c>
      <c r="DG509" s="95">
        <f t="shared" si="1459"/>
        <v>0</v>
      </c>
      <c r="DH509" s="95">
        <f t="shared" si="1460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481"/>
        <v/>
      </c>
      <c r="CA510" s="582" t="str">
        <f t="shared" si="1482"/>
        <v/>
      </c>
      <c r="CB510" s="582" t="str">
        <f t="shared" si="1483"/>
        <v/>
      </c>
      <c r="CC510" s="670" t="str">
        <f t="shared" si="1484"/>
        <v/>
      </c>
      <c r="CD510" s="988" t="str">
        <f t="shared" si="1461"/>
        <v/>
      </c>
      <c r="CE510" s="989" t="str">
        <f t="shared" si="1497"/>
        <v/>
      </c>
      <c r="CF510" s="989" t="str">
        <f t="shared" si="1497"/>
        <v/>
      </c>
      <c r="CG510" s="989" t="str">
        <f t="shared" si="1497"/>
        <v/>
      </c>
      <c r="CH510" s="990" t="str">
        <f t="shared" si="1497"/>
        <v/>
      </c>
      <c r="CI510" s="990" t="str">
        <f t="shared" si="1497"/>
        <v/>
      </c>
      <c r="CJ510" s="989" t="str">
        <f t="shared" si="1497"/>
        <v/>
      </c>
      <c r="CK510" s="989" t="str">
        <f t="shared" si="1497"/>
        <v/>
      </c>
      <c r="CL510" s="989" t="str">
        <f t="shared" si="1497"/>
        <v/>
      </c>
      <c r="CM510" s="988" t="str">
        <f t="shared" si="1497"/>
        <v/>
      </c>
      <c r="CN510" s="533" t="str">
        <f t="shared" si="1440"/>
        <v/>
      </c>
      <c r="CO510" s="534" t="str">
        <f t="shared" si="1441"/>
        <v/>
      </c>
      <c r="CP510" s="535" t="str">
        <f t="shared" si="1442"/>
        <v/>
      </c>
      <c r="CQ510" s="535" t="str">
        <f t="shared" si="1443"/>
        <v/>
      </c>
      <c r="CR510" s="535" t="str">
        <f t="shared" si="1444"/>
        <v/>
      </c>
      <c r="CS510" s="535" t="str">
        <f t="shared" si="1445"/>
        <v/>
      </c>
      <c r="CT510" s="535" t="str">
        <f t="shared" si="1446"/>
        <v/>
      </c>
      <c r="CU510" s="536" t="str">
        <f t="shared" si="1447"/>
        <v/>
      </c>
      <c r="CV510" s="536" t="str">
        <f t="shared" si="1448"/>
        <v/>
      </c>
      <c r="CW510" s="536" t="str">
        <f t="shared" si="1449"/>
        <v/>
      </c>
      <c r="CX510" s="535" t="str">
        <f t="shared" si="1450"/>
        <v/>
      </c>
      <c r="CY510" s="535" t="str">
        <f t="shared" si="1451"/>
        <v/>
      </c>
      <c r="CZ510" s="535" t="str">
        <f t="shared" si="1452"/>
        <v/>
      </c>
      <c r="DA510" s="535" t="str">
        <f t="shared" si="1453"/>
        <v/>
      </c>
      <c r="DB510" s="535" t="str">
        <f t="shared" si="1454"/>
        <v/>
      </c>
      <c r="DC510" s="534" t="str">
        <f t="shared" si="1455"/>
        <v/>
      </c>
      <c r="DD510" s="533" t="str">
        <f t="shared" si="1456"/>
        <v/>
      </c>
      <c r="DE510" s="635">
        <f t="shared" si="1457"/>
        <v>0</v>
      </c>
      <c r="DF510" s="95">
        <f t="shared" si="1458"/>
        <v>0</v>
      </c>
      <c r="DG510" s="95">
        <f t="shared" si="1459"/>
        <v>0</v>
      </c>
      <c r="DH510" s="95">
        <f t="shared" si="1460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498">4050*$K$1</f>
        <v>16956.54</v>
      </c>
      <c r="D511" s="740">
        <f t="shared" si="1498"/>
        <v>16956.54</v>
      </c>
      <c r="E511" s="740">
        <f t="shared" si="1498"/>
        <v>16956.54</v>
      </c>
      <c r="F511" s="740">
        <f t="shared" si="1498"/>
        <v>16956.54</v>
      </c>
      <c r="G511" s="740">
        <f t="shared" si="1498"/>
        <v>16956.54</v>
      </c>
      <c r="H511" s="740">
        <f t="shared" si="1498"/>
        <v>16956.54</v>
      </c>
      <c r="I511" s="740">
        <f t="shared" si="1498"/>
        <v>16956.54</v>
      </c>
      <c r="J511" s="740">
        <f t="shared" si="149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499">4050*$K$1</f>
        <v>16956.54</v>
      </c>
      <c r="V511" s="740">
        <f t="shared" si="1499"/>
        <v>16956.54</v>
      </c>
      <c r="W511" s="740">
        <f t="shared" si="1499"/>
        <v>16956.54</v>
      </c>
      <c r="X511" s="740">
        <f t="shared" si="1499"/>
        <v>16956.54</v>
      </c>
      <c r="Y511" s="740">
        <f t="shared" si="1499"/>
        <v>16956.54</v>
      </c>
      <c r="Z511" s="740">
        <f t="shared" si="1499"/>
        <v>16956.54</v>
      </c>
      <c r="AA511" s="740">
        <f t="shared" si="1499"/>
        <v>16956.54</v>
      </c>
      <c r="AB511" s="740">
        <f t="shared" si="1499"/>
        <v>16956.54</v>
      </c>
      <c r="AC511" s="740">
        <f t="shared" si="149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500">4050*$K$1</f>
        <v>16956.54</v>
      </c>
      <c r="AN511" s="740">
        <f t="shared" si="1500"/>
        <v>16956.54</v>
      </c>
      <c r="AO511" s="740">
        <f t="shared" si="1500"/>
        <v>16956.54</v>
      </c>
      <c r="AP511" s="740">
        <f t="shared" si="1500"/>
        <v>16956.54</v>
      </c>
      <c r="AQ511" s="740">
        <f t="shared" si="1500"/>
        <v>16956.54</v>
      </c>
      <c r="AR511" s="740">
        <f t="shared" si="1500"/>
        <v>16956.54</v>
      </c>
      <c r="AS511" s="740">
        <f t="shared" si="1500"/>
        <v>16956.54</v>
      </c>
      <c r="AT511" s="740">
        <f t="shared" si="1500"/>
        <v>16956.54</v>
      </c>
      <c r="AU511" s="740">
        <f t="shared" si="150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501">4050*$K$1</f>
        <v>16956.54</v>
      </c>
      <c r="BF511" s="1236">
        <f t="shared" si="1501"/>
        <v>16956.54</v>
      </c>
      <c r="BG511" s="1236">
        <f t="shared" si="1501"/>
        <v>16956.54</v>
      </c>
      <c r="BH511" s="1236">
        <f t="shared" si="1501"/>
        <v>16956.54</v>
      </c>
      <c r="BI511" s="1236">
        <f t="shared" si="1501"/>
        <v>16956.54</v>
      </c>
      <c r="BJ511" s="1236">
        <f t="shared" si="1501"/>
        <v>16956.54</v>
      </c>
      <c r="BK511" s="1236">
        <f t="shared" si="1501"/>
        <v>16956.54</v>
      </c>
      <c r="BL511" s="1236">
        <f t="shared" si="1501"/>
        <v>16956.54</v>
      </c>
      <c r="BM511" s="1236">
        <f t="shared" si="150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>4050*$K$1</f>
        <v>16956.54</v>
      </c>
      <c r="BW511" s="740">
        <f>4050*$K$1</f>
        <v>16956.54</v>
      </c>
      <c r="BX511" s="740">
        <f>4050*$K$1</f>
        <v>16956.54</v>
      </c>
      <c r="BY511" s="740">
        <f>4050*$K$1</f>
        <v>16956.54</v>
      </c>
      <c r="BZ511" s="582">
        <f t="shared" si="1481"/>
        <v>16956.540000000005</v>
      </c>
      <c r="CA511" s="582">
        <f t="shared" si="1482"/>
        <v>16956.540000000005</v>
      </c>
      <c r="CB511" s="582">
        <f t="shared" si="1483"/>
        <v>16956.540000000005</v>
      </c>
      <c r="CC511" s="670">
        <f t="shared" si="1484"/>
        <v>16956.540000000005</v>
      </c>
      <c r="CD511" s="988">
        <f t="shared" si="1461"/>
        <v>16956.54</v>
      </c>
      <c r="CE511" s="989">
        <f t="shared" si="1497"/>
        <v>16956.54</v>
      </c>
      <c r="CF511" s="989">
        <f t="shared" si="1497"/>
        <v>16956.54</v>
      </c>
      <c r="CG511" s="989">
        <f t="shared" si="1497"/>
        <v>16956.54</v>
      </c>
      <c r="CH511" s="990">
        <f t="shared" si="1497"/>
        <v>16956.54</v>
      </c>
      <c r="CI511" s="990">
        <f t="shared" si="1497"/>
        <v>16956.54</v>
      </c>
      <c r="CJ511" s="989">
        <f t="shared" si="1497"/>
        <v>16956.54</v>
      </c>
      <c r="CK511" s="989">
        <f t="shared" si="1497"/>
        <v>16956.54</v>
      </c>
      <c r="CL511" s="989">
        <f t="shared" si="1497"/>
        <v>16956.54</v>
      </c>
      <c r="CM511" s="988">
        <f t="shared" si="1497"/>
        <v>16956.54</v>
      </c>
      <c r="CN511" s="533" t="str">
        <f t="shared" si="1440"/>
        <v/>
      </c>
      <c r="CO511" s="534" t="str">
        <f t="shared" si="1441"/>
        <v/>
      </c>
      <c r="CP511" s="535" t="str">
        <f t="shared" si="1442"/>
        <v/>
      </c>
      <c r="CQ511" s="535" t="str">
        <f t="shared" si="1443"/>
        <v/>
      </c>
      <c r="CR511" s="535">
        <f t="shared" si="1444"/>
        <v>16956.54</v>
      </c>
      <c r="CS511" s="535">
        <f t="shared" si="1445"/>
        <v>16956.54</v>
      </c>
      <c r="CT511" s="535">
        <f t="shared" si="1446"/>
        <v>16956.54</v>
      </c>
      <c r="CU511" s="536">
        <f t="shared" si="1447"/>
        <v>16956.54</v>
      </c>
      <c r="CV511" s="536">
        <f t="shared" si="1448"/>
        <v>16956.54</v>
      </c>
      <c r="CW511" s="536">
        <f t="shared" si="1449"/>
        <v>16956.54</v>
      </c>
      <c r="CX511" s="535">
        <f t="shared" si="1450"/>
        <v>16956.54</v>
      </c>
      <c r="CY511" s="535">
        <f t="shared" si="1451"/>
        <v>16956.54</v>
      </c>
      <c r="CZ511" s="535">
        <f t="shared" si="1452"/>
        <v>16956.54</v>
      </c>
      <c r="DA511" s="535">
        <f t="shared" si="1453"/>
        <v>16956.54</v>
      </c>
      <c r="DB511" s="535" t="str">
        <f t="shared" si="1454"/>
        <v/>
      </c>
      <c r="DC511" s="534" t="str">
        <f t="shared" si="1455"/>
        <v/>
      </c>
      <c r="DD511" s="533" t="str">
        <f t="shared" si="1456"/>
        <v/>
      </c>
      <c r="DE511" s="635">
        <f t="shared" si="1457"/>
        <v>10</v>
      </c>
      <c r="DF511" s="95">
        <f t="shared" si="1458"/>
        <v>10</v>
      </c>
      <c r="DG511" s="95">
        <f t="shared" si="1459"/>
        <v>10</v>
      </c>
      <c r="DH511" s="95">
        <f t="shared" si="1460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502">IF(B509="","",B509*B510*B511/B$46/365/$G$1)</f>
        <v/>
      </c>
      <c r="C512" s="615" t="str">
        <f t="shared" si="1502"/>
        <v/>
      </c>
      <c r="D512" s="742" t="str">
        <f t="shared" si="1502"/>
        <v/>
      </c>
      <c r="E512" s="615" t="str">
        <f t="shared" si="1502"/>
        <v/>
      </c>
      <c r="F512" s="742" t="str">
        <f t="shared" si="1502"/>
        <v/>
      </c>
      <c r="G512" s="615" t="str">
        <f t="shared" si="1502"/>
        <v/>
      </c>
      <c r="H512" s="615" t="str">
        <f t="shared" si="1502"/>
        <v/>
      </c>
      <c r="I512" s="742" t="str">
        <f t="shared" si="1502"/>
        <v/>
      </c>
      <c r="J512" s="742" t="str">
        <f t="shared" si="1502"/>
        <v/>
      </c>
      <c r="K512" s="615" t="str">
        <f t="shared" si="1502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503">IF(T509="","",T509*T510*T511/T$46/365/$G$1)</f>
        <v/>
      </c>
      <c r="U512" s="615" t="str">
        <f t="shared" si="1503"/>
        <v/>
      </c>
      <c r="V512" s="615" t="str">
        <f t="shared" si="1503"/>
        <v/>
      </c>
      <c r="W512" s="615" t="str">
        <f t="shared" si="1503"/>
        <v/>
      </c>
      <c r="X512" s="615" t="str">
        <f t="shared" si="1503"/>
        <v/>
      </c>
      <c r="Y512" s="615" t="str">
        <f t="shared" si="1503"/>
        <v/>
      </c>
      <c r="Z512" s="615" t="str">
        <f t="shared" si="1503"/>
        <v/>
      </c>
      <c r="AA512" s="615" t="str">
        <f t="shared" si="1503"/>
        <v/>
      </c>
      <c r="AB512" s="615" t="str">
        <f t="shared" si="1503"/>
        <v/>
      </c>
      <c r="AC512" s="615" t="str">
        <f t="shared" si="1503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504">IF(AL509="","",AL509*AL510*AL511/AL$46/365/$G$1)</f>
        <v/>
      </c>
      <c r="AM512" s="615" t="str">
        <f t="shared" si="1504"/>
        <v/>
      </c>
      <c r="AN512" s="615" t="str">
        <f t="shared" si="1504"/>
        <v/>
      </c>
      <c r="AO512" s="615" t="str">
        <f t="shared" si="1504"/>
        <v/>
      </c>
      <c r="AP512" s="615" t="str">
        <f t="shared" si="1504"/>
        <v/>
      </c>
      <c r="AQ512" s="615" t="str">
        <f t="shared" si="1504"/>
        <v/>
      </c>
      <c r="AR512" s="615" t="str">
        <f t="shared" si="1504"/>
        <v/>
      </c>
      <c r="AS512" s="615" t="str">
        <f t="shared" si="1504"/>
        <v/>
      </c>
      <c r="AT512" s="615" t="str">
        <f t="shared" si="1504"/>
        <v/>
      </c>
      <c r="AU512" s="615" t="str">
        <f t="shared" si="1504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505">IF(BD509="","",BD509*BD510*BD511/BD$46/365/$G$1)</f>
        <v/>
      </c>
      <c r="BE512" s="1202" t="str">
        <f t="shared" si="1505"/>
        <v/>
      </c>
      <c r="BF512" s="1202" t="str">
        <f t="shared" si="1505"/>
        <v/>
      </c>
      <c r="BG512" s="1202" t="str">
        <f t="shared" si="1505"/>
        <v/>
      </c>
      <c r="BH512" s="1202" t="str">
        <f t="shared" si="1505"/>
        <v/>
      </c>
      <c r="BI512" s="1202" t="str">
        <f t="shared" si="1505"/>
        <v/>
      </c>
      <c r="BJ512" s="1202" t="str">
        <f t="shared" si="1505"/>
        <v/>
      </c>
      <c r="BK512" s="1202" t="str">
        <f t="shared" si="1505"/>
        <v/>
      </c>
      <c r="BL512" s="1202" t="str">
        <f t="shared" si="1505"/>
        <v/>
      </c>
      <c r="BM512" s="1202" t="str">
        <f t="shared" si="1505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481"/>
        <v/>
      </c>
      <c r="CA512" s="607" t="str">
        <f t="shared" si="1482"/>
        <v/>
      </c>
      <c r="CB512" s="607" t="str">
        <f t="shared" si="1483"/>
        <v/>
      </c>
      <c r="CC512" s="673" t="str">
        <f t="shared" si="1484"/>
        <v/>
      </c>
      <c r="CD512" s="991" t="str">
        <f t="shared" si="1461"/>
        <v/>
      </c>
      <c r="CE512" s="992" t="str">
        <f t="shared" si="1497"/>
        <v/>
      </c>
      <c r="CF512" s="992" t="str">
        <f t="shared" si="1497"/>
        <v/>
      </c>
      <c r="CG512" s="992" t="str">
        <f t="shared" si="1497"/>
        <v/>
      </c>
      <c r="CH512" s="993" t="str">
        <f t="shared" si="1497"/>
        <v/>
      </c>
      <c r="CI512" s="993" t="str">
        <f t="shared" si="1497"/>
        <v/>
      </c>
      <c r="CJ512" s="992" t="str">
        <f t="shared" si="1497"/>
        <v/>
      </c>
      <c r="CK512" s="992" t="str">
        <f t="shared" si="1497"/>
        <v/>
      </c>
      <c r="CL512" s="992" t="str">
        <f t="shared" si="1497"/>
        <v/>
      </c>
      <c r="CM512" s="991" t="str">
        <f t="shared" si="1497"/>
        <v/>
      </c>
      <c r="CN512" s="521" t="str">
        <f t="shared" si="1440"/>
        <v/>
      </c>
      <c r="CO512" s="522" t="str">
        <f t="shared" si="1441"/>
        <v/>
      </c>
      <c r="CP512" s="523" t="str">
        <f t="shared" si="1442"/>
        <v/>
      </c>
      <c r="CQ512" s="523" t="str">
        <f t="shared" si="1443"/>
        <v/>
      </c>
      <c r="CR512" s="523" t="str">
        <f t="shared" si="1444"/>
        <v/>
      </c>
      <c r="CS512" s="523" t="str">
        <f t="shared" si="1445"/>
        <v/>
      </c>
      <c r="CT512" s="523" t="str">
        <f t="shared" si="1446"/>
        <v/>
      </c>
      <c r="CU512" s="524" t="str">
        <f t="shared" si="1447"/>
        <v/>
      </c>
      <c r="CV512" s="524" t="str">
        <f t="shared" si="1448"/>
        <v/>
      </c>
      <c r="CW512" s="524" t="str">
        <f t="shared" si="1449"/>
        <v/>
      </c>
      <c r="CX512" s="523" t="str">
        <f t="shared" si="1450"/>
        <v/>
      </c>
      <c r="CY512" s="523" t="str">
        <f t="shared" si="1451"/>
        <v/>
      </c>
      <c r="CZ512" s="523" t="str">
        <f t="shared" si="1452"/>
        <v/>
      </c>
      <c r="DA512" s="523" t="str">
        <f t="shared" si="1453"/>
        <v/>
      </c>
      <c r="DB512" s="523" t="str">
        <f t="shared" si="1454"/>
        <v/>
      </c>
      <c r="DC512" s="522" t="str">
        <f t="shared" si="1455"/>
        <v/>
      </c>
      <c r="DD512" s="521" t="str">
        <f t="shared" si="1456"/>
        <v/>
      </c>
      <c r="DE512" s="635">
        <f t="shared" si="1457"/>
        <v>0</v>
      </c>
      <c r="DF512" s="95">
        <f t="shared" si="1458"/>
        <v>0</v>
      </c>
      <c r="DG512" s="95">
        <f t="shared" si="1459"/>
        <v>0</v>
      </c>
      <c r="DH512" s="95">
        <f t="shared" si="1460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481"/>
        <v/>
      </c>
      <c r="CA513" s="582" t="str">
        <f t="shared" si="1482"/>
        <v/>
      </c>
      <c r="CB513" s="582" t="str">
        <f t="shared" si="1483"/>
        <v/>
      </c>
      <c r="CC513" s="670" t="str">
        <f t="shared" si="1484"/>
        <v/>
      </c>
      <c r="CD513" s="988" t="str">
        <f t="shared" si="1461"/>
        <v/>
      </c>
      <c r="CE513" s="989" t="str">
        <f t="shared" ref="CE513:CM513" si="150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506"/>
        <v/>
      </c>
      <c r="CG513" s="989" t="str">
        <f t="shared" si="1506"/>
        <v/>
      </c>
      <c r="CH513" s="990" t="str">
        <f t="shared" si="1506"/>
        <v/>
      </c>
      <c r="CI513" s="990" t="str">
        <f t="shared" si="1506"/>
        <v/>
      </c>
      <c r="CJ513" s="989" t="str">
        <f t="shared" si="1506"/>
        <v/>
      </c>
      <c r="CK513" s="989" t="str">
        <f t="shared" si="1506"/>
        <v/>
      </c>
      <c r="CL513" s="989" t="str">
        <f t="shared" si="1506"/>
        <v/>
      </c>
      <c r="CM513" s="988" t="str">
        <f t="shared" si="1506"/>
        <v/>
      </c>
      <c r="CN513" s="533" t="str">
        <f t="shared" si="1440"/>
        <v/>
      </c>
      <c r="CO513" s="534" t="str">
        <f t="shared" si="1441"/>
        <v/>
      </c>
      <c r="CP513" s="535" t="str">
        <f t="shared" si="1442"/>
        <v/>
      </c>
      <c r="CQ513" s="535" t="str">
        <f t="shared" si="1443"/>
        <v/>
      </c>
      <c r="CR513" s="535" t="str">
        <f t="shared" si="1444"/>
        <v/>
      </c>
      <c r="CS513" s="535" t="str">
        <f t="shared" si="1445"/>
        <v/>
      </c>
      <c r="CT513" s="535" t="str">
        <f t="shared" si="1446"/>
        <v/>
      </c>
      <c r="CU513" s="536" t="str">
        <f t="shared" si="1447"/>
        <v/>
      </c>
      <c r="CV513" s="536" t="str">
        <f t="shared" si="1448"/>
        <v/>
      </c>
      <c r="CW513" s="536" t="str">
        <f t="shared" si="1449"/>
        <v/>
      </c>
      <c r="CX513" s="535" t="str">
        <f t="shared" si="1450"/>
        <v/>
      </c>
      <c r="CY513" s="535" t="str">
        <f t="shared" si="1451"/>
        <v/>
      </c>
      <c r="CZ513" s="535" t="str">
        <f t="shared" si="1452"/>
        <v/>
      </c>
      <c r="DA513" s="535" t="str">
        <f t="shared" si="1453"/>
        <v/>
      </c>
      <c r="DB513" s="535" t="str">
        <f t="shared" si="1454"/>
        <v/>
      </c>
      <c r="DC513" s="534" t="str">
        <f t="shared" si="1455"/>
        <v/>
      </c>
      <c r="DD513" s="533" t="str">
        <f t="shared" si="1456"/>
        <v/>
      </c>
      <c r="DE513" s="635">
        <f t="shared" si="1457"/>
        <v>0</v>
      </c>
      <c r="DF513" s="95">
        <f t="shared" si="1458"/>
        <v>0</v>
      </c>
      <c r="DG513" s="95">
        <f t="shared" si="1459"/>
        <v>0</v>
      </c>
      <c r="DH513" s="95">
        <f t="shared" si="1460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507">IF(B513="","",B509*B510*B513)</f>
        <v/>
      </c>
      <c r="C514" s="739" t="str">
        <f t="shared" si="1507"/>
        <v/>
      </c>
      <c r="D514" s="739" t="str">
        <f t="shared" si="1507"/>
        <v/>
      </c>
      <c r="E514" s="739" t="str">
        <f t="shared" si="1507"/>
        <v/>
      </c>
      <c r="F514" s="739" t="str">
        <f t="shared" si="1507"/>
        <v/>
      </c>
      <c r="G514" s="739" t="str">
        <f t="shared" si="1507"/>
        <v/>
      </c>
      <c r="H514" s="739" t="str">
        <f t="shared" si="1507"/>
        <v/>
      </c>
      <c r="I514" s="739" t="str">
        <f t="shared" si="1507"/>
        <v/>
      </c>
      <c r="J514" s="739" t="str">
        <f t="shared" si="1507"/>
        <v/>
      </c>
      <c r="K514" s="739" t="str">
        <f t="shared" si="1507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508">IF(T513="","",T509*T510*T513)</f>
        <v/>
      </c>
      <c r="U514" s="739" t="str">
        <f t="shared" si="1508"/>
        <v/>
      </c>
      <c r="V514" s="739" t="str">
        <f t="shared" si="1508"/>
        <v/>
      </c>
      <c r="W514" s="739" t="str">
        <f t="shared" si="1508"/>
        <v/>
      </c>
      <c r="X514" s="739" t="str">
        <f t="shared" si="1508"/>
        <v/>
      </c>
      <c r="Y514" s="739" t="str">
        <f t="shared" si="1508"/>
        <v/>
      </c>
      <c r="Z514" s="739" t="str">
        <f t="shared" si="1508"/>
        <v/>
      </c>
      <c r="AA514" s="739" t="str">
        <f t="shared" si="1508"/>
        <v/>
      </c>
      <c r="AB514" s="739" t="str">
        <f t="shared" si="1508"/>
        <v/>
      </c>
      <c r="AC514" s="739" t="str">
        <f t="shared" si="1508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509">IF(AL513="","",AL509*AL510*AL513)</f>
        <v/>
      </c>
      <c r="AM514" s="739" t="str">
        <f t="shared" si="1509"/>
        <v/>
      </c>
      <c r="AN514" s="739" t="str">
        <f t="shared" si="1509"/>
        <v/>
      </c>
      <c r="AO514" s="739" t="str">
        <f t="shared" si="1509"/>
        <v/>
      </c>
      <c r="AP514" s="739" t="str">
        <f t="shared" si="1509"/>
        <v/>
      </c>
      <c r="AQ514" s="739" t="str">
        <f t="shared" si="1509"/>
        <v/>
      </c>
      <c r="AR514" s="739" t="str">
        <f t="shared" si="1509"/>
        <v/>
      </c>
      <c r="AS514" s="739" t="str">
        <f t="shared" si="1509"/>
        <v/>
      </c>
      <c r="AT514" s="739" t="str">
        <f t="shared" si="1509"/>
        <v/>
      </c>
      <c r="AU514" s="739" t="str">
        <f t="shared" si="1509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510">IF(BD513="","",BD509*BD510*BD513)</f>
        <v/>
      </c>
      <c r="BE514" s="1237" t="str">
        <f t="shared" si="1510"/>
        <v/>
      </c>
      <c r="BF514" s="1237" t="str">
        <f t="shared" si="1510"/>
        <v/>
      </c>
      <c r="BG514" s="1237" t="str">
        <f t="shared" si="1510"/>
        <v/>
      </c>
      <c r="BH514" s="1237" t="str">
        <f t="shared" si="1510"/>
        <v/>
      </c>
      <c r="BI514" s="1237" t="str">
        <f t="shared" si="1510"/>
        <v/>
      </c>
      <c r="BJ514" s="1237" t="str">
        <f t="shared" si="1510"/>
        <v/>
      </c>
      <c r="BK514" s="1237" t="str">
        <f t="shared" si="1510"/>
        <v/>
      </c>
      <c r="BL514" s="1237" t="str">
        <f t="shared" si="1510"/>
        <v/>
      </c>
      <c r="BM514" s="1237" t="str">
        <f t="shared" si="1510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481"/>
        <v/>
      </c>
      <c r="CA514" s="582" t="str">
        <f t="shared" si="1482"/>
        <v/>
      </c>
      <c r="CB514" s="582" t="str">
        <f t="shared" si="1483"/>
        <v/>
      </c>
      <c r="CC514" s="670" t="str">
        <f t="shared" si="1484"/>
        <v/>
      </c>
      <c r="CD514" s="988" t="str">
        <f t="shared" si="1461"/>
        <v/>
      </c>
      <c r="CE514" s="989" t="str">
        <f t="shared" ref="CE514:CM518" si="151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511"/>
        <v/>
      </c>
      <c r="CG514" s="989" t="str">
        <f t="shared" si="1511"/>
        <v/>
      </c>
      <c r="CH514" s="990" t="str">
        <f t="shared" si="1511"/>
        <v/>
      </c>
      <c r="CI514" s="990" t="str">
        <f t="shared" si="1511"/>
        <v/>
      </c>
      <c r="CJ514" s="989" t="str">
        <f t="shared" si="1511"/>
        <v/>
      </c>
      <c r="CK514" s="989" t="str">
        <f t="shared" si="1511"/>
        <v/>
      </c>
      <c r="CL514" s="989" t="str">
        <f t="shared" si="1511"/>
        <v/>
      </c>
      <c r="CM514" s="988" t="str">
        <f t="shared" si="1511"/>
        <v/>
      </c>
      <c r="CN514" s="533" t="str">
        <f t="shared" si="1440"/>
        <v/>
      </c>
      <c r="CO514" s="534" t="str">
        <f t="shared" si="1441"/>
        <v/>
      </c>
      <c r="CP514" s="535" t="str">
        <f t="shared" si="1442"/>
        <v/>
      </c>
      <c r="CQ514" s="535" t="str">
        <f t="shared" si="1443"/>
        <v/>
      </c>
      <c r="CR514" s="535" t="str">
        <f t="shared" si="1444"/>
        <v/>
      </c>
      <c r="CS514" s="535" t="str">
        <f t="shared" si="1445"/>
        <v/>
      </c>
      <c r="CT514" s="535" t="str">
        <f t="shared" si="1446"/>
        <v/>
      </c>
      <c r="CU514" s="536" t="str">
        <f t="shared" si="1447"/>
        <v/>
      </c>
      <c r="CV514" s="536" t="str">
        <f t="shared" si="1448"/>
        <v/>
      </c>
      <c r="CW514" s="536" t="str">
        <f t="shared" si="1449"/>
        <v/>
      </c>
      <c r="CX514" s="535" t="str">
        <f t="shared" si="1450"/>
        <v/>
      </c>
      <c r="CY514" s="535" t="str">
        <f t="shared" si="1451"/>
        <v/>
      </c>
      <c r="CZ514" s="535" t="str">
        <f t="shared" si="1452"/>
        <v/>
      </c>
      <c r="DA514" s="535" t="str">
        <f t="shared" si="1453"/>
        <v/>
      </c>
      <c r="DB514" s="535" t="str">
        <f t="shared" si="1454"/>
        <v/>
      </c>
      <c r="DC514" s="534" t="str">
        <f t="shared" si="1455"/>
        <v/>
      </c>
      <c r="DD514" s="533" t="str">
        <f t="shared" si="1456"/>
        <v/>
      </c>
      <c r="DE514" s="635">
        <f t="shared" si="1457"/>
        <v>0</v>
      </c>
      <c r="DF514" s="95">
        <f t="shared" si="1458"/>
        <v>0</v>
      </c>
      <c r="DG514" s="95">
        <f t="shared" si="1459"/>
        <v>0</v>
      </c>
      <c r="DH514" s="95">
        <f t="shared" si="1460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481"/>
        <v/>
      </c>
      <c r="CA515" s="582" t="str">
        <f t="shared" si="1482"/>
        <v/>
      </c>
      <c r="CB515" s="582" t="str">
        <f t="shared" si="1483"/>
        <v/>
      </c>
      <c r="CC515" s="670" t="str">
        <f t="shared" si="1484"/>
        <v/>
      </c>
      <c r="CD515" s="988" t="str">
        <f t="shared" si="1461"/>
        <v/>
      </c>
      <c r="CE515" s="989" t="str">
        <f t="shared" si="1511"/>
        <v/>
      </c>
      <c r="CF515" s="989" t="str">
        <f t="shared" si="1511"/>
        <v/>
      </c>
      <c r="CG515" s="989" t="str">
        <f t="shared" si="1511"/>
        <v/>
      </c>
      <c r="CH515" s="990" t="str">
        <f t="shared" si="1511"/>
        <v/>
      </c>
      <c r="CI515" s="990" t="str">
        <f t="shared" si="1511"/>
        <v/>
      </c>
      <c r="CJ515" s="989" t="str">
        <f t="shared" si="1511"/>
        <v/>
      </c>
      <c r="CK515" s="989" t="str">
        <f t="shared" si="1511"/>
        <v/>
      </c>
      <c r="CL515" s="989" t="str">
        <f t="shared" si="1511"/>
        <v/>
      </c>
      <c r="CM515" s="988" t="str">
        <f t="shared" si="1511"/>
        <v/>
      </c>
      <c r="CN515" s="533" t="str">
        <f t="shared" si="1440"/>
        <v/>
      </c>
      <c r="CO515" s="534" t="str">
        <f t="shared" si="1441"/>
        <v/>
      </c>
      <c r="CP515" s="535" t="str">
        <f t="shared" si="1442"/>
        <v/>
      </c>
      <c r="CQ515" s="535" t="str">
        <f t="shared" si="1443"/>
        <v/>
      </c>
      <c r="CR515" s="535" t="str">
        <f t="shared" si="1444"/>
        <v/>
      </c>
      <c r="CS515" s="535" t="str">
        <f t="shared" si="1445"/>
        <v/>
      </c>
      <c r="CT515" s="535" t="str">
        <f t="shared" si="1446"/>
        <v/>
      </c>
      <c r="CU515" s="536" t="str">
        <f t="shared" si="1447"/>
        <v/>
      </c>
      <c r="CV515" s="536" t="str">
        <f t="shared" si="1448"/>
        <v/>
      </c>
      <c r="CW515" s="536" t="str">
        <f t="shared" si="1449"/>
        <v/>
      </c>
      <c r="CX515" s="535" t="str">
        <f t="shared" si="1450"/>
        <v/>
      </c>
      <c r="CY515" s="535" t="str">
        <f t="shared" si="1451"/>
        <v/>
      </c>
      <c r="CZ515" s="535" t="str">
        <f t="shared" si="1452"/>
        <v/>
      </c>
      <c r="DA515" s="535" t="str">
        <f t="shared" si="1453"/>
        <v/>
      </c>
      <c r="DB515" s="535" t="str">
        <f t="shared" si="1454"/>
        <v/>
      </c>
      <c r="DC515" s="534" t="str">
        <f t="shared" si="1455"/>
        <v/>
      </c>
      <c r="DD515" s="533" t="str">
        <f t="shared" si="1456"/>
        <v/>
      </c>
      <c r="DE515" s="635">
        <f t="shared" si="1457"/>
        <v>0</v>
      </c>
      <c r="DF515" s="95">
        <f t="shared" si="1458"/>
        <v>0</v>
      </c>
      <c r="DG515" s="95">
        <f t="shared" si="1459"/>
        <v>0</v>
      </c>
      <c r="DH515" s="95">
        <f t="shared" si="1460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481"/>
        <v/>
      </c>
      <c r="CA516" s="582" t="str">
        <f t="shared" si="1482"/>
        <v/>
      </c>
      <c r="CB516" s="582" t="str">
        <f t="shared" si="1483"/>
        <v/>
      </c>
      <c r="CC516" s="670" t="str">
        <f t="shared" si="1484"/>
        <v/>
      </c>
      <c r="CD516" s="988" t="str">
        <f t="shared" si="1461"/>
        <v/>
      </c>
      <c r="CE516" s="989" t="str">
        <f t="shared" si="1511"/>
        <v/>
      </c>
      <c r="CF516" s="989" t="str">
        <f t="shared" si="1511"/>
        <v/>
      </c>
      <c r="CG516" s="989" t="str">
        <f t="shared" si="1511"/>
        <v/>
      </c>
      <c r="CH516" s="990" t="str">
        <f t="shared" si="1511"/>
        <v/>
      </c>
      <c r="CI516" s="990" t="str">
        <f t="shared" si="1511"/>
        <v/>
      </c>
      <c r="CJ516" s="989" t="str">
        <f t="shared" si="1511"/>
        <v/>
      </c>
      <c r="CK516" s="989" t="str">
        <f t="shared" si="1511"/>
        <v/>
      </c>
      <c r="CL516" s="989" t="str">
        <f t="shared" si="1511"/>
        <v/>
      </c>
      <c r="CM516" s="988" t="str">
        <f t="shared" si="1511"/>
        <v/>
      </c>
      <c r="CN516" s="533" t="str">
        <f t="shared" si="1440"/>
        <v/>
      </c>
      <c r="CO516" s="534" t="str">
        <f t="shared" si="1441"/>
        <v/>
      </c>
      <c r="CP516" s="535" t="str">
        <f t="shared" si="1442"/>
        <v/>
      </c>
      <c r="CQ516" s="535" t="str">
        <f t="shared" si="1443"/>
        <v/>
      </c>
      <c r="CR516" s="535" t="str">
        <f t="shared" si="1444"/>
        <v/>
      </c>
      <c r="CS516" s="535" t="str">
        <f t="shared" si="1445"/>
        <v/>
      </c>
      <c r="CT516" s="535" t="str">
        <f t="shared" si="1446"/>
        <v/>
      </c>
      <c r="CU516" s="536" t="str">
        <f t="shared" si="1447"/>
        <v/>
      </c>
      <c r="CV516" s="536" t="str">
        <f t="shared" si="1448"/>
        <v/>
      </c>
      <c r="CW516" s="536" t="str">
        <f t="shared" si="1449"/>
        <v/>
      </c>
      <c r="CX516" s="535" t="str">
        <f t="shared" si="1450"/>
        <v/>
      </c>
      <c r="CY516" s="535" t="str">
        <f t="shared" si="1451"/>
        <v/>
      </c>
      <c r="CZ516" s="535" t="str">
        <f t="shared" si="1452"/>
        <v/>
      </c>
      <c r="DA516" s="535" t="str">
        <f t="shared" si="1453"/>
        <v/>
      </c>
      <c r="DB516" s="535" t="str">
        <f t="shared" si="1454"/>
        <v/>
      </c>
      <c r="DC516" s="534" t="str">
        <f t="shared" si="1455"/>
        <v/>
      </c>
      <c r="DD516" s="533" t="str">
        <f t="shared" si="1456"/>
        <v/>
      </c>
      <c r="DE516" s="635">
        <f t="shared" si="1457"/>
        <v>0</v>
      </c>
      <c r="DF516" s="95">
        <f t="shared" si="1458"/>
        <v>0</v>
      </c>
      <c r="DG516" s="95">
        <f t="shared" si="1459"/>
        <v>0</v>
      </c>
      <c r="DH516" s="95">
        <f t="shared" si="1460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512">9000*$K$1</f>
        <v>37681.199999999997</v>
      </c>
      <c r="D517" s="740">
        <f t="shared" si="1512"/>
        <v>37681.199999999997</v>
      </c>
      <c r="E517" s="740">
        <f t="shared" si="1512"/>
        <v>37681.199999999997</v>
      </c>
      <c r="F517" s="740">
        <f t="shared" si="1512"/>
        <v>37681.199999999997</v>
      </c>
      <c r="G517" s="740">
        <f t="shared" si="1512"/>
        <v>37681.199999999997</v>
      </c>
      <c r="H517" s="740">
        <f t="shared" si="1512"/>
        <v>37681.199999999997</v>
      </c>
      <c r="I517" s="740">
        <f t="shared" si="1512"/>
        <v>37681.199999999997</v>
      </c>
      <c r="J517" s="740">
        <f t="shared" si="1512"/>
        <v>37681.199999999997</v>
      </c>
      <c r="K517" s="740">
        <f t="shared" si="1512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513">9000*$K$1</f>
        <v>37681.199999999997</v>
      </c>
      <c r="V517" s="740">
        <f t="shared" si="1513"/>
        <v>37681.199999999997</v>
      </c>
      <c r="W517" s="740">
        <f t="shared" si="1513"/>
        <v>37681.199999999997</v>
      </c>
      <c r="X517" s="740">
        <v>37681</v>
      </c>
      <c r="Y517" s="740">
        <f t="shared" si="1513"/>
        <v>37681.199999999997</v>
      </c>
      <c r="Z517" s="740">
        <f t="shared" si="1513"/>
        <v>37681.199999999997</v>
      </c>
      <c r="AA517" s="740">
        <f t="shared" si="1513"/>
        <v>37681.199999999997</v>
      </c>
      <c r="AB517" s="740">
        <f t="shared" si="1513"/>
        <v>37681.199999999997</v>
      </c>
      <c r="AC517" s="740">
        <f t="shared" si="1513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514">9000*$K$1</f>
        <v>37681.199999999997</v>
      </c>
      <c r="AN517" s="740">
        <f t="shared" si="1514"/>
        <v>37681.199999999997</v>
      </c>
      <c r="AO517" s="740">
        <f t="shared" si="1514"/>
        <v>37681.199999999997</v>
      </c>
      <c r="AP517" s="740">
        <f t="shared" si="1514"/>
        <v>37681.199999999997</v>
      </c>
      <c r="AQ517" s="740">
        <f t="shared" si="1514"/>
        <v>37681.199999999997</v>
      </c>
      <c r="AR517" s="740">
        <f t="shared" si="1514"/>
        <v>37681.199999999997</v>
      </c>
      <c r="AS517" s="740">
        <f t="shared" si="1514"/>
        <v>37681.199999999997</v>
      </c>
      <c r="AT517" s="740">
        <f t="shared" si="1514"/>
        <v>37681.199999999997</v>
      </c>
      <c r="AU517" s="740">
        <f t="shared" si="1514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515">9000*$K$1</f>
        <v>37681.199999999997</v>
      </c>
      <c r="BF517" s="1236">
        <f t="shared" si="1515"/>
        <v>37681.199999999997</v>
      </c>
      <c r="BG517" s="1236">
        <f t="shared" si="1515"/>
        <v>37681.199999999997</v>
      </c>
      <c r="BH517" s="1236">
        <f t="shared" si="1515"/>
        <v>37681.199999999997</v>
      </c>
      <c r="BI517" s="1236">
        <f t="shared" si="1515"/>
        <v>37681.199999999997</v>
      </c>
      <c r="BJ517" s="1236">
        <f t="shared" si="1515"/>
        <v>37681.199999999997</v>
      </c>
      <c r="BK517" s="1236">
        <f t="shared" si="1515"/>
        <v>37681.199999999997</v>
      </c>
      <c r="BL517" s="1236">
        <f t="shared" si="1515"/>
        <v>37681.199999999997</v>
      </c>
      <c r="BM517" s="1236">
        <f t="shared" si="1515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>9000*$K$1</f>
        <v>37681.199999999997</v>
      </c>
      <c r="BW517" s="740">
        <f>9000*$K$1</f>
        <v>37681.199999999997</v>
      </c>
      <c r="BX517" s="740">
        <f>9000*$K$1</f>
        <v>37681.199999999997</v>
      </c>
      <c r="BY517" s="740">
        <f>9000*$K$1</f>
        <v>37681.199999999997</v>
      </c>
      <c r="BZ517" s="582">
        <f t="shared" si="1481"/>
        <v>37681.200000000004</v>
      </c>
      <c r="CA517" s="582">
        <f t="shared" si="1482"/>
        <v>37681.200000000004</v>
      </c>
      <c r="CB517" s="582">
        <f t="shared" si="1483"/>
        <v>37681.200000000004</v>
      </c>
      <c r="CC517" s="670">
        <f t="shared" si="1484"/>
        <v>37681.200000000004</v>
      </c>
      <c r="CD517" s="988">
        <f t="shared" si="1461"/>
        <v>37681.199999999997</v>
      </c>
      <c r="CE517" s="989">
        <f t="shared" si="1511"/>
        <v>37681.199999999997</v>
      </c>
      <c r="CF517" s="989">
        <f t="shared" si="1511"/>
        <v>37681.199999999997</v>
      </c>
      <c r="CG517" s="989">
        <f t="shared" si="1511"/>
        <v>37681.199999999997</v>
      </c>
      <c r="CH517" s="990">
        <f t="shared" si="1511"/>
        <v>37681.199999999997</v>
      </c>
      <c r="CI517" s="990">
        <f t="shared" si="1511"/>
        <v>37681.199999999997</v>
      </c>
      <c r="CJ517" s="989">
        <f t="shared" si="1511"/>
        <v>37681.199999999997</v>
      </c>
      <c r="CK517" s="989">
        <f t="shared" si="1511"/>
        <v>37681.199999999997</v>
      </c>
      <c r="CL517" s="989">
        <f t="shared" si="1511"/>
        <v>37681.199999999997</v>
      </c>
      <c r="CM517" s="988">
        <f t="shared" si="1511"/>
        <v>37681.199999999997</v>
      </c>
      <c r="CN517" s="533" t="str">
        <f t="shared" si="1440"/>
        <v/>
      </c>
      <c r="CO517" s="534" t="str">
        <f t="shared" si="1441"/>
        <v/>
      </c>
      <c r="CP517" s="535" t="str">
        <f t="shared" si="1442"/>
        <v/>
      </c>
      <c r="CQ517" s="535" t="str">
        <f t="shared" si="1443"/>
        <v/>
      </c>
      <c r="CR517" s="535">
        <f t="shared" si="1444"/>
        <v>37681.199999999997</v>
      </c>
      <c r="CS517" s="535">
        <f t="shared" si="1445"/>
        <v>37681.199999999997</v>
      </c>
      <c r="CT517" s="535">
        <f t="shared" si="1446"/>
        <v>37681.199999999997</v>
      </c>
      <c r="CU517" s="536">
        <f t="shared" si="1447"/>
        <v>37681.199999999997</v>
      </c>
      <c r="CV517" s="536">
        <f t="shared" si="1448"/>
        <v>37681.199999999997</v>
      </c>
      <c r="CW517" s="536">
        <f t="shared" si="1449"/>
        <v>37681.199999999997</v>
      </c>
      <c r="CX517" s="535">
        <f t="shared" si="1450"/>
        <v>37681.199999999997</v>
      </c>
      <c r="CY517" s="535">
        <f t="shared" si="1451"/>
        <v>37681.199999999997</v>
      </c>
      <c r="CZ517" s="535">
        <f t="shared" si="1452"/>
        <v>37681.199999999997</v>
      </c>
      <c r="DA517" s="535">
        <f t="shared" si="1453"/>
        <v>37681.199999999997</v>
      </c>
      <c r="DB517" s="535" t="str">
        <f t="shared" si="1454"/>
        <v/>
      </c>
      <c r="DC517" s="534" t="str">
        <f t="shared" si="1455"/>
        <v/>
      </c>
      <c r="DD517" s="533" t="str">
        <f t="shared" si="1456"/>
        <v/>
      </c>
      <c r="DE517" s="635">
        <f t="shared" si="1457"/>
        <v>10</v>
      </c>
      <c r="DF517" s="95">
        <f t="shared" si="1458"/>
        <v>10</v>
      </c>
      <c r="DG517" s="95">
        <f t="shared" si="1459"/>
        <v>10</v>
      </c>
      <c r="DH517" s="95">
        <f t="shared" si="1460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516">IF(B515="","",B515*B516*B517/B$46/365/$G$1)</f>
        <v/>
      </c>
      <c r="C518" s="615" t="str">
        <f t="shared" si="1516"/>
        <v/>
      </c>
      <c r="D518" s="742" t="str">
        <f t="shared" si="1516"/>
        <v/>
      </c>
      <c r="E518" s="615" t="str">
        <f t="shared" si="1516"/>
        <v/>
      </c>
      <c r="F518" s="742" t="str">
        <f t="shared" si="1516"/>
        <v/>
      </c>
      <c r="G518" s="615" t="str">
        <f t="shared" si="1516"/>
        <v/>
      </c>
      <c r="H518" s="742" t="str">
        <f t="shared" si="1516"/>
        <v/>
      </c>
      <c r="I518" s="615" t="str">
        <f t="shared" si="1516"/>
        <v/>
      </c>
      <c r="J518" s="742" t="str">
        <f t="shared" si="1516"/>
        <v/>
      </c>
      <c r="K518" s="615" t="str">
        <f t="shared" si="1516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517">IF(T515="","",T515*T516*T517/T$46/365/$G$1)</f>
        <v/>
      </c>
      <c r="U518" s="615" t="str">
        <f t="shared" si="1517"/>
        <v/>
      </c>
      <c r="V518" s="742" t="str">
        <f t="shared" si="1517"/>
        <v/>
      </c>
      <c r="W518" s="615" t="str">
        <f t="shared" si="1517"/>
        <v/>
      </c>
      <c r="X518" s="742" t="str">
        <f t="shared" si="1517"/>
        <v/>
      </c>
      <c r="Y518" s="615" t="str">
        <f t="shared" si="1517"/>
        <v/>
      </c>
      <c r="Z518" s="742" t="str">
        <f t="shared" si="1517"/>
        <v/>
      </c>
      <c r="AA518" s="615" t="str">
        <f t="shared" si="1517"/>
        <v/>
      </c>
      <c r="AB518" s="742" t="str">
        <f t="shared" si="1517"/>
        <v/>
      </c>
      <c r="AC518" s="615" t="str">
        <f t="shared" si="1517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518">IF(AL515="","",AL515*AL516*AL517/AL$46/365/$G$1)</f>
        <v/>
      </c>
      <c r="AM518" s="615" t="str">
        <f t="shared" si="1518"/>
        <v/>
      </c>
      <c r="AN518" s="742" t="str">
        <f t="shared" si="1518"/>
        <v/>
      </c>
      <c r="AO518" s="615" t="str">
        <f t="shared" si="1518"/>
        <v/>
      </c>
      <c r="AP518" s="742" t="str">
        <f t="shared" si="1518"/>
        <v/>
      </c>
      <c r="AQ518" s="615" t="str">
        <f t="shared" si="1518"/>
        <v/>
      </c>
      <c r="AR518" s="742" t="str">
        <f t="shared" si="1518"/>
        <v/>
      </c>
      <c r="AS518" s="615" t="str">
        <f t="shared" si="1518"/>
        <v/>
      </c>
      <c r="AT518" s="742" t="str">
        <f t="shared" si="1518"/>
        <v/>
      </c>
      <c r="AU518" s="615" t="str">
        <f t="shared" si="1518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519">IF(BD515="","",BD515*BD516*BD517/BD$46/365/$G$1)</f>
        <v/>
      </c>
      <c r="BE518" s="1241" t="str">
        <f t="shared" si="1519"/>
        <v/>
      </c>
      <c r="BF518" s="1202" t="str">
        <f t="shared" si="1519"/>
        <v/>
      </c>
      <c r="BG518" s="1241" t="str">
        <f t="shared" si="1519"/>
        <v/>
      </c>
      <c r="BH518" s="1202" t="str">
        <f t="shared" si="1519"/>
        <v/>
      </c>
      <c r="BI518" s="1241" t="str">
        <f t="shared" si="1519"/>
        <v/>
      </c>
      <c r="BJ518" s="1202" t="str">
        <f t="shared" si="1519"/>
        <v/>
      </c>
      <c r="BK518" s="1241" t="str">
        <f t="shared" si="1519"/>
        <v/>
      </c>
      <c r="BL518" s="1202" t="str">
        <f t="shared" si="1519"/>
        <v/>
      </c>
      <c r="BM518" s="1241" t="str">
        <f t="shared" si="1519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481"/>
        <v/>
      </c>
      <c r="CA518" s="607" t="str">
        <f t="shared" si="1482"/>
        <v/>
      </c>
      <c r="CB518" s="607" t="str">
        <f t="shared" si="1483"/>
        <v/>
      </c>
      <c r="CC518" s="607" t="str">
        <f t="shared" si="1484"/>
        <v/>
      </c>
      <c r="CD518" s="991" t="str">
        <f t="shared" si="1461"/>
        <v/>
      </c>
      <c r="CE518" s="992" t="str">
        <f t="shared" si="1511"/>
        <v/>
      </c>
      <c r="CF518" s="992" t="str">
        <f t="shared" si="1511"/>
        <v/>
      </c>
      <c r="CG518" s="992" t="str">
        <f t="shared" si="1511"/>
        <v/>
      </c>
      <c r="CH518" s="993" t="str">
        <f t="shared" si="1511"/>
        <v/>
      </c>
      <c r="CI518" s="993" t="str">
        <f t="shared" si="1511"/>
        <v/>
      </c>
      <c r="CJ518" s="992" t="str">
        <f t="shared" si="1511"/>
        <v/>
      </c>
      <c r="CK518" s="992" t="str">
        <f t="shared" si="1511"/>
        <v/>
      </c>
      <c r="CL518" s="992" t="str">
        <f t="shared" si="1511"/>
        <v/>
      </c>
      <c r="CM518" s="991" t="str">
        <f t="shared" si="1511"/>
        <v/>
      </c>
      <c r="CN518" s="521" t="str">
        <f t="shared" si="1440"/>
        <v/>
      </c>
      <c r="CO518" s="522" t="str">
        <f t="shared" si="1441"/>
        <v/>
      </c>
      <c r="CP518" s="523" t="str">
        <f t="shared" si="1442"/>
        <v/>
      </c>
      <c r="CQ518" s="523" t="str">
        <f t="shared" si="1443"/>
        <v/>
      </c>
      <c r="CR518" s="523" t="str">
        <f t="shared" si="1444"/>
        <v/>
      </c>
      <c r="CS518" s="523" t="str">
        <f t="shared" si="1445"/>
        <v/>
      </c>
      <c r="CT518" s="523" t="str">
        <f t="shared" si="1446"/>
        <v/>
      </c>
      <c r="CU518" s="524" t="str">
        <f t="shared" si="1447"/>
        <v/>
      </c>
      <c r="CV518" s="524" t="str">
        <f t="shared" si="1448"/>
        <v/>
      </c>
      <c r="CW518" s="524" t="str">
        <f t="shared" si="1449"/>
        <v/>
      </c>
      <c r="CX518" s="523" t="str">
        <f t="shared" si="1450"/>
        <v/>
      </c>
      <c r="CY518" s="523" t="str">
        <f t="shared" si="1451"/>
        <v/>
      </c>
      <c r="CZ518" s="523" t="str">
        <f t="shared" si="1452"/>
        <v/>
      </c>
      <c r="DA518" s="523" t="str">
        <f t="shared" si="1453"/>
        <v/>
      </c>
      <c r="DB518" s="523" t="str">
        <f t="shared" si="1454"/>
        <v/>
      </c>
      <c r="DC518" s="522" t="str">
        <f t="shared" si="1455"/>
        <v/>
      </c>
      <c r="DD518" s="521" t="str">
        <f t="shared" si="1456"/>
        <v/>
      </c>
      <c r="DE518" s="635">
        <f t="shared" si="1457"/>
        <v>0</v>
      </c>
      <c r="DF518" s="95">
        <f t="shared" si="1458"/>
        <v>0</v>
      </c>
      <c r="DG518" s="95">
        <f t="shared" si="1459"/>
        <v>0</v>
      </c>
      <c r="DH518" s="95">
        <f t="shared" si="1460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481"/>
        <v/>
      </c>
      <c r="CA519" s="582" t="str">
        <f t="shared" si="1482"/>
        <v/>
      </c>
      <c r="CB519" s="582" t="str">
        <f t="shared" si="1483"/>
        <v/>
      </c>
      <c r="CC519" s="670" t="str">
        <f t="shared" si="1484"/>
        <v/>
      </c>
      <c r="CD519" s="988" t="str">
        <f t="shared" si="1461"/>
        <v/>
      </c>
      <c r="CE519" s="989" t="str">
        <f t="shared" ref="CE519:CM519" si="152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520"/>
        <v/>
      </c>
      <c r="CG519" s="989" t="str">
        <f t="shared" si="1520"/>
        <v/>
      </c>
      <c r="CH519" s="990" t="str">
        <f t="shared" si="1520"/>
        <v/>
      </c>
      <c r="CI519" s="990" t="str">
        <f t="shared" si="1520"/>
        <v/>
      </c>
      <c r="CJ519" s="989" t="str">
        <f t="shared" si="1520"/>
        <v/>
      </c>
      <c r="CK519" s="989" t="str">
        <f t="shared" si="1520"/>
        <v/>
      </c>
      <c r="CL519" s="989" t="str">
        <f t="shared" si="1520"/>
        <v/>
      </c>
      <c r="CM519" s="988" t="str">
        <f t="shared" si="1520"/>
        <v/>
      </c>
      <c r="CN519" s="533" t="str">
        <f t="shared" si="1440"/>
        <v/>
      </c>
      <c r="CO519" s="534" t="str">
        <f t="shared" si="1441"/>
        <v/>
      </c>
      <c r="CP519" s="535" t="str">
        <f t="shared" si="1442"/>
        <v/>
      </c>
      <c r="CQ519" s="535" t="str">
        <f t="shared" si="1443"/>
        <v/>
      </c>
      <c r="CR519" s="535" t="str">
        <f t="shared" si="1444"/>
        <v/>
      </c>
      <c r="CS519" s="535" t="str">
        <f t="shared" si="1445"/>
        <v/>
      </c>
      <c r="CT519" s="535" t="str">
        <f t="shared" si="1446"/>
        <v/>
      </c>
      <c r="CU519" s="536" t="str">
        <f t="shared" si="1447"/>
        <v/>
      </c>
      <c r="CV519" s="536" t="str">
        <f t="shared" si="1448"/>
        <v/>
      </c>
      <c r="CW519" s="536" t="str">
        <f t="shared" si="1449"/>
        <v/>
      </c>
      <c r="CX519" s="535" t="str">
        <f t="shared" si="1450"/>
        <v/>
      </c>
      <c r="CY519" s="535" t="str">
        <f t="shared" si="1451"/>
        <v/>
      </c>
      <c r="CZ519" s="535" t="str">
        <f t="shared" si="1452"/>
        <v/>
      </c>
      <c r="DA519" s="535" t="str">
        <f t="shared" si="1453"/>
        <v/>
      </c>
      <c r="DB519" s="535" t="str">
        <f t="shared" si="1454"/>
        <v/>
      </c>
      <c r="DC519" s="534" t="str">
        <f t="shared" si="1455"/>
        <v/>
      </c>
      <c r="DD519" s="533" t="str">
        <f t="shared" si="1456"/>
        <v/>
      </c>
      <c r="DE519" s="635">
        <f t="shared" si="1457"/>
        <v>0</v>
      </c>
      <c r="DF519" s="95">
        <f t="shared" si="1458"/>
        <v>0</v>
      </c>
      <c r="DG519" s="95">
        <f t="shared" si="1459"/>
        <v>0</v>
      </c>
      <c r="DH519" s="95">
        <f t="shared" si="1460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521">IF(B519="","",B515*B516*B519)</f>
        <v/>
      </c>
      <c r="C520" s="739" t="str">
        <f t="shared" si="1521"/>
        <v/>
      </c>
      <c r="D520" s="739" t="str">
        <f t="shared" si="1521"/>
        <v/>
      </c>
      <c r="E520" s="739" t="str">
        <f t="shared" si="1521"/>
        <v/>
      </c>
      <c r="F520" s="739" t="str">
        <f t="shared" si="1521"/>
        <v/>
      </c>
      <c r="G520" s="739" t="str">
        <f t="shared" si="1521"/>
        <v/>
      </c>
      <c r="H520" s="739" t="str">
        <f t="shared" si="1521"/>
        <v/>
      </c>
      <c r="I520" s="739" t="str">
        <f t="shared" si="1521"/>
        <v/>
      </c>
      <c r="J520" s="739" t="str">
        <f t="shared" si="1521"/>
        <v/>
      </c>
      <c r="K520" s="739" t="str">
        <f t="shared" si="1521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522">IF(T519="","",T515*T516*T519)</f>
        <v/>
      </c>
      <c r="U520" s="739" t="str">
        <f t="shared" si="1522"/>
        <v/>
      </c>
      <c r="V520" s="739" t="str">
        <f t="shared" si="1522"/>
        <v/>
      </c>
      <c r="W520" s="739" t="str">
        <f t="shared" si="1522"/>
        <v/>
      </c>
      <c r="X520" s="739" t="str">
        <f t="shared" si="1522"/>
        <v/>
      </c>
      <c r="Y520" s="739" t="str">
        <f t="shared" si="1522"/>
        <v/>
      </c>
      <c r="Z520" s="739" t="str">
        <f t="shared" si="1522"/>
        <v/>
      </c>
      <c r="AA520" s="739" t="str">
        <f t="shared" si="1522"/>
        <v/>
      </c>
      <c r="AB520" s="739" t="str">
        <f t="shared" si="1522"/>
        <v/>
      </c>
      <c r="AC520" s="739" t="str">
        <f t="shared" si="1522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523">IF(AL519="","",AL515*AL516*AL519)</f>
        <v/>
      </c>
      <c r="AM520" s="739" t="str">
        <f t="shared" si="1523"/>
        <v/>
      </c>
      <c r="AN520" s="739" t="str">
        <f t="shared" si="1523"/>
        <v/>
      </c>
      <c r="AO520" s="739" t="str">
        <f t="shared" si="1523"/>
        <v/>
      </c>
      <c r="AP520" s="739" t="str">
        <f t="shared" si="1523"/>
        <v/>
      </c>
      <c r="AQ520" s="739" t="str">
        <f t="shared" si="1523"/>
        <v/>
      </c>
      <c r="AR520" s="739" t="str">
        <f t="shared" si="1523"/>
        <v/>
      </c>
      <c r="AS520" s="739" t="str">
        <f t="shared" si="1523"/>
        <v/>
      </c>
      <c r="AT520" s="739" t="str">
        <f t="shared" si="1523"/>
        <v/>
      </c>
      <c r="AU520" s="739" t="str">
        <f t="shared" si="1523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524">IF(BD519="","",BD515*BD516*BD519)</f>
        <v/>
      </c>
      <c r="BE520" s="1237" t="str">
        <f t="shared" si="1524"/>
        <v/>
      </c>
      <c r="BF520" s="1237" t="str">
        <f t="shared" si="1524"/>
        <v/>
      </c>
      <c r="BG520" s="1237" t="str">
        <f t="shared" si="1524"/>
        <v/>
      </c>
      <c r="BH520" s="1237" t="str">
        <f t="shared" si="1524"/>
        <v/>
      </c>
      <c r="BI520" s="1237" t="str">
        <f t="shared" si="1524"/>
        <v/>
      </c>
      <c r="BJ520" s="1237" t="str">
        <f t="shared" si="1524"/>
        <v/>
      </c>
      <c r="BK520" s="1237" t="str">
        <f t="shared" si="1524"/>
        <v/>
      </c>
      <c r="BL520" s="1237" t="str">
        <f t="shared" si="1524"/>
        <v/>
      </c>
      <c r="BM520" s="1237" t="str">
        <f t="shared" si="1524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481"/>
        <v/>
      </c>
      <c r="CA520" s="582" t="str">
        <f t="shared" si="1482"/>
        <v/>
      </c>
      <c r="CB520" s="582" t="str">
        <f t="shared" si="1483"/>
        <v/>
      </c>
      <c r="CC520" s="670" t="str">
        <f t="shared" si="1484"/>
        <v/>
      </c>
      <c r="CD520" s="988" t="str">
        <f t="shared" si="1461"/>
        <v/>
      </c>
      <c r="CE520" s="989" t="str">
        <f t="shared" ref="CE520:CM531" si="152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525"/>
        <v/>
      </c>
      <c r="CG520" s="989" t="str">
        <f t="shared" si="1525"/>
        <v/>
      </c>
      <c r="CH520" s="990" t="str">
        <f t="shared" si="1525"/>
        <v/>
      </c>
      <c r="CI520" s="990" t="str">
        <f t="shared" si="1525"/>
        <v/>
      </c>
      <c r="CJ520" s="989" t="str">
        <f t="shared" si="1525"/>
        <v/>
      </c>
      <c r="CK520" s="989" t="str">
        <f t="shared" si="1525"/>
        <v/>
      </c>
      <c r="CL520" s="989" t="str">
        <f t="shared" si="1525"/>
        <v/>
      </c>
      <c r="CM520" s="988" t="str">
        <f t="shared" si="1525"/>
        <v/>
      </c>
      <c r="CN520" s="533" t="str">
        <f t="shared" si="1440"/>
        <v/>
      </c>
      <c r="CO520" s="534" t="str">
        <f t="shared" si="1441"/>
        <v/>
      </c>
      <c r="CP520" s="535" t="str">
        <f t="shared" si="1442"/>
        <v/>
      </c>
      <c r="CQ520" s="535" t="str">
        <f t="shared" si="1443"/>
        <v/>
      </c>
      <c r="CR520" s="535" t="str">
        <f t="shared" si="1444"/>
        <v/>
      </c>
      <c r="CS520" s="535" t="str">
        <f t="shared" si="1445"/>
        <v/>
      </c>
      <c r="CT520" s="535" t="str">
        <f t="shared" si="1446"/>
        <v/>
      </c>
      <c r="CU520" s="536" t="str">
        <f t="shared" si="1447"/>
        <v/>
      </c>
      <c r="CV520" s="536" t="str">
        <f t="shared" si="1448"/>
        <v/>
      </c>
      <c r="CW520" s="536" t="str">
        <f t="shared" si="1449"/>
        <v/>
      </c>
      <c r="CX520" s="535" t="str">
        <f t="shared" si="1450"/>
        <v/>
      </c>
      <c r="CY520" s="535" t="str">
        <f t="shared" si="1451"/>
        <v/>
      </c>
      <c r="CZ520" s="535" t="str">
        <f t="shared" si="1452"/>
        <v/>
      </c>
      <c r="DA520" s="535" t="str">
        <f t="shared" si="1453"/>
        <v/>
      </c>
      <c r="DB520" s="535" t="str">
        <f t="shared" si="1454"/>
        <v/>
      </c>
      <c r="DC520" s="534" t="str">
        <f t="shared" si="1455"/>
        <v/>
      </c>
      <c r="DD520" s="533" t="str">
        <f t="shared" si="1456"/>
        <v/>
      </c>
      <c r="DE520" s="635">
        <f t="shared" si="1457"/>
        <v>0</v>
      </c>
      <c r="DF520" s="95">
        <f t="shared" si="1458"/>
        <v>0</v>
      </c>
      <c r="DG520" s="95">
        <f t="shared" si="1459"/>
        <v>0</v>
      </c>
      <c r="DH520" s="95">
        <f t="shared" si="1460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481"/>
        <v/>
      </c>
      <c r="CA521" s="582" t="str">
        <f t="shared" si="1482"/>
        <v/>
      </c>
      <c r="CB521" s="582" t="str">
        <f t="shared" si="1483"/>
        <v/>
      </c>
      <c r="CC521" s="670" t="str">
        <f t="shared" si="1484"/>
        <v/>
      </c>
      <c r="CD521" s="988" t="str">
        <f t="shared" si="1461"/>
        <v/>
      </c>
      <c r="CE521" s="989" t="str">
        <f t="shared" si="1525"/>
        <v/>
      </c>
      <c r="CF521" s="989" t="str">
        <f t="shared" si="1525"/>
        <v/>
      </c>
      <c r="CG521" s="989" t="str">
        <f t="shared" si="1525"/>
        <v/>
      </c>
      <c r="CH521" s="990" t="str">
        <f t="shared" si="1525"/>
        <v/>
      </c>
      <c r="CI521" s="990" t="str">
        <f t="shared" si="1525"/>
        <v/>
      </c>
      <c r="CJ521" s="989" t="str">
        <f t="shared" si="1525"/>
        <v/>
      </c>
      <c r="CK521" s="989" t="str">
        <f t="shared" si="1525"/>
        <v/>
      </c>
      <c r="CL521" s="989" t="str">
        <f t="shared" si="1525"/>
        <v/>
      </c>
      <c r="CM521" s="988" t="str">
        <f t="shared" si="1525"/>
        <v/>
      </c>
      <c r="CN521" s="533" t="str">
        <f t="shared" si="1440"/>
        <v/>
      </c>
      <c r="CO521" s="534" t="str">
        <f t="shared" si="1441"/>
        <v/>
      </c>
      <c r="CP521" s="535" t="str">
        <f t="shared" si="1442"/>
        <v/>
      </c>
      <c r="CQ521" s="535" t="str">
        <f t="shared" si="1443"/>
        <v/>
      </c>
      <c r="CR521" s="535" t="str">
        <f t="shared" si="1444"/>
        <v/>
      </c>
      <c r="CS521" s="535" t="str">
        <f t="shared" si="1445"/>
        <v/>
      </c>
      <c r="CT521" s="535" t="str">
        <f t="shared" si="1446"/>
        <v/>
      </c>
      <c r="CU521" s="536" t="str">
        <f t="shared" si="1447"/>
        <v/>
      </c>
      <c r="CV521" s="536" t="str">
        <f t="shared" si="1448"/>
        <v/>
      </c>
      <c r="CW521" s="536" t="str">
        <f t="shared" si="1449"/>
        <v/>
      </c>
      <c r="CX521" s="535" t="str">
        <f t="shared" si="1450"/>
        <v/>
      </c>
      <c r="CY521" s="535" t="str">
        <f t="shared" si="1451"/>
        <v/>
      </c>
      <c r="CZ521" s="535" t="str">
        <f t="shared" si="1452"/>
        <v/>
      </c>
      <c r="DA521" s="535" t="str">
        <f t="shared" si="1453"/>
        <v/>
      </c>
      <c r="DB521" s="535" t="str">
        <f t="shared" si="1454"/>
        <v/>
      </c>
      <c r="DC521" s="534" t="str">
        <f t="shared" si="1455"/>
        <v/>
      </c>
      <c r="DD521" s="533" t="str">
        <f t="shared" si="1456"/>
        <v/>
      </c>
      <c r="DE521" s="635">
        <f t="shared" si="1457"/>
        <v>0</v>
      </c>
      <c r="DF521" s="95">
        <f t="shared" si="1458"/>
        <v>0</v>
      </c>
      <c r="DG521" s="95">
        <f t="shared" si="1459"/>
        <v>0</v>
      </c>
      <c r="DH521" s="95">
        <f t="shared" si="1460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481"/>
        <v/>
      </c>
      <c r="CA522" s="582" t="str">
        <f t="shared" si="1482"/>
        <v/>
      </c>
      <c r="CB522" s="582" t="str">
        <f t="shared" si="1483"/>
        <v/>
      </c>
      <c r="CC522" s="670" t="str">
        <f t="shared" si="1484"/>
        <v/>
      </c>
      <c r="CD522" s="988" t="str">
        <f t="shared" si="1461"/>
        <v/>
      </c>
      <c r="CE522" s="989" t="str">
        <f t="shared" si="1525"/>
        <v/>
      </c>
      <c r="CF522" s="989" t="str">
        <f t="shared" si="1525"/>
        <v/>
      </c>
      <c r="CG522" s="989" t="str">
        <f t="shared" si="1525"/>
        <v/>
      </c>
      <c r="CH522" s="990" t="str">
        <f t="shared" si="1525"/>
        <v/>
      </c>
      <c r="CI522" s="990" t="str">
        <f t="shared" si="1525"/>
        <v/>
      </c>
      <c r="CJ522" s="989" t="str">
        <f t="shared" si="1525"/>
        <v/>
      </c>
      <c r="CK522" s="989" t="str">
        <f t="shared" si="1525"/>
        <v/>
      </c>
      <c r="CL522" s="989" t="str">
        <f t="shared" si="1525"/>
        <v/>
      </c>
      <c r="CM522" s="988" t="str">
        <f t="shared" si="1525"/>
        <v/>
      </c>
      <c r="CN522" s="533" t="str">
        <f t="shared" si="1440"/>
        <v/>
      </c>
      <c r="CO522" s="534" t="str">
        <f t="shared" si="1441"/>
        <v/>
      </c>
      <c r="CP522" s="535" t="str">
        <f t="shared" si="1442"/>
        <v/>
      </c>
      <c r="CQ522" s="535" t="str">
        <f t="shared" si="1443"/>
        <v/>
      </c>
      <c r="CR522" s="535" t="str">
        <f t="shared" si="1444"/>
        <v/>
      </c>
      <c r="CS522" s="535" t="str">
        <f t="shared" si="1445"/>
        <v/>
      </c>
      <c r="CT522" s="535" t="str">
        <f t="shared" si="1446"/>
        <v/>
      </c>
      <c r="CU522" s="536" t="str">
        <f t="shared" si="1447"/>
        <v/>
      </c>
      <c r="CV522" s="536" t="str">
        <f t="shared" si="1448"/>
        <v/>
      </c>
      <c r="CW522" s="536" t="str">
        <f t="shared" si="1449"/>
        <v/>
      </c>
      <c r="CX522" s="535" t="str">
        <f t="shared" si="1450"/>
        <v/>
      </c>
      <c r="CY522" s="535" t="str">
        <f t="shared" si="1451"/>
        <v/>
      </c>
      <c r="CZ522" s="535" t="str">
        <f t="shared" si="1452"/>
        <v/>
      </c>
      <c r="DA522" s="535" t="str">
        <f t="shared" si="1453"/>
        <v/>
      </c>
      <c r="DB522" s="535" t="str">
        <f t="shared" si="1454"/>
        <v/>
      </c>
      <c r="DC522" s="534" t="str">
        <f t="shared" si="1455"/>
        <v/>
      </c>
      <c r="DD522" s="533" t="str">
        <f t="shared" si="1456"/>
        <v/>
      </c>
      <c r="DE522" s="635">
        <f t="shared" si="1457"/>
        <v>0</v>
      </c>
      <c r="DF522" s="95">
        <f t="shared" si="1458"/>
        <v>0</v>
      </c>
      <c r="DG522" s="95">
        <f t="shared" si="1459"/>
        <v>0</v>
      </c>
      <c r="DH522" s="95">
        <f t="shared" si="1460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526">640*$K$1</f>
        <v>2679.5519999999997</v>
      </c>
      <c r="D523" s="740">
        <v>2680</v>
      </c>
      <c r="E523" s="740">
        <f t="shared" si="1526"/>
        <v>2679.5519999999997</v>
      </c>
      <c r="F523" s="740">
        <f t="shared" si="1526"/>
        <v>2679.5519999999997</v>
      </c>
      <c r="G523" s="740">
        <f t="shared" si="1526"/>
        <v>2679.5519999999997</v>
      </c>
      <c r="H523" s="740">
        <f t="shared" si="1526"/>
        <v>2679.5519999999997</v>
      </c>
      <c r="I523" s="740">
        <f t="shared" si="1526"/>
        <v>2679.5519999999997</v>
      </c>
      <c r="J523" s="740">
        <f t="shared" si="1526"/>
        <v>2679.5519999999997</v>
      </c>
      <c r="K523" s="740">
        <f t="shared" si="1526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527">640*$K$1</f>
        <v>2679.5519999999997</v>
      </c>
      <c r="V523" s="740">
        <f t="shared" si="1527"/>
        <v>2679.5519999999997</v>
      </c>
      <c r="W523" s="740">
        <f t="shared" si="1527"/>
        <v>2679.5519999999997</v>
      </c>
      <c r="X523" s="740">
        <f t="shared" si="1527"/>
        <v>2679.5519999999997</v>
      </c>
      <c r="Y523" s="740">
        <f t="shared" si="1527"/>
        <v>2679.5519999999997</v>
      </c>
      <c r="Z523" s="740">
        <f t="shared" si="1527"/>
        <v>2679.5519999999997</v>
      </c>
      <c r="AA523" s="740">
        <f t="shared" si="1527"/>
        <v>2679.5519999999997</v>
      </c>
      <c r="AB523" s="740">
        <f t="shared" si="1527"/>
        <v>2679.5519999999997</v>
      </c>
      <c r="AC523" s="740">
        <f t="shared" si="1527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528">640*$K$1</f>
        <v>2679.5519999999997</v>
      </c>
      <c r="AN523" s="740">
        <f t="shared" si="1528"/>
        <v>2679.5519999999997</v>
      </c>
      <c r="AO523" s="740">
        <f t="shared" si="1528"/>
        <v>2679.5519999999997</v>
      </c>
      <c r="AP523" s="740">
        <f t="shared" si="1528"/>
        <v>2679.5519999999997</v>
      </c>
      <c r="AQ523" s="740">
        <f t="shared" si="1528"/>
        <v>2679.5519999999997</v>
      </c>
      <c r="AR523" s="740">
        <f t="shared" si="1528"/>
        <v>2679.5519999999997</v>
      </c>
      <c r="AS523" s="740">
        <f t="shared" si="1528"/>
        <v>2679.5519999999997</v>
      </c>
      <c r="AT523" s="740">
        <f t="shared" si="1528"/>
        <v>2679.5519999999997</v>
      </c>
      <c r="AU523" s="740">
        <f t="shared" si="1528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529">640*$K$1</f>
        <v>2679.5519999999997</v>
      </c>
      <c r="BF523" s="1236">
        <f t="shared" si="1529"/>
        <v>2679.5519999999997</v>
      </c>
      <c r="BG523" s="1236">
        <f t="shared" si="1529"/>
        <v>2679.5519999999997</v>
      </c>
      <c r="BH523" s="1236">
        <f t="shared" si="1529"/>
        <v>2679.5519999999997</v>
      </c>
      <c r="BI523" s="1236">
        <f t="shared" si="1529"/>
        <v>2679.5519999999997</v>
      </c>
      <c r="BJ523" s="1236">
        <f t="shared" si="1529"/>
        <v>2679.5519999999997</v>
      </c>
      <c r="BK523" s="1236">
        <f t="shared" si="1529"/>
        <v>2679.5519999999997</v>
      </c>
      <c r="BL523" s="1236">
        <f t="shared" si="1529"/>
        <v>2679.5519999999997</v>
      </c>
      <c r="BM523" s="1236">
        <f t="shared" si="1529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>640*$K$1</f>
        <v>2679.5519999999997</v>
      </c>
      <c r="BW523" s="740">
        <f>640*$K$1</f>
        <v>2679.5519999999997</v>
      </c>
      <c r="BX523" s="740">
        <f>640*$K$1</f>
        <v>2679.5519999999997</v>
      </c>
      <c r="BY523" s="740">
        <f>640*$K$1</f>
        <v>2679.5519999999997</v>
      </c>
      <c r="BZ523" s="582">
        <f t="shared" si="1481"/>
        <v>2679.5519999999997</v>
      </c>
      <c r="CA523" s="582">
        <f t="shared" si="1482"/>
        <v>2679.5519999999997</v>
      </c>
      <c r="CB523" s="582">
        <f t="shared" si="1483"/>
        <v>2679.5519999999997</v>
      </c>
      <c r="CC523" s="670">
        <f t="shared" si="1484"/>
        <v>2679.5519999999997</v>
      </c>
      <c r="CD523" s="988">
        <f t="shared" si="1461"/>
        <v>2679.5519999999997</v>
      </c>
      <c r="CE523" s="989">
        <f t="shared" ref="CE523:CM526" si="153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989">
        <f t="shared" si="1530"/>
        <v>2679.5519999999997</v>
      </c>
      <c r="CG523" s="989">
        <f t="shared" si="1530"/>
        <v>2679.5519999999997</v>
      </c>
      <c r="CH523" s="990">
        <f t="shared" si="1530"/>
        <v>2679.5519999999997</v>
      </c>
      <c r="CI523" s="990">
        <f t="shared" si="1530"/>
        <v>2679.5519999999997</v>
      </c>
      <c r="CJ523" s="989">
        <f t="shared" si="1530"/>
        <v>2679.5519999999997</v>
      </c>
      <c r="CK523" s="989">
        <f t="shared" si="1530"/>
        <v>2679.5519999999997</v>
      </c>
      <c r="CL523" s="989">
        <f t="shared" si="1530"/>
        <v>2679.5519999999997</v>
      </c>
      <c r="CM523" s="988">
        <f t="shared" si="1530"/>
        <v>2679.5519999999997</v>
      </c>
      <c r="CN523" s="533" t="str">
        <f t="shared" si="1440"/>
        <v/>
      </c>
      <c r="CO523" s="534" t="str">
        <f t="shared" si="1441"/>
        <v/>
      </c>
      <c r="CP523" s="535" t="str">
        <f t="shared" si="1442"/>
        <v/>
      </c>
      <c r="CQ523" s="535" t="str">
        <f t="shared" si="1443"/>
        <v/>
      </c>
      <c r="CR523" s="535">
        <f t="shared" si="1444"/>
        <v>2679.5519999999997</v>
      </c>
      <c r="CS523" s="535">
        <f t="shared" si="1445"/>
        <v>2679.5519999999997</v>
      </c>
      <c r="CT523" s="535">
        <f t="shared" si="1446"/>
        <v>2679.5519999999997</v>
      </c>
      <c r="CU523" s="536">
        <f t="shared" si="1447"/>
        <v>2679.5519999999997</v>
      </c>
      <c r="CV523" s="536">
        <f t="shared" si="1448"/>
        <v>2679.5519999999997</v>
      </c>
      <c r="CW523" s="536">
        <f t="shared" si="1449"/>
        <v>2679.5519999999997</v>
      </c>
      <c r="CX523" s="535">
        <f t="shared" si="1450"/>
        <v>2679.5519999999997</v>
      </c>
      <c r="CY523" s="535">
        <f t="shared" si="1451"/>
        <v>2679.5519999999997</v>
      </c>
      <c r="CZ523" s="535">
        <f t="shared" si="1452"/>
        <v>2679.5519999999997</v>
      </c>
      <c r="DA523" s="535">
        <f t="shared" si="1453"/>
        <v>2679.5519999999997</v>
      </c>
      <c r="DB523" s="535" t="str">
        <f t="shared" si="1454"/>
        <v/>
      </c>
      <c r="DC523" s="534" t="str">
        <f t="shared" si="1455"/>
        <v/>
      </c>
      <c r="DD523" s="533" t="str">
        <f t="shared" si="1456"/>
        <v/>
      </c>
      <c r="DE523" s="635">
        <f t="shared" si="1457"/>
        <v>10</v>
      </c>
      <c r="DF523" s="95">
        <f t="shared" si="1458"/>
        <v>10</v>
      </c>
      <c r="DG523" s="95">
        <f t="shared" si="1459"/>
        <v>10</v>
      </c>
      <c r="DH523" s="95">
        <f t="shared" si="1460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531">IF(B521="","",B521*B522*B523/B$46/365/$G$1)</f>
        <v/>
      </c>
      <c r="C524" s="615" t="str">
        <f t="shared" si="1531"/>
        <v/>
      </c>
      <c r="D524" s="742" t="str">
        <f t="shared" si="1531"/>
        <v/>
      </c>
      <c r="E524" s="615" t="str">
        <f t="shared" si="1531"/>
        <v/>
      </c>
      <c r="F524" s="742" t="str">
        <f t="shared" si="1531"/>
        <v/>
      </c>
      <c r="G524" s="615" t="str">
        <f t="shared" si="1531"/>
        <v/>
      </c>
      <c r="H524" s="742" t="str">
        <f t="shared" si="1531"/>
        <v/>
      </c>
      <c r="I524" s="615" t="str">
        <f t="shared" si="1531"/>
        <v/>
      </c>
      <c r="J524" s="742" t="str">
        <f t="shared" si="1531"/>
        <v/>
      </c>
      <c r="K524" s="615" t="str">
        <f t="shared" si="1531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532">IF(T521="","",T521*T522*T523/T$46/365/$G$1)</f>
        <v/>
      </c>
      <c r="U524" s="615" t="str">
        <f t="shared" si="1532"/>
        <v/>
      </c>
      <c r="V524" s="742" t="str">
        <f t="shared" si="1532"/>
        <v/>
      </c>
      <c r="W524" s="615" t="str">
        <f t="shared" si="1532"/>
        <v/>
      </c>
      <c r="X524" s="742" t="str">
        <f t="shared" si="1532"/>
        <v/>
      </c>
      <c r="Y524" s="615" t="str">
        <f t="shared" si="1532"/>
        <v/>
      </c>
      <c r="Z524" s="742" t="str">
        <f t="shared" si="1532"/>
        <v/>
      </c>
      <c r="AA524" s="615" t="str">
        <f t="shared" si="1532"/>
        <v/>
      </c>
      <c r="AB524" s="742" t="str">
        <f t="shared" si="1532"/>
        <v/>
      </c>
      <c r="AC524" s="615" t="str">
        <f t="shared" si="1532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533">IF(AL521="","",AL521*AL522*AL523/AL$46/365/$G$1)</f>
        <v/>
      </c>
      <c r="AM524" s="615" t="str">
        <f t="shared" si="1533"/>
        <v/>
      </c>
      <c r="AN524" s="742" t="str">
        <f t="shared" si="1533"/>
        <v/>
      </c>
      <c r="AO524" s="615" t="str">
        <f t="shared" si="1533"/>
        <v/>
      </c>
      <c r="AP524" s="742" t="str">
        <f t="shared" si="1533"/>
        <v/>
      </c>
      <c r="AQ524" s="615" t="str">
        <f t="shared" si="1533"/>
        <v/>
      </c>
      <c r="AR524" s="742" t="str">
        <f t="shared" si="1533"/>
        <v/>
      </c>
      <c r="AS524" s="615" t="str">
        <f t="shared" si="1533"/>
        <v/>
      </c>
      <c r="AT524" s="742" t="str">
        <f t="shared" si="1533"/>
        <v/>
      </c>
      <c r="AU524" s="615" t="str">
        <f t="shared" si="1533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534">IF(BD521="","",BD521*BD522*BD523/BD$46/365/$G$1)</f>
        <v/>
      </c>
      <c r="BE524" s="1241" t="str">
        <f t="shared" si="1534"/>
        <v/>
      </c>
      <c r="BF524" s="1202" t="str">
        <f t="shared" si="1534"/>
        <v/>
      </c>
      <c r="BG524" s="1241" t="str">
        <f t="shared" si="1534"/>
        <v/>
      </c>
      <c r="BH524" s="1202" t="str">
        <f t="shared" si="1534"/>
        <v/>
      </c>
      <c r="BI524" s="1241" t="str">
        <f t="shared" si="1534"/>
        <v/>
      </c>
      <c r="BJ524" s="1202" t="str">
        <f t="shared" si="1534"/>
        <v/>
      </c>
      <c r="BK524" s="1241" t="str">
        <f t="shared" si="1534"/>
        <v/>
      </c>
      <c r="BL524" s="1202" t="str">
        <f t="shared" si="1534"/>
        <v/>
      </c>
      <c r="BM524" s="1241" t="str">
        <f t="shared" si="1534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481"/>
        <v/>
      </c>
      <c r="CA524" s="582" t="str">
        <f t="shared" si="1482"/>
        <v/>
      </c>
      <c r="CB524" s="582" t="str">
        <f t="shared" si="1483"/>
        <v/>
      </c>
      <c r="CC524" s="670" t="str">
        <f t="shared" si="1484"/>
        <v/>
      </c>
      <c r="CD524" s="988" t="str">
        <f t="shared" si="1461"/>
        <v/>
      </c>
      <c r="CE524" s="989" t="str">
        <f t="shared" si="1530"/>
        <v/>
      </c>
      <c r="CF524" s="989" t="str">
        <f t="shared" si="1530"/>
        <v/>
      </c>
      <c r="CG524" s="989" t="str">
        <f t="shared" si="1530"/>
        <v/>
      </c>
      <c r="CH524" s="990" t="str">
        <f t="shared" si="1530"/>
        <v/>
      </c>
      <c r="CI524" s="990" t="str">
        <f t="shared" si="1530"/>
        <v/>
      </c>
      <c r="CJ524" s="989" t="str">
        <f t="shared" si="1530"/>
        <v/>
      </c>
      <c r="CK524" s="989" t="str">
        <f t="shared" si="1530"/>
        <v/>
      </c>
      <c r="CL524" s="989" t="str">
        <f t="shared" si="1530"/>
        <v/>
      </c>
      <c r="CM524" s="988" t="str">
        <f t="shared" si="1530"/>
        <v/>
      </c>
      <c r="CN524" s="533" t="str">
        <f t="shared" si="1440"/>
        <v/>
      </c>
      <c r="CO524" s="534" t="str">
        <f t="shared" si="1441"/>
        <v/>
      </c>
      <c r="CP524" s="535" t="str">
        <f t="shared" si="1442"/>
        <v/>
      </c>
      <c r="CQ524" s="535" t="str">
        <f t="shared" si="1443"/>
        <v/>
      </c>
      <c r="CR524" s="535" t="str">
        <f t="shared" si="1444"/>
        <v/>
      </c>
      <c r="CS524" s="535" t="str">
        <f t="shared" si="1445"/>
        <v/>
      </c>
      <c r="CT524" s="535" t="str">
        <f t="shared" si="1446"/>
        <v/>
      </c>
      <c r="CU524" s="536" t="str">
        <f t="shared" si="1447"/>
        <v/>
      </c>
      <c r="CV524" s="536" t="str">
        <f t="shared" si="1448"/>
        <v/>
      </c>
      <c r="CW524" s="536" t="str">
        <f t="shared" si="1449"/>
        <v/>
      </c>
      <c r="CX524" s="535" t="str">
        <f t="shared" si="1450"/>
        <v/>
      </c>
      <c r="CY524" s="535" t="str">
        <f t="shared" si="1451"/>
        <v/>
      </c>
      <c r="CZ524" s="535" t="str">
        <f t="shared" si="1452"/>
        <v/>
      </c>
      <c r="DA524" s="535" t="str">
        <f t="shared" si="1453"/>
        <v/>
      </c>
      <c r="DB524" s="535" t="str">
        <f t="shared" si="1454"/>
        <v/>
      </c>
      <c r="DC524" s="534" t="str">
        <f t="shared" si="1455"/>
        <v/>
      </c>
      <c r="DD524" s="533" t="str">
        <f t="shared" si="1456"/>
        <v/>
      </c>
      <c r="DE524" s="635">
        <f t="shared" si="1457"/>
        <v>0</v>
      </c>
      <c r="DF524" s="95">
        <f t="shared" si="1458"/>
        <v>0</v>
      </c>
      <c r="DG524" s="95">
        <f t="shared" si="1459"/>
        <v>0</v>
      </c>
      <c r="DH524" s="95">
        <f t="shared" si="1460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481"/>
        <v/>
      </c>
      <c r="CA525" s="582" t="str">
        <f t="shared" si="1482"/>
        <v/>
      </c>
      <c r="CB525" s="582" t="str">
        <f t="shared" si="1483"/>
        <v/>
      </c>
      <c r="CC525" s="670" t="str">
        <f t="shared" si="1484"/>
        <v/>
      </c>
      <c r="CD525" s="988" t="str">
        <f t="shared" si="1461"/>
        <v/>
      </c>
      <c r="CE525" s="989" t="str">
        <f t="shared" si="1530"/>
        <v/>
      </c>
      <c r="CF525" s="989" t="str">
        <f t="shared" si="1530"/>
        <v/>
      </c>
      <c r="CG525" s="989" t="str">
        <f t="shared" si="1530"/>
        <v/>
      </c>
      <c r="CH525" s="990" t="str">
        <f t="shared" si="1530"/>
        <v/>
      </c>
      <c r="CI525" s="990" t="str">
        <f t="shared" si="1530"/>
        <v/>
      </c>
      <c r="CJ525" s="989" t="str">
        <f t="shared" si="1530"/>
        <v/>
      </c>
      <c r="CK525" s="989" t="str">
        <f t="shared" si="1530"/>
        <v/>
      </c>
      <c r="CL525" s="989" t="str">
        <f t="shared" si="1530"/>
        <v/>
      </c>
      <c r="CM525" s="988" t="str">
        <f t="shared" si="1530"/>
        <v/>
      </c>
      <c r="CN525" s="533" t="str">
        <f t="shared" si="1440"/>
        <v/>
      </c>
      <c r="CO525" s="534" t="str">
        <f t="shared" si="1441"/>
        <v/>
      </c>
      <c r="CP525" s="535" t="str">
        <f t="shared" si="1442"/>
        <v/>
      </c>
      <c r="CQ525" s="535" t="str">
        <f t="shared" si="1443"/>
        <v/>
      </c>
      <c r="CR525" s="535" t="str">
        <f t="shared" si="1444"/>
        <v/>
      </c>
      <c r="CS525" s="535" t="str">
        <f t="shared" si="1445"/>
        <v/>
      </c>
      <c r="CT525" s="535" t="str">
        <f t="shared" si="1446"/>
        <v/>
      </c>
      <c r="CU525" s="536" t="str">
        <f t="shared" si="1447"/>
        <v/>
      </c>
      <c r="CV525" s="536" t="str">
        <f t="shared" si="1448"/>
        <v/>
      </c>
      <c r="CW525" s="536" t="str">
        <f t="shared" si="1449"/>
        <v/>
      </c>
      <c r="CX525" s="535" t="str">
        <f t="shared" si="1450"/>
        <v/>
      </c>
      <c r="CY525" s="535" t="str">
        <f t="shared" si="1451"/>
        <v/>
      </c>
      <c r="CZ525" s="535" t="str">
        <f t="shared" si="1452"/>
        <v/>
      </c>
      <c r="DA525" s="535" t="str">
        <f t="shared" si="1453"/>
        <v/>
      </c>
      <c r="DB525" s="535" t="str">
        <f t="shared" si="1454"/>
        <v/>
      </c>
      <c r="DC525" s="534" t="str">
        <f t="shared" si="1455"/>
        <v/>
      </c>
      <c r="DD525" s="533" t="str">
        <f t="shared" si="1456"/>
        <v/>
      </c>
      <c r="DE525" s="635">
        <f t="shared" si="1457"/>
        <v>0</v>
      </c>
      <c r="DF525" s="95">
        <f t="shared" si="1458"/>
        <v>0</v>
      </c>
      <c r="DG525" s="95">
        <f t="shared" si="1459"/>
        <v>0</v>
      </c>
      <c r="DH525" s="95">
        <f t="shared" si="1460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535">IF(B525="","",B521*B522*B525)</f>
        <v/>
      </c>
      <c r="C526" s="739" t="str">
        <f t="shared" si="1535"/>
        <v/>
      </c>
      <c r="D526" s="739" t="str">
        <f t="shared" si="1535"/>
        <v/>
      </c>
      <c r="E526" s="739" t="str">
        <f t="shared" si="1535"/>
        <v/>
      </c>
      <c r="F526" s="739" t="str">
        <f t="shared" si="1535"/>
        <v/>
      </c>
      <c r="G526" s="739" t="str">
        <f t="shared" si="1535"/>
        <v/>
      </c>
      <c r="H526" s="739" t="str">
        <f t="shared" si="1535"/>
        <v/>
      </c>
      <c r="I526" s="739" t="str">
        <f t="shared" si="1535"/>
        <v/>
      </c>
      <c r="J526" s="739" t="str">
        <f t="shared" si="1535"/>
        <v/>
      </c>
      <c r="K526" s="739" t="str">
        <f t="shared" si="1535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536">IF(T525="","",T521*T522*T525)</f>
        <v/>
      </c>
      <c r="U526" s="739" t="str">
        <f t="shared" si="1536"/>
        <v/>
      </c>
      <c r="V526" s="739" t="str">
        <f t="shared" si="1536"/>
        <v/>
      </c>
      <c r="W526" s="739" t="str">
        <f t="shared" si="1536"/>
        <v/>
      </c>
      <c r="X526" s="739" t="str">
        <f t="shared" si="1536"/>
        <v/>
      </c>
      <c r="Y526" s="739" t="str">
        <f t="shared" si="1536"/>
        <v/>
      </c>
      <c r="Z526" s="739" t="str">
        <f t="shared" si="1536"/>
        <v/>
      </c>
      <c r="AA526" s="739" t="str">
        <f t="shared" si="1536"/>
        <v/>
      </c>
      <c r="AB526" s="739" t="str">
        <f t="shared" si="1536"/>
        <v/>
      </c>
      <c r="AC526" s="739" t="str">
        <f t="shared" si="1536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537">IF(AL525="","",AL521*AL522*AL525)</f>
        <v/>
      </c>
      <c r="AM526" s="739" t="str">
        <f t="shared" si="1537"/>
        <v/>
      </c>
      <c r="AN526" s="739" t="str">
        <f t="shared" si="1537"/>
        <v/>
      </c>
      <c r="AO526" s="739" t="str">
        <f t="shared" si="1537"/>
        <v/>
      </c>
      <c r="AP526" s="739" t="str">
        <f t="shared" si="1537"/>
        <v/>
      </c>
      <c r="AQ526" s="739" t="str">
        <f t="shared" si="1537"/>
        <v/>
      </c>
      <c r="AR526" s="739" t="str">
        <f t="shared" si="1537"/>
        <v/>
      </c>
      <c r="AS526" s="739" t="str">
        <f t="shared" si="1537"/>
        <v/>
      </c>
      <c r="AT526" s="739" t="str">
        <f t="shared" si="1537"/>
        <v/>
      </c>
      <c r="AU526" s="739" t="str">
        <f t="shared" si="1537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538">IF(BD525="","",BD521*BD522*BD525)</f>
        <v/>
      </c>
      <c r="BE526" s="1237" t="str">
        <f t="shared" si="1538"/>
        <v/>
      </c>
      <c r="BF526" s="1237" t="str">
        <f t="shared" si="1538"/>
        <v/>
      </c>
      <c r="BG526" s="1237" t="str">
        <f t="shared" si="1538"/>
        <v/>
      </c>
      <c r="BH526" s="1237" t="str">
        <f t="shared" si="1538"/>
        <v/>
      </c>
      <c r="BI526" s="1237" t="str">
        <f t="shared" si="1538"/>
        <v/>
      </c>
      <c r="BJ526" s="1237" t="str">
        <f t="shared" si="1538"/>
        <v/>
      </c>
      <c r="BK526" s="1237" t="str">
        <f t="shared" si="1538"/>
        <v/>
      </c>
      <c r="BL526" s="1237" t="str">
        <f t="shared" si="1538"/>
        <v/>
      </c>
      <c r="BM526" s="1237" t="str">
        <f t="shared" si="1538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481"/>
        <v/>
      </c>
      <c r="CA526" s="582" t="str">
        <f t="shared" si="1482"/>
        <v/>
      </c>
      <c r="CB526" s="582" t="str">
        <f t="shared" si="1483"/>
        <v/>
      </c>
      <c r="CC526" s="670" t="str">
        <f t="shared" si="1484"/>
        <v/>
      </c>
      <c r="CD526" s="988" t="str">
        <f t="shared" si="1461"/>
        <v/>
      </c>
      <c r="CE526" s="989" t="str">
        <f t="shared" si="1530"/>
        <v/>
      </c>
      <c r="CF526" s="989" t="str">
        <f t="shared" si="1530"/>
        <v/>
      </c>
      <c r="CG526" s="989" t="str">
        <f t="shared" si="1530"/>
        <v/>
      </c>
      <c r="CH526" s="990" t="str">
        <f t="shared" si="1530"/>
        <v/>
      </c>
      <c r="CI526" s="990" t="str">
        <f t="shared" si="1530"/>
        <v/>
      </c>
      <c r="CJ526" s="989" t="str">
        <f t="shared" si="1530"/>
        <v/>
      </c>
      <c r="CK526" s="989" t="str">
        <f t="shared" si="1530"/>
        <v/>
      </c>
      <c r="CL526" s="989" t="str">
        <f t="shared" si="1530"/>
        <v/>
      </c>
      <c r="CM526" s="988" t="str">
        <f t="shared" si="1530"/>
        <v/>
      </c>
      <c r="CN526" s="533" t="str">
        <f t="shared" si="1440"/>
        <v/>
      </c>
      <c r="CO526" s="534" t="str">
        <f t="shared" si="1441"/>
        <v/>
      </c>
      <c r="CP526" s="535" t="str">
        <f t="shared" si="1442"/>
        <v/>
      </c>
      <c r="CQ526" s="535" t="str">
        <f t="shared" si="1443"/>
        <v/>
      </c>
      <c r="CR526" s="535" t="str">
        <f t="shared" si="1444"/>
        <v/>
      </c>
      <c r="CS526" s="535" t="str">
        <f t="shared" si="1445"/>
        <v/>
      </c>
      <c r="CT526" s="535" t="str">
        <f t="shared" si="1446"/>
        <v/>
      </c>
      <c r="CU526" s="536" t="str">
        <f t="shared" si="1447"/>
        <v/>
      </c>
      <c r="CV526" s="536" t="str">
        <f t="shared" si="1448"/>
        <v/>
      </c>
      <c r="CW526" s="536" t="str">
        <f t="shared" si="1449"/>
        <v/>
      </c>
      <c r="CX526" s="535" t="str">
        <f t="shared" si="1450"/>
        <v/>
      </c>
      <c r="CY526" s="535" t="str">
        <f t="shared" si="1451"/>
        <v/>
      </c>
      <c r="CZ526" s="535" t="str">
        <f t="shared" si="1452"/>
        <v/>
      </c>
      <c r="DA526" s="535" t="str">
        <f t="shared" si="1453"/>
        <v/>
      </c>
      <c r="DB526" s="535" t="str">
        <f t="shared" si="1454"/>
        <v/>
      </c>
      <c r="DC526" s="534" t="str">
        <f t="shared" si="1455"/>
        <v/>
      </c>
      <c r="DD526" s="533" t="str">
        <f t="shared" si="1456"/>
        <v/>
      </c>
      <c r="DE526" s="635">
        <f t="shared" si="1457"/>
        <v>0</v>
      </c>
      <c r="DF526" s="95">
        <f t="shared" si="1458"/>
        <v>0</v>
      </c>
      <c r="DG526" s="95">
        <f t="shared" si="1459"/>
        <v>0</v>
      </c>
      <c r="DH526" s="95">
        <f t="shared" si="1460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440"/>
        <v/>
      </c>
      <c r="CO527" s="534" t="str">
        <f t="shared" si="1441"/>
        <v/>
      </c>
      <c r="CP527" s="535" t="str">
        <f t="shared" si="1442"/>
        <v/>
      </c>
      <c r="CQ527" s="535" t="str">
        <f t="shared" si="1443"/>
        <v/>
      </c>
      <c r="CR527" s="535" t="str">
        <f t="shared" si="1444"/>
        <v/>
      </c>
      <c r="CS527" s="535" t="str">
        <f t="shared" si="1445"/>
        <v/>
      </c>
      <c r="CT527" s="535" t="str">
        <f t="shared" si="1446"/>
        <v/>
      </c>
      <c r="CU527" s="536" t="str">
        <f t="shared" si="1447"/>
        <v/>
      </c>
      <c r="CV527" s="536" t="str">
        <f t="shared" si="1448"/>
        <v/>
      </c>
      <c r="CW527" s="536" t="str">
        <f t="shared" si="1449"/>
        <v/>
      </c>
      <c r="CX527" s="535" t="str">
        <f t="shared" si="1450"/>
        <v/>
      </c>
      <c r="CY527" s="535" t="str">
        <f t="shared" si="1451"/>
        <v/>
      </c>
      <c r="CZ527" s="535" t="str">
        <f t="shared" si="1452"/>
        <v/>
      </c>
      <c r="DA527" s="535" t="str">
        <f t="shared" si="1453"/>
        <v/>
      </c>
      <c r="DB527" s="535" t="str">
        <f t="shared" si="1454"/>
        <v/>
      </c>
      <c r="DC527" s="534" t="str">
        <f t="shared" si="1455"/>
        <v/>
      </c>
      <c r="DD527" s="533" t="str">
        <f t="shared" si="1456"/>
        <v/>
      </c>
      <c r="DE527" s="635">
        <f t="shared" ref="DE527:DE562" si="1539">COUNT(B527:R527)</f>
        <v>0</v>
      </c>
      <c r="DF527" s="95">
        <f t="shared" ref="DF527:DF562" si="1540">COUNT(T527:AJ527)</f>
        <v>0</v>
      </c>
      <c r="DG527" s="95">
        <f t="shared" ref="DG527:DG562" si="1541">COUNT(AL527:BB527)</f>
        <v>0</v>
      </c>
      <c r="DH527" s="95">
        <f t="shared" ref="DH527:DH562" si="1542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989" t="str">
        <f t="shared" si="1525"/>
        <v/>
      </c>
      <c r="CF528" s="989" t="str">
        <f t="shared" si="1525"/>
        <v/>
      </c>
      <c r="CG528" s="989" t="str">
        <f t="shared" si="1525"/>
        <v/>
      </c>
      <c r="CH528" s="990" t="str">
        <f t="shared" si="1525"/>
        <v/>
      </c>
      <c r="CI528" s="990" t="str">
        <f t="shared" si="1525"/>
        <v/>
      </c>
      <c r="CJ528" s="989" t="str">
        <f t="shared" si="1525"/>
        <v/>
      </c>
      <c r="CK528" s="989" t="str">
        <f t="shared" si="1525"/>
        <v/>
      </c>
      <c r="CL528" s="989" t="str">
        <f t="shared" si="1525"/>
        <v/>
      </c>
      <c r="CM528" s="988" t="str">
        <f t="shared" si="1525"/>
        <v/>
      </c>
      <c r="CN528" s="533" t="str">
        <f t="shared" si="1440"/>
        <v/>
      </c>
      <c r="CO528" s="534" t="str">
        <f t="shared" si="1441"/>
        <v/>
      </c>
      <c r="CP528" s="535" t="str">
        <f t="shared" si="1442"/>
        <v/>
      </c>
      <c r="CQ528" s="535" t="str">
        <f t="shared" si="1443"/>
        <v/>
      </c>
      <c r="CR528" s="535" t="str">
        <f t="shared" si="1444"/>
        <v/>
      </c>
      <c r="CS528" s="535" t="str">
        <f t="shared" si="1445"/>
        <v/>
      </c>
      <c r="CT528" s="535" t="str">
        <f t="shared" si="1446"/>
        <v/>
      </c>
      <c r="CU528" s="536" t="str">
        <f t="shared" si="1447"/>
        <v/>
      </c>
      <c r="CV528" s="536" t="str">
        <f t="shared" si="1448"/>
        <v/>
      </c>
      <c r="CW528" s="536" t="str">
        <f t="shared" si="1449"/>
        <v/>
      </c>
      <c r="CX528" s="535" t="str">
        <f t="shared" si="1450"/>
        <v/>
      </c>
      <c r="CY528" s="535" t="str">
        <f t="shared" si="1451"/>
        <v/>
      </c>
      <c r="CZ528" s="535" t="str">
        <f t="shared" si="1452"/>
        <v/>
      </c>
      <c r="DA528" s="535" t="str">
        <f t="shared" si="1453"/>
        <v/>
      </c>
      <c r="DB528" s="535" t="str">
        <f t="shared" si="1454"/>
        <v/>
      </c>
      <c r="DC528" s="534" t="str">
        <f t="shared" si="1455"/>
        <v/>
      </c>
      <c r="DD528" s="533" t="str">
        <f t="shared" si="1456"/>
        <v/>
      </c>
      <c r="DE528" s="635">
        <f t="shared" si="1539"/>
        <v>0</v>
      </c>
      <c r="DF528" s="95">
        <f t="shared" si="1540"/>
        <v>0</v>
      </c>
      <c r="DG528" s="95">
        <f t="shared" si="1541"/>
        <v>0</v>
      </c>
      <c r="DH528" s="95">
        <f t="shared" si="1542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543">1580*$K$1</f>
        <v>6615.1439999999993</v>
      </c>
      <c r="D529" s="740">
        <f t="shared" si="1543"/>
        <v>6615.1439999999993</v>
      </c>
      <c r="E529" s="740">
        <f t="shared" si="1543"/>
        <v>6615.1439999999993</v>
      </c>
      <c r="F529" s="740">
        <f t="shared" si="1543"/>
        <v>6615.1439999999993</v>
      </c>
      <c r="G529" s="740">
        <f t="shared" si="1543"/>
        <v>6615.1439999999993</v>
      </c>
      <c r="H529" s="740">
        <f t="shared" si="1543"/>
        <v>6615.1439999999993</v>
      </c>
      <c r="I529" s="740">
        <f t="shared" si="1543"/>
        <v>6615.1439999999993</v>
      </c>
      <c r="J529" s="740">
        <f t="shared" si="1543"/>
        <v>6615.1439999999993</v>
      </c>
      <c r="K529" s="740">
        <f t="shared" si="1543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544">1580*$K$1</f>
        <v>6615.1439999999993</v>
      </c>
      <c r="V529" s="740">
        <f t="shared" si="1544"/>
        <v>6615.1439999999993</v>
      </c>
      <c r="W529" s="740">
        <f t="shared" si="1544"/>
        <v>6615.1439999999993</v>
      </c>
      <c r="X529" s="740">
        <f t="shared" si="1544"/>
        <v>6615.1439999999993</v>
      </c>
      <c r="Y529" s="740">
        <f t="shared" si="1544"/>
        <v>6615.1439999999993</v>
      </c>
      <c r="Z529" s="740">
        <f t="shared" si="1544"/>
        <v>6615.1439999999993</v>
      </c>
      <c r="AA529" s="740">
        <f t="shared" si="1544"/>
        <v>6615.1439999999993</v>
      </c>
      <c r="AB529" s="740">
        <f t="shared" si="1544"/>
        <v>6615.1439999999993</v>
      </c>
      <c r="AC529" s="740">
        <f t="shared" si="1544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545">1580*$K$1</f>
        <v>6615.1439999999993</v>
      </c>
      <c r="AN529" s="740">
        <f t="shared" si="1545"/>
        <v>6615.1439999999993</v>
      </c>
      <c r="AO529" s="740">
        <f t="shared" si="1545"/>
        <v>6615.1439999999993</v>
      </c>
      <c r="AP529" s="740">
        <f t="shared" si="1545"/>
        <v>6615.1439999999993</v>
      </c>
      <c r="AQ529" s="740">
        <f t="shared" si="1545"/>
        <v>6615.1439999999993</v>
      </c>
      <c r="AR529" s="740">
        <f t="shared" si="1545"/>
        <v>6615.1439999999993</v>
      </c>
      <c r="AS529" s="740">
        <f t="shared" si="1545"/>
        <v>6615.1439999999993</v>
      </c>
      <c r="AT529" s="740">
        <f t="shared" si="1545"/>
        <v>6615.1439999999993</v>
      </c>
      <c r="AU529" s="740">
        <f t="shared" si="1545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546">1580*$K$1</f>
        <v>6615.1439999999993</v>
      </c>
      <c r="BE529" s="1236">
        <f t="shared" si="1546"/>
        <v>6615.1439999999993</v>
      </c>
      <c r="BF529" s="1236">
        <f t="shared" si="1546"/>
        <v>6615.1439999999993</v>
      </c>
      <c r="BG529" s="1236">
        <f t="shared" si="1546"/>
        <v>6615.1439999999993</v>
      </c>
      <c r="BH529" s="1236">
        <f t="shared" si="1546"/>
        <v>6615.1439999999993</v>
      </c>
      <c r="BI529" s="1236">
        <f t="shared" si="1546"/>
        <v>6615.1439999999993</v>
      </c>
      <c r="BJ529" s="1236">
        <f t="shared" si="1546"/>
        <v>6615.1439999999993</v>
      </c>
      <c r="BK529" s="1236">
        <f t="shared" si="1546"/>
        <v>6615.1439999999993</v>
      </c>
      <c r="BL529" s="1236">
        <f t="shared" si="1546"/>
        <v>6615.1439999999993</v>
      </c>
      <c r="BM529" s="1236">
        <f t="shared" si="1546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>1580*$K$1</f>
        <v>6615.1439999999993</v>
      </c>
      <c r="BW529" s="740">
        <f>1580*$K$1</f>
        <v>6615.1439999999993</v>
      </c>
      <c r="BX529" s="740">
        <f>1580*$K$1</f>
        <v>6615.1439999999993</v>
      </c>
      <c r="BY529" s="740">
        <f>1580*$K$1</f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989">
        <f t="shared" si="1525"/>
        <v>6615.1439999999993</v>
      </c>
      <c r="CF529" s="989">
        <f t="shared" si="1525"/>
        <v>6615.1439999999993</v>
      </c>
      <c r="CG529" s="989">
        <f t="shared" si="1525"/>
        <v>6615.1439999999993</v>
      </c>
      <c r="CH529" s="990">
        <f t="shared" si="1525"/>
        <v>6615.1439999999993</v>
      </c>
      <c r="CI529" s="990">
        <f t="shared" si="1525"/>
        <v>6615.1439999999993</v>
      </c>
      <c r="CJ529" s="989">
        <f t="shared" si="1525"/>
        <v>6615.1439999999993</v>
      </c>
      <c r="CK529" s="989">
        <f t="shared" si="1525"/>
        <v>6615.1439999999993</v>
      </c>
      <c r="CL529" s="989">
        <f t="shared" si="1525"/>
        <v>6615.1439999999993</v>
      </c>
      <c r="CM529" s="988">
        <f t="shared" si="1525"/>
        <v>6615.1439999999993</v>
      </c>
      <c r="CN529" s="533" t="str">
        <f t="shared" si="1440"/>
        <v/>
      </c>
      <c r="CO529" s="534" t="str">
        <f t="shared" si="1441"/>
        <v/>
      </c>
      <c r="CP529" s="535" t="str">
        <f t="shared" si="1442"/>
        <v/>
      </c>
      <c r="CQ529" s="535" t="str">
        <f t="shared" si="1443"/>
        <v/>
      </c>
      <c r="CR529" s="535">
        <f t="shared" si="1444"/>
        <v>6615.1439999999993</v>
      </c>
      <c r="CS529" s="535">
        <f t="shared" si="1445"/>
        <v>6615.1439999999993</v>
      </c>
      <c r="CT529" s="535">
        <f t="shared" si="1446"/>
        <v>6615.1439999999993</v>
      </c>
      <c r="CU529" s="536">
        <f t="shared" si="1447"/>
        <v>6615.1439999999993</v>
      </c>
      <c r="CV529" s="536">
        <f t="shared" si="1448"/>
        <v>6615.1439999999993</v>
      </c>
      <c r="CW529" s="536">
        <f t="shared" si="1449"/>
        <v>6615.1439999999993</v>
      </c>
      <c r="CX529" s="535">
        <f t="shared" si="1450"/>
        <v>6615.1439999999993</v>
      </c>
      <c r="CY529" s="535">
        <f t="shared" si="1451"/>
        <v>6615.1439999999993</v>
      </c>
      <c r="CZ529" s="535">
        <f t="shared" si="1452"/>
        <v>6615.1439999999993</v>
      </c>
      <c r="DA529" s="535">
        <f t="shared" si="1453"/>
        <v>6615.1439999999993</v>
      </c>
      <c r="DB529" s="535" t="str">
        <f t="shared" si="1454"/>
        <v/>
      </c>
      <c r="DC529" s="534" t="str">
        <f t="shared" si="1455"/>
        <v/>
      </c>
      <c r="DD529" s="533" t="str">
        <f t="shared" si="1456"/>
        <v/>
      </c>
      <c r="DE529" s="635">
        <f t="shared" si="1539"/>
        <v>10</v>
      </c>
      <c r="DF529" s="95">
        <f t="shared" si="1540"/>
        <v>10</v>
      </c>
      <c r="DG529" s="95">
        <f t="shared" si="1541"/>
        <v>10</v>
      </c>
      <c r="DH529" s="95">
        <f t="shared" si="1542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547">IF(C528="","",C528*C529/C$46/365/$G$1)</f>
        <v/>
      </c>
      <c r="D530" s="742" t="str">
        <f t="shared" si="1547"/>
        <v/>
      </c>
      <c r="E530" s="742" t="str">
        <f t="shared" si="1547"/>
        <v/>
      </c>
      <c r="F530" s="742" t="str">
        <f t="shared" si="1547"/>
        <v/>
      </c>
      <c r="G530" s="742" t="str">
        <f t="shared" si="1547"/>
        <v/>
      </c>
      <c r="H530" s="742" t="str">
        <f t="shared" si="1547"/>
        <v/>
      </c>
      <c r="I530" s="742" t="str">
        <f t="shared" si="1547"/>
        <v/>
      </c>
      <c r="J530" s="742" t="str">
        <f t="shared" si="1547"/>
        <v/>
      </c>
      <c r="K530" s="742" t="str">
        <f t="shared" si="1547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 t="shared" ref="T530:AC530" si="1548">IF(T528="","",T528*T529/T$46/365/$G$1)</f>
        <v/>
      </c>
      <c r="U530" s="742" t="str">
        <f t="shared" si="1548"/>
        <v/>
      </c>
      <c r="V530" s="742" t="str">
        <f t="shared" si="1548"/>
        <v/>
      </c>
      <c r="W530" s="742" t="str">
        <f t="shared" si="1548"/>
        <v/>
      </c>
      <c r="X530" s="742" t="str">
        <f t="shared" si="1548"/>
        <v/>
      </c>
      <c r="Y530" s="742" t="str">
        <f t="shared" si="1548"/>
        <v/>
      </c>
      <c r="Z530" s="742" t="str">
        <f t="shared" si="1548"/>
        <v/>
      </c>
      <c r="AA530" s="742" t="str">
        <f t="shared" si="1548"/>
        <v/>
      </c>
      <c r="AB530" s="742" t="str">
        <f t="shared" si="1548"/>
        <v/>
      </c>
      <c r="AC530" s="742" t="str">
        <f t="shared" si="1548"/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 t="shared" ref="AL530:AU530" si="1549">IF(AL528="","",AL528*AL529/AL$46/365/$G$1)</f>
        <v/>
      </c>
      <c r="AM530" s="742" t="str">
        <f t="shared" si="1549"/>
        <v/>
      </c>
      <c r="AN530" s="742" t="str">
        <f t="shared" si="1549"/>
        <v/>
      </c>
      <c r="AO530" s="742" t="str">
        <f t="shared" si="1549"/>
        <v/>
      </c>
      <c r="AP530" s="742" t="str">
        <f t="shared" si="1549"/>
        <v/>
      </c>
      <c r="AQ530" s="742" t="str">
        <f t="shared" si="1549"/>
        <v/>
      </c>
      <c r="AR530" s="742" t="str">
        <f t="shared" si="1549"/>
        <v/>
      </c>
      <c r="AS530" s="742" t="str">
        <f t="shared" si="1549"/>
        <v/>
      </c>
      <c r="AT530" s="742" t="str">
        <f t="shared" si="1549"/>
        <v/>
      </c>
      <c r="AU530" s="742" t="str">
        <f t="shared" si="1549"/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550">IF(BE528="","",BE528*BE529/BE$46/365/$G$1)</f>
        <v/>
      </c>
      <c r="BF530" s="1241" t="str">
        <f t="shared" si="1550"/>
        <v/>
      </c>
      <c r="BG530" s="1241" t="str">
        <f t="shared" si="1550"/>
        <v/>
      </c>
      <c r="BH530" s="1241" t="str">
        <f t="shared" si="1550"/>
        <v/>
      </c>
      <c r="BI530" s="1241" t="str">
        <f t="shared" si="1550"/>
        <v/>
      </c>
      <c r="BJ530" s="1241" t="str">
        <f t="shared" si="1550"/>
        <v/>
      </c>
      <c r="BK530" s="1241" t="str">
        <f t="shared" si="1550"/>
        <v/>
      </c>
      <c r="BL530" s="1241" t="str">
        <f t="shared" si="1550"/>
        <v/>
      </c>
      <c r="BM530" s="1241" t="str">
        <f t="shared" si="1550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>IF(BV528="","",BV528*BV529/BV$46/365/$G$1)</f>
        <v/>
      </c>
      <c r="BW530" s="742">
        <f>IF(BW528="","",BW528*BW529/BW$46/365/$G$1)</f>
        <v>6.1785280199252793E-3</v>
      </c>
      <c r="BX530" s="742">
        <f>IF(BX528="","",BX528*BX529/BX$46/365/$G$1)</f>
        <v>0</v>
      </c>
      <c r="BY530" s="742" t="str">
        <f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525"/>
        <v/>
      </c>
      <c r="CF530" s="992" t="str">
        <f t="shared" si="1525"/>
        <v/>
      </c>
      <c r="CG530" s="992" t="str">
        <f t="shared" si="1525"/>
        <v/>
      </c>
      <c r="CH530" s="993" t="str">
        <f t="shared" si="1525"/>
        <v/>
      </c>
      <c r="CI530" s="993" t="str">
        <f t="shared" si="1525"/>
        <v/>
      </c>
      <c r="CJ530" s="992" t="str">
        <f t="shared" si="1525"/>
        <v/>
      </c>
      <c r="CK530" s="992" t="str">
        <f t="shared" si="1525"/>
        <v/>
      </c>
      <c r="CL530" s="992" t="str">
        <f t="shared" si="1525"/>
        <v/>
      </c>
      <c r="CM530" s="991" t="str">
        <f t="shared" si="1525"/>
        <v/>
      </c>
      <c r="CN530" s="521" t="str">
        <f t="shared" si="1440"/>
        <v/>
      </c>
      <c r="CO530" s="522" t="str">
        <f t="shared" si="1441"/>
        <v/>
      </c>
      <c r="CP530" s="523" t="str">
        <f t="shared" si="1442"/>
        <v/>
      </c>
      <c r="CQ530" s="523" t="str">
        <f t="shared" si="1443"/>
        <v/>
      </c>
      <c r="CR530" s="523" t="str">
        <f t="shared" si="1444"/>
        <v/>
      </c>
      <c r="CS530" s="523" t="str">
        <f t="shared" si="1445"/>
        <v/>
      </c>
      <c r="CT530" s="523" t="str">
        <f t="shared" si="1446"/>
        <v/>
      </c>
      <c r="CU530" s="524" t="str">
        <f t="shared" si="1447"/>
        <v/>
      </c>
      <c r="CV530" s="524" t="str">
        <f t="shared" si="1448"/>
        <v/>
      </c>
      <c r="CW530" s="524" t="str">
        <f t="shared" si="1449"/>
        <v/>
      </c>
      <c r="CX530" s="523" t="str">
        <f t="shared" si="1450"/>
        <v/>
      </c>
      <c r="CY530" s="523" t="str">
        <f t="shared" si="1451"/>
        <v/>
      </c>
      <c r="CZ530" s="523" t="str">
        <f t="shared" si="1452"/>
        <v/>
      </c>
      <c r="DA530" s="523" t="str">
        <f t="shared" si="1453"/>
        <v/>
      </c>
      <c r="DB530" s="523" t="str">
        <f t="shared" si="1454"/>
        <v/>
      </c>
      <c r="DC530" s="522" t="str">
        <f t="shared" si="1455"/>
        <v/>
      </c>
      <c r="DD530" s="521" t="str">
        <f t="shared" si="1456"/>
        <v/>
      </c>
      <c r="DE530" s="635">
        <f t="shared" si="1539"/>
        <v>0</v>
      </c>
      <c r="DF530" s="95">
        <f t="shared" si="1540"/>
        <v>0</v>
      </c>
      <c r="DG530" s="95">
        <f t="shared" si="1541"/>
        <v>0</v>
      </c>
      <c r="DH530" s="95">
        <f t="shared" si="1542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989" t="str">
        <f t="shared" si="1525"/>
        <v/>
      </c>
      <c r="CF531" s="989" t="str">
        <f t="shared" si="1525"/>
        <v/>
      </c>
      <c r="CG531" s="989" t="str">
        <f t="shared" si="1525"/>
        <v/>
      </c>
      <c r="CH531" s="990" t="str">
        <f t="shared" si="1525"/>
        <v/>
      </c>
      <c r="CI531" s="990" t="str">
        <f t="shared" si="1525"/>
        <v/>
      </c>
      <c r="CJ531" s="989" t="str">
        <f t="shared" si="1525"/>
        <v/>
      </c>
      <c r="CK531" s="989" t="str">
        <f t="shared" si="1525"/>
        <v/>
      </c>
      <c r="CL531" s="989" t="str">
        <f t="shared" si="1525"/>
        <v/>
      </c>
      <c r="CM531" s="988" t="str">
        <f t="shared" si="1525"/>
        <v/>
      </c>
      <c r="CN531" s="533" t="str">
        <f t="shared" si="1440"/>
        <v/>
      </c>
      <c r="CO531" s="534" t="str">
        <f t="shared" si="1441"/>
        <v/>
      </c>
      <c r="CP531" s="535" t="str">
        <f t="shared" si="1442"/>
        <v/>
      </c>
      <c r="CQ531" s="535" t="str">
        <f t="shared" si="1443"/>
        <v/>
      </c>
      <c r="CR531" s="535" t="str">
        <f t="shared" si="1444"/>
        <v/>
      </c>
      <c r="CS531" s="535" t="str">
        <f t="shared" si="1445"/>
        <v/>
      </c>
      <c r="CT531" s="535" t="str">
        <f t="shared" si="1446"/>
        <v/>
      </c>
      <c r="CU531" s="536" t="str">
        <f t="shared" si="1447"/>
        <v/>
      </c>
      <c r="CV531" s="536" t="str">
        <f t="shared" si="1448"/>
        <v/>
      </c>
      <c r="CW531" s="536" t="str">
        <f t="shared" si="1449"/>
        <v/>
      </c>
      <c r="CX531" s="535" t="str">
        <f t="shared" si="1450"/>
        <v/>
      </c>
      <c r="CY531" s="535" t="str">
        <f t="shared" si="1451"/>
        <v/>
      </c>
      <c r="CZ531" s="535" t="str">
        <f t="shared" si="1452"/>
        <v/>
      </c>
      <c r="DA531" s="535" t="str">
        <f t="shared" si="1453"/>
        <v/>
      </c>
      <c r="DB531" s="535" t="str">
        <f t="shared" si="1454"/>
        <v/>
      </c>
      <c r="DC531" s="534" t="str">
        <f t="shared" si="1455"/>
        <v/>
      </c>
      <c r="DD531" s="533" t="str">
        <f t="shared" si="1456"/>
        <v/>
      </c>
      <c r="DE531" s="635">
        <f t="shared" si="1539"/>
        <v>0</v>
      </c>
      <c r="DF531" s="95">
        <f t="shared" si="1540"/>
        <v>0</v>
      </c>
      <c r="DG531" s="95">
        <f t="shared" si="1541"/>
        <v>0</v>
      </c>
      <c r="DH531" s="95">
        <f t="shared" si="1542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551">IF(C531="","",C528*C531)</f>
        <v/>
      </c>
      <c r="D532" s="739" t="str">
        <f t="shared" si="1551"/>
        <v/>
      </c>
      <c r="E532" s="739" t="str">
        <f t="shared" si="1551"/>
        <v/>
      </c>
      <c r="F532" s="739" t="str">
        <f t="shared" si="1551"/>
        <v/>
      </c>
      <c r="G532" s="739" t="str">
        <f t="shared" si="1551"/>
        <v/>
      </c>
      <c r="H532" s="739" t="str">
        <f t="shared" si="1551"/>
        <v/>
      </c>
      <c r="I532" s="739" t="str">
        <f t="shared" si="1551"/>
        <v/>
      </c>
      <c r="J532" s="739" t="str">
        <f t="shared" si="1551"/>
        <v/>
      </c>
      <c r="K532" s="739" t="str">
        <f t="shared" si="1551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 t="shared" ref="T532:AC532" si="1552">IF(T531="","",T528*T531)</f>
        <v/>
      </c>
      <c r="U532" s="739" t="str">
        <f t="shared" si="1552"/>
        <v/>
      </c>
      <c r="V532" s="739" t="str">
        <f t="shared" si="1552"/>
        <v/>
      </c>
      <c r="W532" s="739" t="str">
        <f t="shared" si="1552"/>
        <v/>
      </c>
      <c r="X532" s="739" t="str">
        <f t="shared" si="1552"/>
        <v/>
      </c>
      <c r="Y532" s="739" t="str">
        <f t="shared" si="1552"/>
        <v/>
      </c>
      <c r="Z532" s="739" t="str">
        <f t="shared" si="1552"/>
        <v/>
      </c>
      <c r="AA532" s="739" t="str">
        <f t="shared" si="1552"/>
        <v/>
      </c>
      <c r="AB532" s="739" t="str">
        <f t="shared" si="1552"/>
        <v/>
      </c>
      <c r="AC532" s="739" t="str">
        <f t="shared" si="1552"/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 t="shared" ref="AL532:AU532" si="1553">IF(AL531="","",AL528*AL531)</f>
        <v/>
      </c>
      <c r="AM532" s="739" t="str">
        <f t="shared" si="1553"/>
        <v/>
      </c>
      <c r="AN532" s="739" t="str">
        <f t="shared" si="1553"/>
        <v/>
      </c>
      <c r="AO532" s="739" t="str">
        <f t="shared" si="1553"/>
        <v/>
      </c>
      <c r="AP532" s="739" t="str">
        <f t="shared" si="1553"/>
        <v/>
      </c>
      <c r="AQ532" s="739" t="str">
        <f t="shared" si="1553"/>
        <v/>
      </c>
      <c r="AR532" s="739" t="str">
        <f t="shared" si="1553"/>
        <v/>
      </c>
      <c r="AS532" s="739" t="str">
        <f t="shared" si="1553"/>
        <v/>
      </c>
      <c r="AT532" s="739" t="str">
        <f t="shared" si="1553"/>
        <v/>
      </c>
      <c r="AU532" s="739" t="str">
        <f t="shared" si="1553"/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554">IF(BE531="","",BE528*BE531)</f>
        <v/>
      </c>
      <c r="BF532" s="1237" t="str">
        <f t="shared" si="1554"/>
        <v/>
      </c>
      <c r="BG532" s="1237" t="str">
        <f t="shared" si="1554"/>
        <v/>
      </c>
      <c r="BH532" s="1237" t="str">
        <f t="shared" si="1554"/>
        <v/>
      </c>
      <c r="BI532" s="1237" t="str">
        <f t="shared" si="1554"/>
        <v/>
      </c>
      <c r="BJ532" s="1237" t="str">
        <f t="shared" si="1554"/>
        <v/>
      </c>
      <c r="BK532" s="1237" t="str">
        <f t="shared" si="1554"/>
        <v/>
      </c>
      <c r="BL532" s="1237" t="str">
        <f t="shared" si="1554"/>
        <v/>
      </c>
      <c r="BM532" s="1237" t="str">
        <f t="shared" si="1554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>IF(BV531="","",BV528*BV531)</f>
        <v/>
      </c>
      <c r="BW532" s="739">
        <f>IF(BW531="","",BW528*BW531)</f>
        <v>420</v>
      </c>
      <c r="BX532" s="739" t="str">
        <f>IF(BX531="","",BX528*BX531)</f>
        <v/>
      </c>
      <c r="BY532" s="739" t="str">
        <f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989" t="str">
        <f t="shared" ref="CE532:CM547" si="155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555"/>
        <v/>
      </c>
      <c r="CG532" s="989" t="str">
        <f t="shared" si="1555"/>
        <v/>
      </c>
      <c r="CH532" s="990" t="str">
        <f t="shared" si="1555"/>
        <v/>
      </c>
      <c r="CI532" s="990" t="str">
        <f t="shared" si="1555"/>
        <v/>
      </c>
      <c r="CJ532" s="989" t="str">
        <f t="shared" si="1555"/>
        <v/>
      </c>
      <c r="CK532" s="989" t="str">
        <f t="shared" si="1555"/>
        <v/>
      </c>
      <c r="CL532" s="989" t="str">
        <f t="shared" si="1555"/>
        <v/>
      </c>
      <c r="CM532" s="988" t="str">
        <f t="shared" si="1555"/>
        <v/>
      </c>
      <c r="CN532" s="533" t="str">
        <f t="shared" si="1440"/>
        <v/>
      </c>
      <c r="CO532" s="534" t="str">
        <f t="shared" si="1441"/>
        <v/>
      </c>
      <c r="CP532" s="535" t="str">
        <f t="shared" si="1442"/>
        <v/>
      </c>
      <c r="CQ532" s="535" t="str">
        <f t="shared" si="1443"/>
        <v/>
      </c>
      <c r="CR532" s="535" t="str">
        <f t="shared" si="1444"/>
        <v/>
      </c>
      <c r="CS532" s="535" t="str">
        <f t="shared" si="1445"/>
        <v/>
      </c>
      <c r="CT532" s="535" t="str">
        <f t="shared" si="1446"/>
        <v/>
      </c>
      <c r="CU532" s="536" t="str">
        <f t="shared" si="1447"/>
        <v/>
      </c>
      <c r="CV532" s="536" t="str">
        <f t="shared" si="1448"/>
        <v/>
      </c>
      <c r="CW532" s="536" t="str">
        <f t="shared" si="1449"/>
        <v/>
      </c>
      <c r="CX532" s="535" t="str">
        <f t="shared" si="1450"/>
        <v/>
      </c>
      <c r="CY532" s="535" t="str">
        <f t="shared" si="1451"/>
        <v/>
      </c>
      <c r="CZ532" s="535" t="str">
        <f t="shared" si="1452"/>
        <v/>
      </c>
      <c r="DA532" s="535" t="str">
        <f t="shared" si="1453"/>
        <v/>
      </c>
      <c r="DB532" s="535" t="str">
        <f t="shared" si="1454"/>
        <v/>
      </c>
      <c r="DC532" s="534" t="str">
        <f t="shared" si="1455"/>
        <v/>
      </c>
      <c r="DD532" s="533" t="str">
        <f t="shared" si="1456"/>
        <v/>
      </c>
      <c r="DE532" s="635">
        <f t="shared" si="1539"/>
        <v>0</v>
      </c>
      <c r="DF532" s="95">
        <f t="shared" si="1540"/>
        <v>0</v>
      </c>
      <c r="DG532" s="95">
        <f t="shared" si="1541"/>
        <v>0</v>
      </c>
      <c r="DH532" s="95">
        <f t="shared" si="1542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1189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440"/>
        <v/>
      </c>
      <c r="CO533" s="534" t="str">
        <f t="shared" si="1441"/>
        <v/>
      </c>
      <c r="CP533" s="535" t="str">
        <f t="shared" si="1442"/>
        <v/>
      </c>
      <c r="CQ533" s="535" t="str">
        <f t="shared" si="1443"/>
        <v/>
      </c>
      <c r="CR533" s="535" t="str">
        <f t="shared" si="1444"/>
        <v/>
      </c>
      <c r="CS533" s="535" t="str">
        <f t="shared" si="1445"/>
        <v/>
      </c>
      <c r="CT533" s="535" t="str">
        <f t="shared" si="1446"/>
        <v/>
      </c>
      <c r="CU533" s="536" t="str">
        <f t="shared" si="1447"/>
        <v/>
      </c>
      <c r="CV533" s="536" t="str">
        <f t="shared" si="1448"/>
        <v/>
      </c>
      <c r="CW533" s="536" t="str">
        <f t="shared" si="1449"/>
        <v/>
      </c>
      <c r="CX533" s="535" t="str">
        <f t="shared" si="1450"/>
        <v/>
      </c>
      <c r="CY533" s="535" t="str">
        <f t="shared" si="1451"/>
        <v/>
      </c>
      <c r="CZ533" s="535" t="str">
        <f t="shared" si="1452"/>
        <v/>
      </c>
      <c r="DA533" s="535" t="str">
        <f t="shared" si="1453"/>
        <v/>
      </c>
      <c r="DB533" s="535" t="str">
        <f t="shared" si="1454"/>
        <v/>
      </c>
      <c r="DC533" s="534" t="str">
        <f t="shared" si="1455"/>
        <v/>
      </c>
      <c r="DD533" s="533" t="str">
        <f t="shared" si="1456"/>
        <v/>
      </c>
      <c r="DE533" s="635">
        <f t="shared" si="1539"/>
        <v>0</v>
      </c>
      <c r="DF533" s="95">
        <f t="shared" si="1540"/>
        <v>0</v>
      </c>
      <c r="DG533" s="95">
        <f t="shared" si="1541"/>
        <v>0</v>
      </c>
      <c r="DH533" s="95">
        <f t="shared" si="1542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556">IF(DE534&lt;3,"",(SUM(B534:R534)-MIN(B534:R534)-MAX(B534:R534))/(DE534-2))</f>
        <v/>
      </c>
      <c r="CA534" s="582" t="str">
        <f t="shared" ref="CA534:CA544" si="1557">IF(DF534&lt;3,"",(SUM(T534:AJ534)-MIN(T534:AJ534)-MAX(T534:AJ534))/(DF534-2))</f>
        <v/>
      </c>
      <c r="CB534" s="582" t="str">
        <f t="shared" ref="CB534:CB544" si="1558">IF(DG534&lt;3,"",(SUM(AL534:BB534)-MIN(AL534:BB534)-MAX(AL534:BB534))/(DG534-2))</f>
        <v/>
      </c>
      <c r="CC534" s="670" t="str">
        <f t="shared" ref="CC534:CC544" si="1559">IF(DH534&lt;3,"",(SUM(BD534:BT534)-MIN(BD534:BT534)-MAX(BD534:BT534))/(DH534-2))</f>
        <v/>
      </c>
      <c r="CD534" s="988" t="str">
        <f t="shared" ref="CD534:CD544" si="156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989" t="str">
        <f t="shared" si="1555"/>
        <v/>
      </c>
      <c r="CF534" s="989" t="str">
        <f t="shared" si="1555"/>
        <v/>
      </c>
      <c r="CG534" s="989" t="str">
        <f t="shared" si="1555"/>
        <v/>
      </c>
      <c r="CH534" s="990" t="str">
        <f t="shared" si="1555"/>
        <v/>
      </c>
      <c r="CI534" s="990" t="str">
        <f t="shared" si="1555"/>
        <v/>
      </c>
      <c r="CJ534" s="989" t="str">
        <f t="shared" si="1555"/>
        <v/>
      </c>
      <c r="CK534" s="989" t="str">
        <f t="shared" si="1555"/>
        <v/>
      </c>
      <c r="CL534" s="989" t="str">
        <f t="shared" si="1555"/>
        <v/>
      </c>
      <c r="CM534" s="988" t="str">
        <f t="shared" si="1555"/>
        <v/>
      </c>
      <c r="CN534" s="533" t="str">
        <f t="shared" si="1440"/>
        <v/>
      </c>
      <c r="CO534" s="534" t="str">
        <f t="shared" si="1441"/>
        <v/>
      </c>
      <c r="CP534" s="535" t="str">
        <f t="shared" si="1442"/>
        <v/>
      </c>
      <c r="CQ534" s="535" t="str">
        <f t="shared" si="1443"/>
        <v/>
      </c>
      <c r="CR534" s="535" t="str">
        <f t="shared" si="1444"/>
        <v/>
      </c>
      <c r="CS534" s="535" t="str">
        <f t="shared" si="1445"/>
        <v/>
      </c>
      <c r="CT534" s="535" t="str">
        <f t="shared" si="1446"/>
        <v/>
      </c>
      <c r="CU534" s="536" t="str">
        <f t="shared" si="1447"/>
        <v/>
      </c>
      <c r="CV534" s="536" t="str">
        <f t="shared" si="1448"/>
        <v/>
      </c>
      <c r="CW534" s="536" t="str">
        <f t="shared" si="1449"/>
        <v/>
      </c>
      <c r="CX534" s="535" t="str">
        <f t="shared" si="1450"/>
        <v/>
      </c>
      <c r="CY534" s="535" t="str">
        <f t="shared" si="1451"/>
        <v/>
      </c>
      <c r="CZ534" s="535" t="str">
        <f t="shared" si="1452"/>
        <v/>
      </c>
      <c r="DA534" s="535" t="str">
        <f t="shared" si="1453"/>
        <v/>
      </c>
      <c r="DB534" s="535" t="str">
        <f t="shared" si="1454"/>
        <v/>
      </c>
      <c r="DC534" s="534" t="str">
        <f t="shared" si="1455"/>
        <v/>
      </c>
      <c r="DD534" s="533" t="str">
        <f t="shared" si="1456"/>
        <v/>
      </c>
      <c r="DE534" s="635">
        <f t="shared" si="1539"/>
        <v>0</v>
      </c>
      <c r="DF534" s="95">
        <f t="shared" si="1540"/>
        <v>0</v>
      </c>
      <c r="DG534" s="95">
        <f t="shared" si="1541"/>
        <v>0</v>
      </c>
      <c r="DH534" s="95">
        <f t="shared" si="1542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561">1455*$K$1</f>
        <v>6091.7939999999999</v>
      </c>
      <c r="D535" s="740">
        <f t="shared" si="1561"/>
        <v>6091.7939999999999</v>
      </c>
      <c r="E535" s="740">
        <f t="shared" si="1561"/>
        <v>6091.7939999999999</v>
      </c>
      <c r="F535" s="740">
        <f t="shared" si="1561"/>
        <v>6091.7939999999999</v>
      </c>
      <c r="G535" s="740">
        <f t="shared" si="1561"/>
        <v>6091.7939999999999</v>
      </c>
      <c r="H535" s="740">
        <f t="shared" si="1561"/>
        <v>6091.7939999999999</v>
      </c>
      <c r="I535" s="740">
        <f t="shared" si="1561"/>
        <v>6091.7939999999999</v>
      </c>
      <c r="J535" s="740">
        <f t="shared" si="1561"/>
        <v>6091.7939999999999</v>
      </c>
      <c r="K535" s="740">
        <f t="shared" si="1561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562">1455*$K$1</f>
        <v>6091.7939999999999</v>
      </c>
      <c r="V535" s="740">
        <f t="shared" si="1562"/>
        <v>6091.7939999999999</v>
      </c>
      <c r="W535" s="740">
        <f t="shared" si="1562"/>
        <v>6091.7939999999999</v>
      </c>
      <c r="X535" s="740">
        <f t="shared" si="1562"/>
        <v>6091.7939999999999</v>
      </c>
      <c r="Y535" s="740">
        <f t="shared" si="1562"/>
        <v>6091.7939999999999</v>
      </c>
      <c r="Z535" s="740">
        <f t="shared" si="1562"/>
        <v>6091.7939999999999</v>
      </c>
      <c r="AA535" s="740">
        <f t="shared" si="1562"/>
        <v>6091.7939999999999</v>
      </c>
      <c r="AB535" s="740">
        <f t="shared" si="1562"/>
        <v>6091.7939999999999</v>
      </c>
      <c r="AC535" s="740">
        <f t="shared" si="1562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563">1455*$K$1</f>
        <v>6091.7939999999999</v>
      </c>
      <c r="AN535" s="740">
        <f t="shared" si="1563"/>
        <v>6091.7939999999999</v>
      </c>
      <c r="AO535" s="740">
        <f t="shared" si="1563"/>
        <v>6091.7939999999999</v>
      </c>
      <c r="AP535" s="740">
        <f t="shared" si="1563"/>
        <v>6091.7939999999999</v>
      </c>
      <c r="AQ535" s="740">
        <f t="shared" si="1563"/>
        <v>6091.7939999999999</v>
      </c>
      <c r="AR535" s="740">
        <f t="shared" si="1563"/>
        <v>6091.7939999999999</v>
      </c>
      <c r="AS535" s="740">
        <f t="shared" si="1563"/>
        <v>6091.7939999999999</v>
      </c>
      <c r="AT535" s="740">
        <f t="shared" si="1563"/>
        <v>6091.7939999999999</v>
      </c>
      <c r="AU535" s="740">
        <f t="shared" si="1563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564">1455*$K$1</f>
        <v>6091.7939999999999</v>
      </c>
      <c r="BF535" s="740">
        <f t="shared" si="1564"/>
        <v>6091.7939999999999</v>
      </c>
      <c r="BG535" s="740">
        <f t="shared" si="1564"/>
        <v>6091.7939999999999</v>
      </c>
      <c r="BH535" s="740">
        <f t="shared" si="1564"/>
        <v>6091.7939999999999</v>
      </c>
      <c r="BI535" s="740">
        <f t="shared" si="1564"/>
        <v>6091.7939999999999</v>
      </c>
      <c r="BJ535" s="740">
        <f t="shared" si="1564"/>
        <v>6091.7939999999999</v>
      </c>
      <c r="BK535" s="740">
        <f t="shared" si="1564"/>
        <v>6091.7939999999999</v>
      </c>
      <c r="BL535" s="740">
        <f t="shared" si="1564"/>
        <v>6091.7939999999999</v>
      </c>
      <c r="BM535" s="740">
        <f t="shared" si="1564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>1455*$K$1</f>
        <v>6091.7939999999999</v>
      </c>
      <c r="BW535" s="740">
        <f>1455*$K$1</f>
        <v>6091.7939999999999</v>
      </c>
      <c r="BX535" s="740">
        <f>1455*$K$1</f>
        <v>6091.7939999999999</v>
      </c>
      <c r="BY535" s="740">
        <f>1455*$K$1</f>
        <v>6091.7939999999999</v>
      </c>
      <c r="BZ535" s="582">
        <f t="shared" si="1556"/>
        <v>6091.7940000000008</v>
      </c>
      <c r="CA535" s="582">
        <f t="shared" si="1557"/>
        <v>6091.7940000000008</v>
      </c>
      <c r="CB535" s="582">
        <f t="shared" si="1558"/>
        <v>6091.7940000000008</v>
      </c>
      <c r="CC535" s="670">
        <f t="shared" si="1559"/>
        <v>6091.7940000000008</v>
      </c>
      <c r="CD535" s="988">
        <f t="shared" si="1560"/>
        <v>6091.7939999999999</v>
      </c>
      <c r="CE535" s="989">
        <f t="shared" si="1555"/>
        <v>6091.7939999999999</v>
      </c>
      <c r="CF535" s="989">
        <f t="shared" si="1555"/>
        <v>6091.7939999999999</v>
      </c>
      <c r="CG535" s="989">
        <f t="shared" si="1555"/>
        <v>6091.7939999999999</v>
      </c>
      <c r="CH535" s="990">
        <f t="shared" si="1555"/>
        <v>6091.7939999999999</v>
      </c>
      <c r="CI535" s="990">
        <f t="shared" si="1555"/>
        <v>6091.7939999999999</v>
      </c>
      <c r="CJ535" s="989">
        <f t="shared" si="1555"/>
        <v>6091.7939999999999</v>
      </c>
      <c r="CK535" s="989">
        <f t="shared" si="1555"/>
        <v>6091.7939999999999</v>
      </c>
      <c r="CL535" s="989">
        <f t="shared" si="1555"/>
        <v>6091.7939999999999</v>
      </c>
      <c r="CM535" s="988">
        <f t="shared" si="1555"/>
        <v>6091.7939999999999</v>
      </c>
      <c r="CN535" s="533" t="str">
        <f t="shared" si="1440"/>
        <v/>
      </c>
      <c r="CO535" s="534" t="str">
        <f t="shared" si="1441"/>
        <v/>
      </c>
      <c r="CP535" s="535" t="str">
        <f t="shared" si="1442"/>
        <v/>
      </c>
      <c r="CQ535" s="535" t="str">
        <f t="shared" si="1443"/>
        <v/>
      </c>
      <c r="CR535" s="535">
        <f t="shared" si="1444"/>
        <v>6091.7939999999999</v>
      </c>
      <c r="CS535" s="535">
        <f t="shared" si="1445"/>
        <v>6091.7939999999999</v>
      </c>
      <c r="CT535" s="535">
        <f t="shared" si="1446"/>
        <v>6091.7939999999999</v>
      </c>
      <c r="CU535" s="536">
        <f t="shared" si="1447"/>
        <v>6091.7939999999999</v>
      </c>
      <c r="CV535" s="536">
        <f t="shared" si="1448"/>
        <v>6091.7939999999999</v>
      </c>
      <c r="CW535" s="536">
        <f t="shared" si="1449"/>
        <v>6091.7939999999999</v>
      </c>
      <c r="CX535" s="535">
        <f t="shared" si="1450"/>
        <v>6091.7939999999999</v>
      </c>
      <c r="CY535" s="535">
        <f t="shared" si="1451"/>
        <v>6091.7939999999999</v>
      </c>
      <c r="CZ535" s="535">
        <f t="shared" si="1452"/>
        <v>6091.7939999999999</v>
      </c>
      <c r="DA535" s="535">
        <f t="shared" si="1453"/>
        <v>6091.7939999999999</v>
      </c>
      <c r="DB535" s="535" t="str">
        <f t="shared" si="1454"/>
        <v/>
      </c>
      <c r="DC535" s="534" t="str">
        <f t="shared" si="1455"/>
        <v/>
      </c>
      <c r="DD535" s="533" t="str">
        <f t="shared" si="1456"/>
        <v/>
      </c>
      <c r="DE535" s="635">
        <f t="shared" si="1539"/>
        <v>10</v>
      </c>
      <c r="DF535" s="95">
        <f t="shared" si="1540"/>
        <v>10</v>
      </c>
      <c r="DG535" s="95">
        <f t="shared" si="1541"/>
        <v>10</v>
      </c>
      <c r="DH535" s="95">
        <f t="shared" si="1542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 t="shared" ref="B536:K536" si="1565">IF(B534="","",B534*B535/B$46/365/$G$1)</f>
        <v/>
      </c>
      <c r="C536" s="742" t="str">
        <f t="shared" si="1565"/>
        <v/>
      </c>
      <c r="D536" s="742" t="str">
        <f t="shared" si="1565"/>
        <v/>
      </c>
      <c r="E536" s="742" t="str">
        <f t="shared" si="1565"/>
        <v/>
      </c>
      <c r="F536" s="742" t="str">
        <f t="shared" si="1565"/>
        <v/>
      </c>
      <c r="G536" s="742" t="str">
        <f t="shared" si="1565"/>
        <v/>
      </c>
      <c r="H536" s="742" t="str">
        <f t="shared" si="1565"/>
        <v/>
      </c>
      <c r="I536" s="742" t="str">
        <f t="shared" si="1565"/>
        <v/>
      </c>
      <c r="J536" s="742" t="str">
        <f t="shared" si="1565"/>
        <v/>
      </c>
      <c r="K536" s="742" t="str">
        <f t="shared" si="1565"/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 t="shared" ref="T536:AC536" si="1566">IF(T534="","",T534*T535/T$46/365/$G$1)</f>
        <v/>
      </c>
      <c r="U536" s="742" t="str">
        <f t="shared" si="1566"/>
        <v/>
      </c>
      <c r="V536" s="742" t="str">
        <f t="shared" si="1566"/>
        <v/>
      </c>
      <c r="W536" s="742" t="str">
        <f t="shared" si="1566"/>
        <v/>
      </c>
      <c r="X536" s="742" t="str">
        <f t="shared" si="1566"/>
        <v/>
      </c>
      <c r="Y536" s="742" t="str">
        <f t="shared" si="1566"/>
        <v/>
      </c>
      <c r="Z536" s="742" t="str">
        <f t="shared" si="1566"/>
        <v/>
      </c>
      <c r="AA536" s="742" t="str">
        <f t="shared" si="1566"/>
        <v/>
      </c>
      <c r="AB536" s="742" t="str">
        <f t="shared" si="1566"/>
        <v/>
      </c>
      <c r="AC536" s="742" t="str">
        <f t="shared" si="1566"/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 t="shared" ref="AL536:AU536" si="1567">IF(AL534="","",AL534*AL535/AL$46/365/$G$1)</f>
        <v/>
      </c>
      <c r="AM536" s="742" t="str">
        <f t="shared" si="1567"/>
        <v/>
      </c>
      <c r="AN536" s="742" t="str">
        <f t="shared" si="1567"/>
        <v/>
      </c>
      <c r="AO536" s="742" t="str">
        <f t="shared" si="1567"/>
        <v/>
      </c>
      <c r="AP536" s="742" t="str">
        <f t="shared" si="1567"/>
        <v/>
      </c>
      <c r="AQ536" s="742" t="str">
        <f t="shared" si="1567"/>
        <v/>
      </c>
      <c r="AR536" s="742" t="str">
        <f t="shared" si="1567"/>
        <v/>
      </c>
      <c r="AS536" s="742" t="str">
        <f t="shared" si="1567"/>
        <v/>
      </c>
      <c r="AT536" s="742" t="str">
        <f t="shared" si="1567"/>
        <v/>
      </c>
      <c r="AU536" s="742" t="str">
        <f t="shared" si="1567"/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568">IF(BE534="","",BE534*BE535/BE$46/365/$G$1)</f>
        <v/>
      </c>
      <c r="BF536" s="1241" t="str">
        <f t="shared" si="1568"/>
        <v/>
      </c>
      <c r="BG536" s="1241" t="str">
        <f t="shared" si="1568"/>
        <v/>
      </c>
      <c r="BH536" s="1241" t="str">
        <f t="shared" si="1568"/>
        <v/>
      </c>
      <c r="BI536" s="1241" t="str">
        <f t="shared" si="1568"/>
        <v/>
      </c>
      <c r="BJ536" s="1241" t="str">
        <f t="shared" si="1568"/>
        <v/>
      </c>
      <c r="BK536" s="1241" t="str">
        <f t="shared" si="1568"/>
        <v/>
      </c>
      <c r="BL536" s="1241" t="str">
        <f t="shared" si="1568"/>
        <v/>
      </c>
      <c r="BM536" s="1241" t="str">
        <f t="shared" si="1568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>IF(BV534="","",BV534*BV535/BV$46/365/$G$1)</f>
        <v>2.8448602117061021E-2</v>
      </c>
      <c r="BW536" s="742">
        <f>IF(BW534="","",BW534*BW535/BW$46/365/$G$1)</f>
        <v>2.8448602117061021E-2</v>
      </c>
      <c r="BX536" s="742">
        <f>IF(BX534="","",BX534*BX535/BX$46/365/$G$1)</f>
        <v>2.8448602117061021E-2</v>
      </c>
      <c r="BY536" s="742" t="str">
        <f>IF(BY534="","",BY534*BY535/BY$46/365/$G$1)</f>
        <v/>
      </c>
      <c r="BZ536" s="607" t="str">
        <f t="shared" si="1556"/>
        <v/>
      </c>
      <c r="CA536" s="607" t="str">
        <f t="shared" si="1557"/>
        <v/>
      </c>
      <c r="CB536" s="607" t="str">
        <f t="shared" si="1558"/>
        <v/>
      </c>
      <c r="CC536" s="607" t="str">
        <f t="shared" si="1559"/>
        <v/>
      </c>
      <c r="CD536" s="991" t="str">
        <f t="shared" si="1560"/>
        <v/>
      </c>
      <c r="CE536" s="992" t="str">
        <f t="shared" ref="CE536:CM536" si="15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569"/>
        <v/>
      </c>
      <c r="CG536" s="992" t="str">
        <f t="shared" si="1569"/>
        <v/>
      </c>
      <c r="CH536" s="993" t="str">
        <f t="shared" si="1569"/>
        <v/>
      </c>
      <c r="CI536" s="993" t="str">
        <f t="shared" si="1569"/>
        <v/>
      </c>
      <c r="CJ536" s="992" t="str">
        <f t="shared" si="1569"/>
        <v/>
      </c>
      <c r="CK536" s="992" t="str">
        <f t="shared" si="1569"/>
        <v/>
      </c>
      <c r="CL536" s="992" t="str">
        <f t="shared" si="1569"/>
        <v/>
      </c>
      <c r="CM536" s="991" t="str">
        <f t="shared" si="1569"/>
        <v/>
      </c>
      <c r="CN536" s="521" t="str">
        <f t="shared" si="1440"/>
        <v/>
      </c>
      <c r="CO536" s="522" t="str">
        <f t="shared" si="1441"/>
        <v/>
      </c>
      <c r="CP536" s="523" t="str">
        <f t="shared" si="1442"/>
        <v/>
      </c>
      <c r="CQ536" s="523" t="str">
        <f t="shared" si="1443"/>
        <v/>
      </c>
      <c r="CR536" s="523" t="str">
        <f t="shared" si="1444"/>
        <v/>
      </c>
      <c r="CS536" s="523" t="str">
        <f t="shared" si="1445"/>
        <v/>
      </c>
      <c r="CT536" s="523" t="str">
        <f t="shared" si="1446"/>
        <v/>
      </c>
      <c r="CU536" s="524" t="str">
        <f t="shared" si="1447"/>
        <v/>
      </c>
      <c r="CV536" s="524" t="str">
        <f t="shared" si="1448"/>
        <v/>
      </c>
      <c r="CW536" s="524" t="str">
        <f t="shared" si="1449"/>
        <v/>
      </c>
      <c r="CX536" s="523" t="str">
        <f t="shared" si="1450"/>
        <v/>
      </c>
      <c r="CY536" s="523" t="str">
        <f t="shared" si="1451"/>
        <v/>
      </c>
      <c r="CZ536" s="523" t="str">
        <f t="shared" si="1452"/>
        <v/>
      </c>
      <c r="DA536" s="523" t="str">
        <f t="shared" si="1453"/>
        <v/>
      </c>
      <c r="DB536" s="523" t="str">
        <f t="shared" si="1454"/>
        <v/>
      </c>
      <c r="DC536" s="522" t="str">
        <f t="shared" si="1455"/>
        <v/>
      </c>
      <c r="DD536" s="521" t="str">
        <f t="shared" si="1456"/>
        <v/>
      </c>
      <c r="DE536" s="635">
        <f t="shared" si="1539"/>
        <v>0</v>
      </c>
      <c r="DF536" s="95">
        <f t="shared" si="1540"/>
        <v>0</v>
      </c>
      <c r="DG536" s="95">
        <f t="shared" si="1541"/>
        <v>0</v>
      </c>
      <c r="DH536" s="95">
        <f t="shared" si="1542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556"/>
        <v/>
      </c>
      <c r="CA537" s="582" t="str">
        <f t="shared" si="1557"/>
        <v/>
      </c>
      <c r="CB537" s="582" t="str">
        <f t="shared" si="1558"/>
        <v/>
      </c>
      <c r="CC537" s="670" t="str">
        <f t="shared" si="1559"/>
        <v/>
      </c>
      <c r="CD537" s="988" t="str">
        <f t="shared" si="1560"/>
        <v/>
      </c>
      <c r="CE537" s="989" t="str">
        <f t="shared" si="1555"/>
        <v/>
      </c>
      <c r="CF537" s="989" t="str">
        <f t="shared" si="1555"/>
        <v/>
      </c>
      <c r="CG537" s="989" t="str">
        <f t="shared" si="1555"/>
        <v/>
      </c>
      <c r="CH537" s="990" t="str">
        <f t="shared" si="1555"/>
        <v/>
      </c>
      <c r="CI537" s="990" t="str">
        <f t="shared" si="1555"/>
        <v/>
      </c>
      <c r="CJ537" s="989" t="str">
        <f t="shared" si="1555"/>
        <v/>
      </c>
      <c r="CK537" s="989" t="str">
        <f t="shared" si="1555"/>
        <v/>
      </c>
      <c r="CL537" s="989" t="str">
        <f t="shared" si="1555"/>
        <v/>
      </c>
      <c r="CM537" s="988" t="str">
        <f t="shared" si="1555"/>
        <v/>
      </c>
      <c r="CN537" s="533" t="str">
        <f t="shared" si="1440"/>
        <v/>
      </c>
      <c r="CO537" s="534" t="str">
        <f t="shared" si="1441"/>
        <v/>
      </c>
      <c r="CP537" s="535" t="str">
        <f t="shared" si="1442"/>
        <v/>
      </c>
      <c r="CQ537" s="535" t="str">
        <f t="shared" si="1443"/>
        <v/>
      </c>
      <c r="CR537" s="535" t="str">
        <f t="shared" si="1444"/>
        <v/>
      </c>
      <c r="CS537" s="535" t="str">
        <f t="shared" si="1445"/>
        <v/>
      </c>
      <c r="CT537" s="535" t="str">
        <f t="shared" si="1446"/>
        <v/>
      </c>
      <c r="CU537" s="536" t="str">
        <f t="shared" si="1447"/>
        <v/>
      </c>
      <c r="CV537" s="536" t="str">
        <f t="shared" si="1448"/>
        <v/>
      </c>
      <c r="CW537" s="536" t="str">
        <f t="shared" si="1449"/>
        <v/>
      </c>
      <c r="CX537" s="535" t="str">
        <f t="shared" si="1450"/>
        <v/>
      </c>
      <c r="CY537" s="535" t="str">
        <f t="shared" si="1451"/>
        <v/>
      </c>
      <c r="CZ537" s="535" t="str">
        <f t="shared" si="1452"/>
        <v/>
      </c>
      <c r="DA537" s="535" t="str">
        <f t="shared" si="1453"/>
        <v/>
      </c>
      <c r="DB537" s="535" t="str">
        <f t="shared" si="1454"/>
        <v/>
      </c>
      <c r="DC537" s="534" t="str">
        <f t="shared" si="1455"/>
        <v/>
      </c>
      <c r="DD537" s="533" t="str">
        <f t="shared" si="1456"/>
        <v/>
      </c>
      <c r="DE537" s="635">
        <f t="shared" si="1539"/>
        <v>0</v>
      </c>
      <c r="DF537" s="95">
        <f t="shared" si="1540"/>
        <v>0</v>
      </c>
      <c r="DG537" s="95">
        <f t="shared" si="1541"/>
        <v>0</v>
      </c>
      <c r="DH537" s="95">
        <f t="shared" si="1542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 t="shared" ref="B538:K538" si="1570">IF(B537="","",B534*B537)</f>
        <v/>
      </c>
      <c r="C538" s="739" t="str">
        <f t="shared" si="1570"/>
        <v/>
      </c>
      <c r="D538" s="739" t="str">
        <f t="shared" si="1570"/>
        <v/>
      </c>
      <c r="E538" s="739" t="str">
        <f t="shared" si="1570"/>
        <v/>
      </c>
      <c r="F538" s="739" t="str">
        <f t="shared" si="1570"/>
        <v/>
      </c>
      <c r="G538" s="739" t="str">
        <f t="shared" si="1570"/>
        <v/>
      </c>
      <c r="H538" s="739" t="str">
        <f t="shared" si="1570"/>
        <v/>
      </c>
      <c r="I538" s="739" t="str">
        <f t="shared" si="1570"/>
        <v/>
      </c>
      <c r="J538" s="739" t="str">
        <f t="shared" si="1570"/>
        <v/>
      </c>
      <c r="K538" s="739" t="str">
        <f t="shared" si="1570"/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 t="shared" ref="T538:AC538" si="1571">IF(T537="","",T534*T537)</f>
        <v/>
      </c>
      <c r="U538" s="739" t="str">
        <f t="shared" si="1571"/>
        <v/>
      </c>
      <c r="V538" s="739" t="str">
        <f t="shared" si="1571"/>
        <v/>
      </c>
      <c r="W538" s="739" t="str">
        <f t="shared" si="1571"/>
        <v/>
      </c>
      <c r="X538" s="739" t="str">
        <f t="shared" si="1571"/>
        <v/>
      </c>
      <c r="Y538" s="739" t="str">
        <f t="shared" si="1571"/>
        <v/>
      </c>
      <c r="Z538" s="739" t="str">
        <f t="shared" si="1571"/>
        <v/>
      </c>
      <c r="AA538" s="739" t="str">
        <f t="shared" si="1571"/>
        <v/>
      </c>
      <c r="AB538" s="739" t="str">
        <f t="shared" si="1571"/>
        <v/>
      </c>
      <c r="AC538" s="739" t="str">
        <f t="shared" si="1571"/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 t="shared" ref="AL538:AU538" si="1572">IF(AL537="","",AL534*AL537)</f>
        <v/>
      </c>
      <c r="AM538" s="739" t="str">
        <f t="shared" si="1572"/>
        <v/>
      </c>
      <c r="AN538" s="739" t="str">
        <f t="shared" si="1572"/>
        <v/>
      </c>
      <c r="AO538" s="739" t="str">
        <f t="shared" si="1572"/>
        <v/>
      </c>
      <c r="AP538" s="739" t="str">
        <f t="shared" si="1572"/>
        <v/>
      </c>
      <c r="AQ538" s="739" t="str">
        <f t="shared" si="1572"/>
        <v/>
      </c>
      <c r="AR538" s="739" t="str">
        <f t="shared" si="1572"/>
        <v/>
      </c>
      <c r="AS538" s="739" t="str">
        <f t="shared" si="1572"/>
        <v/>
      </c>
      <c r="AT538" s="739" t="str">
        <f t="shared" si="1572"/>
        <v/>
      </c>
      <c r="AU538" s="739" t="str">
        <f t="shared" si="1572"/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573">IF(BE537="","",BE534*BE537)</f>
        <v/>
      </c>
      <c r="BF538" s="1237" t="str">
        <f t="shared" si="1573"/>
        <v/>
      </c>
      <c r="BG538" s="1237" t="str">
        <f t="shared" si="1573"/>
        <v/>
      </c>
      <c r="BH538" s="1237" t="str">
        <f t="shared" si="1573"/>
        <v/>
      </c>
      <c r="BI538" s="1237" t="str">
        <f t="shared" si="1573"/>
        <v/>
      </c>
      <c r="BJ538" s="1237" t="str">
        <f t="shared" si="1573"/>
        <v/>
      </c>
      <c r="BK538" s="1237" t="str">
        <f t="shared" si="1573"/>
        <v/>
      </c>
      <c r="BL538" s="1237" t="str">
        <f t="shared" si="1573"/>
        <v/>
      </c>
      <c r="BM538" s="1237" t="str">
        <f t="shared" si="1573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>IF(BV537="","",BV534*BV537)</f>
        <v/>
      </c>
      <c r="BW538" s="739" t="str">
        <f>IF(BW537="","",BW534*BW537)</f>
        <v/>
      </c>
      <c r="BX538" s="739" t="str">
        <f>IF(BX537="","",BX534*BX537)</f>
        <v/>
      </c>
      <c r="BY538" s="739" t="str">
        <f>IF(BY537="","",BY534*BY537)</f>
        <v/>
      </c>
      <c r="BZ538" s="582" t="str">
        <f t="shared" si="1556"/>
        <v/>
      </c>
      <c r="CA538" s="582" t="str">
        <f t="shared" si="1557"/>
        <v/>
      </c>
      <c r="CB538" s="582" t="str">
        <f t="shared" si="1558"/>
        <v/>
      </c>
      <c r="CC538" s="670" t="str">
        <f t="shared" si="1559"/>
        <v/>
      </c>
      <c r="CD538" s="988" t="str">
        <f t="shared" si="1560"/>
        <v/>
      </c>
      <c r="CE538" s="989" t="str">
        <f t="shared" si="1555"/>
        <v/>
      </c>
      <c r="CF538" s="989" t="str">
        <f t="shared" si="1555"/>
        <v/>
      </c>
      <c r="CG538" s="989" t="str">
        <f t="shared" si="1555"/>
        <v/>
      </c>
      <c r="CH538" s="990" t="str">
        <f t="shared" si="1555"/>
        <v/>
      </c>
      <c r="CI538" s="990" t="str">
        <f t="shared" si="1555"/>
        <v/>
      </c>
      <c r="CJ538" s="989" t="str">
        <f t="shared" si="1555"/>
        <v/>
      </c>
      <c r="CK538" s="989" t="str">
        <f t="shared" si="1555"/>
        <v/>
      </c>
      <c r="CL538" s="989" t="str">
        <f t="shared" si="1555"/>
        <v/>
      </c>
      <c r="CM538" s="988" t="str">
        <f t="shared" si="1555"/>
        <v/>
      </c>
      <c r="CN538" s="533" t="str">
        <f t="shared" si="1440"/>
        <v/>
      </c>
      <c r="CO538" s="534" t="str">
        <f t="shared" si="1441"/>
        <v/>
      </c>
      <c r="CP538" s="535" t="str">
        <f t="shared" si="1442"/>
        <v/>
      </c>
      <c r="CQ538" s="535" t="str">
        <f t="shared" si="1443"/>
        <v/>
      </c>
      <c r="CR538" s="535" t="str">
        <f t="shared" si="1444"/>
        <v/>
      </c>
      <c r="CS538" s="535" t="str">
        <f t="shared" si="1445"/>
        <v/>
      </c>
      <c r="CT538" s="535" t="str">
        <f t="shared" si="1446"/>
        <v/>
      </c>
      <c r="CU538" s="536" t="str">
        <f t="shared" si="1447"/>
        <v/>
      </c>
      <c r="CV538" s="536" t="str">
        <f t="shared" si="1448"/>
        <v/>
      </c>
      <c r="CW538" s="536" t="str">
        <f t="shared" si="1449"/>
        <v/>
      </c>
      <c r="CX538" s="535" t="str">
        <f t="shared" si="1450"/>
        <v/>
      </c>
      <c r="CY538" s="535" t="str">
        <f t="shared" si="1451"/>
        <v/>
      </c>
      <c r="CZ538" s="535" t="str">
        <f t="shared" si="1452"/>
        <v/>
      </c>
      <c r="DA538" s="535" t="str">
        <f t="shared" si="1453"/>
        <v/>
      </c>
      <c r="DB538" s="535" t="str">
        <f t="shared" si="1454"/>
        <v/>
      </c>
      <c r="DC538" s="534" t="str">
        <f t="shared" si="1455"/>
        <v/>
      </c>
      <c r="DD538" s="533" t="str">
        <f t="shared" si="1456"/>
        <v/>
      </c>
      <c r="DE538" s="635">
        <f t="shared" si="1539"/>
        <v>0</v>
      </c>
      <c r="DF538" s="95">
        <f t="shared" si="1540"/>
        <v>0</v>
      </c>
      <c r="DG538" s="95">
        <f t="shared" si="1541"/>
        <v>0</v>
      </c>
      <c r="DH538" s="95">
        <f t="shared" si="1542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556"/>
        <v/>
      </c>
      <c r="CA539" s="582" t="str">
        <f t="shared" si="1557"/>
        <v/>
      </c>
      <c r="CB539" s="582" t="str">
        <f t="shared" si="1558"/>
        <v/>
      </c>
      <c r="CC539" s="670" t="str">
        <f t="shared" si="1559"/>
        <v/>
      </c>
      <c r="CD539" s="988" t="str">
        <f t="shared" si="1560"/>
        <v/>
      </c>
      <c r="CE539" s="989" t="str">
        <f t="shared" ref="CE539:CM539" si="157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989" t="str">
        <f t="shared" si="1574"/>
        <v/>
      </c>
      <c r="CG539" s="989" t="str">
        <f t="shared" si="1574"/>
        <v/>
      </c>
      <c r="CH539" s="990" t="str">
        <f t="shared" si="1574"/>
        <v/>
      </c>
      <c r="CI539" s="990" t="str">
        <f t="shared" si="1574"/>
        <v/>
      </c>
      <c r="CJ539" s="989" t="str">
        <f t="shared" si="1574"/>
        <v/>
      </c>
      <c r="CK539" s="989" t="str">
        <f t="shared" si="1574"/>
        <v/>
      </c>
      <c r="CL539" s="989" t="str">
        <f t="shared" si="1574"/>
        <v/>
      </c>
      <c r="CM539" s="988" t="str">
        <f t="shared" si="1574"/>
        <v/>
      </c>
      <c r="CN539" s="533" t="str">
        <f t="shared" si="1440"/>
        <v/>
      </c>
      <c r="CO539" s="534" t="str">
        <f t="shared" si="1441"/>
        <v/>
      </c>
      <c r="CP539" s="535" t="str">
        <f t="shared" si="1442"/>
        <v/>
      </c>
      <c r="CQ539" s="535" t="str">
        <f t="shared" si="1443"/>
        <v/>
      </c>
      <c r="CR539" s="535" t="str">
        <f t="shared" si="1444"/>
        <v/>
      </c>
      <c r="CS539" s="535" t="str">
        <f t="shared" si="1445"/>
        <v/>
      </c>
      <c r="CT539" s="535" t="str">
        <f t="shared" si="1446"/>
        <v/>
      </c>
      <c r="CU539" s="536" t="str">
        <f t="shared" si="1447"/>
        <v/>
      </c>
      <c r="CV539" s="536" t="str">
        <f t="shared" si="1448"/>
        <v/>
      </c>
      <c r="CW539" s="536" t="str">
        <f t="shared" si="1449"/>
        <v/>
      </c>
      <c r="CX539" s="535" t="str">
        <f t="shared" si="1450"/>
        <v/>
      </c>
      <c r="CY539" s="535" t="str">
        <f t="shared" si="1451"/>
        <v/>
      </c>
      <c r="CZ539" s="535" t="str">
        <f t="shared" si="1452"/>
        <v/>
      </c>
      <c r="DA539" s="535" t="str">
        <f t="shared" si="1453"/>
        <v/>
      </c>
      <c r="DB539" s="535" t="str">
        <f t="shared" si="1454"/>
        <v/>
      </c>
      <c r="DC539" s="534" t="str">
        <f t="shared" si="1455"/>
        <v/>
      </c>
      <c r="DD539" s="533" t="str">
        <f t="shared" si="1456"/>
        <v/>
      </c>
      <c r="DE539" s="635">
        <f t="shared" si="1539"/>
        <v>0</v>
      </c>
      <c r="DF539" s="95">
        <f t="shared" si="1540"/>
        <v>0</v>
      </c>
      <c r="DG539" s="95">
        <f t="shared" si="1541"/>
        <v>0</v>
      </c>
      <c r="DH539" s="95">
        <f t="shared" si="1542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556"/>
        <v/>
      </c>
      <c r="CA540" s="582" t="str">
        <f t="shared" si="1557"/>
        <v/>
      </c>
      <c r="CB540" s="582" t="str">
        <f t="shared" si="1558"/>
        <v/>
      </c>
      <c r="CC540" s="670" t="str">
        <f t="shared" si="1559"/>
        <v/>
      </c>
      <c r="CD540" s="988" t="str">
        <f t="shared" si="1560"/>
        <v/>
      </c>
      <c r="CE540" s="989" t="str">
        <f t="shared" si="1555"/>
        <v/>
      </c>
      <c r="CF540" s="989" t="str">
        <f t="shared" si="1555"/>
        <v/>
      </c>
      <c r="CG540" s="989" t="str">
        <f t="shared" si="1555"/>
        <v/>
      </c>
      <c r="CH540" s="990" t="str">
        <f t="shared" si="1555"/>
        <v/>
      </c>
      <c r="CI540" s="990" t="str">
        <f t="shared" si="1555"/>
        <v/>
      </c>
      <c r="CJ540" s="989" t="str">
        <f t="shared" si="1555"/>
        <v/>
      </c>
      <c r="CK540" s="989" t="str">
        <f t="shared" si="1555"/>
        <v/>
      </c>
      <c r="CL540" s="989" t="str">
        <f t="shared" si="1555"/>
        <v/>
      </c>
      <c r="CM540" s="988" t="str">
        <f t="shared" si="1555"/>
        <v/>
      </c>
      <c r="CN540" s="533" t="str">
        <f t="shared" si="1440"/>
        <v/>
      </c>
      <c r="CO540" s="534" t="str">
        <f t="shared" si="1441"/>
        <v/>
      </c>
      <c r="CP540" s="535" t="str">
        <f t="shared" si="1442"/>
        <v/>
      </c>
      <c r="CQ540" s="535" t="str">
        <f t="shared" si="1443"/>
        <v/>
      </c>
      <c r="CR540" s="535" t="str">
        <f t="shared" si="1444"/>
        <v/>
      </c>
      <c r="CS540" s="535" t="str">
        <f t="shared" si="1445"/>
        <v/>
      </c>
      <c r="CT540" s="535" t="str">
        <f t="shared" si="1446"/>
        <v/>
      </c>
      <c r="CU540" s="536" t="str">
        <f t="shared" si="1447"/>
        <v/>
      </c>
      <c r="CV540" s="536" t="str">
        <f t="shared" si="1448"/>
        <v/>
      </c>
      <c r="CW540" s="536" t="str">
        <f t="shared" si="1449"/>
        <v/>
      </c>
      <c r="CX540" s="535" t="str">
        <f t="shared" si="1450"/>
        <v/>
      </c>
      <c r="CY540" s="535" t="str">
        <f t="shared" si="1451"/>
        <v/>
      </c>
      <c r="CZ540" s="535" t="str">
        <f t="shared" si="1452"/>
        <v/>
      </c>
      <c r="DA540" s="535" t="str">
        <f t="shared" si="1453"/>
        <v/>
      </c>
      <c r="DB540" s="535" t="str">
        <f t="shared" si="1454"/>
        <v/>
      </c>
      <c r="DC540" s="534" t="str">
        <f t="shared" si="1455"/>
        <v/>
      </c>
      <c r="DD540" s="533" t="str">
        <f t="shared" si="1456"/>
        <v/>
      </c>
      <c r="DE540" s="635">
        <f t="shared" si="1539"/>
        <v>0</v>
      </c>
      <c r="DF540" s="95">
        <f t="shared" si="1540"/>
        <v>0</v>
      </c>
      <c r="DG540" s="95">
        <f t="shared" si="1541"/>
        <v>0</v>
      </c>
      <c r="DH540" s="95">
        <f t="shared" si="1542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575">2350*$K$1</f>
        <v>9838.98</v>
      </c>
      <c r="D541" s="740">
        <f t="shared" si="1575"/>
        <v>9838.98</v>
      </c>
      <c r="E541" s="740">
        <f t="shared" si="1575"/>
        <v>9838.98</v>
      </c>
      <c r="F541" s="740">
        <f t="shared" si="1575"/>
        <v>9838.98</v>
      </c>
      <c r="G541" s="740">
        <f t="shared" si="1575"/>
        <v>9838.98</v>
      </c>
      <c r="H541" s="740">
        <f t="shared" si="1575"/>
        <v>9838.98</v>
      </c>
      <c r="I541" s="740">
        <f t="shared" si="1575"/>
        <v>9838.98</v>
      </c>
      <c r="J541" s="740">
        <f t="shared" si="1575"/>
        <v>9838.98</v>
      </c>
      <c r="K541" s="740">
        <f t="shared" si="157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576">2350*$K$1</f>
        <v>9838.98</v>
      </c>
      <c r="V541" s="740">
        <f t="shared" si="1576"/>
        <v>9838.98</v>
      </c>
      <c r="W541" s="740">
        <f t="shared" si="1576"/>
        <v>9838.98</v>
      </c>
      <c r="X541" s="740">
        <f t="shared" si="1576"/>
        <v>9838.98</v>
      </c>
      <c r="Y541" s="740">
        <f t="shared" si="1576"/>
        <v>9838.98</v>
      </c>
      <c r="Z541" s="740">
        <f t="shared" si="1576"/>
        <v>9838.98</v>
      </c>
      <c r="AA541" s="740">
        <f t="shared" si="1576"/>
        <v>9838.98</v>
      </c>
      <c r="AB541" s="740">
        <f t="shared" si="1576"/>
        <v>9838.98</v>
      </c>
      <c r="AC541" s="740">
        <f t="shared" si="157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577">2350*$K$1</f>
        <v>9838.98</v>
      </c>
      <c r="AN541" s="740">
        <f t="shared" si="1577"/>
        <v>9838.98</v>
      </c>
      <c r="AO541" s="740">
        <f t="shared" si="1577"/>
        <v>9838.98</v>
      </c>
      <c r="AP541" s="740">
        <f t="shared" si="1577"/>
        <v>9838.98</v>
      </c>
      <c r="AQ541" s="740">
        <f t="shared" si="1577"/>
        <v>9838.98</v>
      </c>
      <c r="AR541" s="740">
        <f t="shared" si="1577"/>
        <v>9838.98</v>
      </c>
      <c r="AS541" s="740">
        <f t="shared" si="1577"/>
        <v>9838.98</v>
      </c>
      <c r="AT541" s="740">
        <f t="shared" si="1577"/>
        <v>9838.98</v>
      </c>
      <c r="AU541" s="740">
        <f t="shared" si="157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578">2350*$K$1</f>
        <v>9838.98</v>
      </c>
      <c r="BF541" s="1236">
        <f t="shared" si="1578"/>
        <v>9838.98</v>
      </c>
      <c r="BG541" s="1236">
        <f t="shared" si="1578"/>
        <v>9838.98</v>
      </c>
      <c r="BH541" s="1236">
        <f t="shared" si="1578"/>
        <v>9838.98</v>
      </c>
      <c r="BI541" s="1236">
        <f t="shared" si="1578"/>
        <v>9838.98</v>
      </c>
      <c r="BJ541" s="1236">
        <f t="shared" si="1578"/>
        <v>9838.98</v>
      </c>
      <c r="BK541" s="1236">
        <f t="shared" si="1578"/>
        <v>9838.98</v>
      </c>
      <c r="BL541" s="1236">
        <f t="shared" si="1578"/>
        <v>9838.98</v>
      </c>
      <c r="BM541" s="1236">
        <f t="shared" si="157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>2350*$K$1</f>
        <v>9838.98</v>
      </c>
      <c r="BW541" s="740">
        <f>2350*$K$1</f>
        <v>9838.98</v>
      </c>
      <c r="BX541" s="740">
        <f>2350*$K$1</f>
        <v>9838.98</v>
      </c>
      <c r="BY541" s="740">
        <f>2350*$K$1</f>
        <v>9838.98</v>
      </c>
      <c r="BZ541" s="582">
        <f t="shared" si="1556"/>
        <v>9838.9799999999977</v>
      </c>
      <c r="CA541" s="582">
        <f t="shared" si="1557"/>
        <v>9838.9799999999977</v>
      </c>
      <c r="CB541" s="582">
        <f t="shared" si="1558"/>
        <v>9838.9799999999977</v>
      </c>
      <c r="CC541" s="670">
        <f t="shared" si="1559"/>
        <v>9838.9799999999977</v>
      </c>
      <c r="CD541" s="988">
        <f t="shared" si="1560"/>
        <v>9838.98</v>
      </c>
      <c r="CE541" s="989">
        <f t="shared" si="1555"/>
        <v>9838.98</v>
      </c>
      <c r="CF541" s="989">
        <f t="shared" si="1555"/>
        <v>9838.98</v>
      </c>
      <c r="CG541" s="989">
        <f t="shared" si="1555"/>
        <v>9838.98</v>
      </c>
      <c r="CH541" s="990">
        <f t="shared" si="1555"/>
        <v>9838.98</v>
      </c>
      <c r="CI541" s="990">
        <f t="shared" si="1555"/>
        <v>9838.98</v>
      </c>
      <c r="CJ541" s="989">
        <f t="shared" si="1555"/>
        <v>9838.98</v>
      </c>
      <c r="CK541" s="989">
        <f t="shared" si="1555"/>
        <v>9838.98</v>
      </c>
      <c r="CL541" s="989">
        <f t="shared" si="1555"/>
        <v>9838.98</v>
      </c>
      <c r="CM541" s="988">
        <f t="shared" si="1555"/>
        <v>9838.98</v>
      </c>
      <c r="CN541" s="533" t="str">
        <f t="shared" si="1440"/>
        <v/>
      </c>
      <c r="CO541" s="534" t="str">
        <f t="shared" si="1441"/>
        <v/>
      </c>
      <c r="CP541" s="535" t="str">
        <f t="shared" si="1442"/>
        <v/>
      </c>
      <c r="CQ541" s="535" t="str">
        <f t="shared" si="1443"/>
        <v/>
      </c>
      <c r="CR541" s="535">
        <f t="shared" si="1444"/>
        <v>9838.98</v>
      </c>
      <c r="CS541" s="535">
        <f t="shared" si="1445"/>
        <v>9838.98</v>
      </c>
      <c r="CT541" s="535">
        <f t="shared" si="1446"/>
        <v>9838.98</v>
      </c>
      <c r="CU541" s="536">
        <f t="shared" si="1447"/>
        <v>9838.98</v>
      </c>
      <c r="CV541" s="536">
        <f t="shared" si="1448"/>
        <v>9838.98</v>
      </c>
      <c r="CW541" s="536">
        <f t="shared" si="1449"/>
        <v>9838.98</v>
      </c>
      <c r="CX541" s="535">
        <f t="shared" si="1450"/>
        <v>9838.98</v>
      </c>
      <c r="CY541" s="535">
        <f t="shared" si="1451"/>
        <v>9838.98</v>
      </c>
      <c r="CZ541" s="535">
        <f t="shared" si="1452"/>
        <v>9838.98</v>
      </c>
      <c r="DA541" s="535">
        <f t="shared" si="1453"/>
        <v>9838.98</v>
      </c>
      <c r="DB541" s="535" t="str">
        <f t="shared" si="1454"/>
        <v/>
      </c>
      <c r="DC541" s="534" t="str">
        <f t="shared" si="1455"/>
        <v/>
      </c>
      <c r="DD541" s="533" t="str">
        <f t="shared" si="1456"/>
        <v/>
      </c>
      <c r="DE541" s="635">
        <f t="shared" si="1539"/>
        <v>10</v>
      </c>
      <c r="DF541" s="95">
        <f t="shared" si="1540"/>
        <v>10</v>
      </c>
      <c r="DG541" s="95">
        <f t="shared" si="1541"/>
        <v>10</v>
      </c>
      <c r="DH541" s="95">
        <f t="shared" si="1542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579">IF(B539="","",B539*B540*B541/B$46/365/$G$1)</f>
        <v/>
      </c>
      <c r="C542" s="615" t="str">
        <f t="shared" si="1579"/>
        <v/>
      </c>
      <c r="D542" s="742" t="str">
        <f t="shared" si="1579"/>
        <v/>
      </c>
      <c r="E542" s="615" t="str">
        <f t="shared" si="1579"/>
        <v/>
      </c>
      <c r="F542" s="742" t="str">
        <f t="shared" si="1579"/>
        <v/>
      </c>
      <c r="G542" s="615" t="str">
        <f t="shared" si="1579"/>
        <v/>
      </c>
      <c r="H542" s="615" t="str">
        <f t="shared" si="1579"/>
        <v/>
      </c>
      <c r="I542" s="742" t="str">
        <f t="shared" si="1579"/>
        <v/>
      </c>
      <c r="J542" s="742" t="str">
        <f t="shared" si="1579"/>
        <v/>
      </c>
      <c r="K542" s="615" t="str">
        <f t="shared" si="1579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580">IF(T539="","",T539*T540*T541/T$46/365/$G$1)</f>
        <v/>
      </c>
      <c r="U542" s="615" t="str">
        <f t="shared" si="1580"/>
        <v/>
      </c>
      <c r="V542" s="615" t="str">
        <f t="shared" si="1580"/>
        <v/>
      </c>
      <c r="W542" s="615" t="str">
        <f t="shared" si="1580"/>
        <v/>
      </c>
      <c r="X542" s="615" t="str">
        <f t="shared" si="1580"/>
        <v/>
      </c>
      <c r="Y542" s="615" t="str">
        <f t="shared" si="1580"/>
        <v/>
      </c>
      <c r="Z542" s="615" t="str">
        <f t="shared" si="1580"/>
        <v/>
      </c>
      <c r="AA542" s="615" t="str">
        <f t="shared" si="1580"/>
        <v/>
      </c>
      <c r="AB542" s="615" t="str">
        <f t="shared" si="1580"/>
        <v/>
      </c>
      <c r="AC542" s="615" t="str">
        <f t="shared" si="1580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581">IF(AL539="","",AL539*AL540*AL541/AL$46/365/$G$1)</f>
        <v/>
      </c>
      <c r="AM542" s="615" t="str">
        <f t="shared" si="1581"/>
        <v/>
      </c>
      <c r="AN542" s="615" t="str">
        <f t="shared" si="1581"/>
        <v/>
      </c>
      <c r="AO542" s="615" t="str">
        <f t="shared" si="1581"/>
        <v/>
      </c>
      <c r="AP542" s="615" t="str">
        <f t="shared" si="1581"/>
        <v/>
      </c>
      <c r="AQ542" s="615" t="str">
        <f t="shared" si="1581"/>
        <v/>
      </c>
      <c r="AR542" s="615" t="str">
        <f t="shared" si="1581"/>
        <v/>
      </c>
      <c r="AS542" s="615" t="str">
        <f t="shared" si="1581"/>
        <v/>
      </c>
      <c r="AT542" s="615" t="str">
        <f t="shared" si="1581"/>
        <v/>
      </c>
      <c r="AU542" s="615" t="str">
        <f t="shared" si="1581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582">IF(BD539="","",BD539*BD540*BD541/BD$46/365/$G$1)</f>
        <v/>
      </c>
      <c r="BE542" s="1202" t="str">
        <f t="shared" si="1582"/>
        <v/>
      </c>
      <c r="BF542" s="1202" t="str">
        <f t="shared" si="1582"/>
        <v/>
      </c>
      <c r="BG542" s="1202" t="str">
        <f t="shared" si="1582"/>
        <v/>
      </c>
      <c r="BH542" s="1202" t="str">
        <f t="shared" si="1582"/>
        <v/>
      </c>
      <c r="BI542" s="1202" t="str">
        <f t="shared" si="1582"/>
        <v/>
      </c>
      <c r="BJ542" s="1202" t="str">
        <f t="shared" si="1582"/>
        <v/>
      </c>
      <c r="BK542" s="1202" t="str">
        <f t="shared" si="1582"/>
        <v/>
      </c>
      <c r="BL542" s="1202" t="str">
        <f t="shared" si="1582"/>
        <v/>
      </c>
      <c r="BM542" s="1202" t="str">
        <f t="shared" si="1582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556"/>
        <v/>
      </c>
      <c r="CA542" s="607" t="str">
        <f t="shared" si="1557"/>
        <v/>
      </c>
      <c r="CB542" s="607" t="str">
        <f t="shared" si="1558"/>
        <v/>
      </c>
      <c r="CC542" s="607" t="str">
        <f t="shared" si="1559"/>
        <v/>
      </c>
      <c r="CD542" s="991" t="str">
        <f t="shared" si="1560"/>
        <v/>
      </c>
      <c r="CE542" s="992" t="str">
        <f t="shared" ref="CE542:CM542" si="158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583"/>
        <v/>
      </c>
      <c r="CG542" s="992" t="str">
        <f t="shared" si="1583"/>
        <v/>
      </c>
      <c r="CH542" s="993" t="str">
        <f t="shared" si="1583"/>
        <v/>
      </c>
      <c r="CI542" s="993" t="str">
        <f t="shared" si="1583"/>
        <v/>
      </c>
      <c r="CJ542" s="992" t="str">
        <f t="shared" si="1583"/>
        <v/>
      </c>
      <c r="CK542" s="992" t="str">
        <f t="shared" si="1583"/>
        <v/>
      </c>
      <c r="CL542" s="992" t="str">
        <f t="shared" si="1583"/>
        <v/>
      </c>
      <c r="CM542" s="991" t="str">
        <f t="shared" si="1583"/>
        <v/>
      </c>
      <c r="CN542" s="521" t="str">
        <f t="shared" si="1440"/>
        <v/>
      </c>
      <c r="CO542" s="522" t="str">
        <f t="shared" si="1441"/>
        <v/>
      </c>
      <c r="CP542" s="523" t="str">
        <f t="shared" si="1442"/>
        <v/>
      </c>
      <c r="CQ542" s="523" t="str">
        <f t="shared" si="1443"/>
        <v/>
      </c>
      <c r="CR542" s="523" t="str">
        <f t="shared" si="1444"/>
        <v/>
      </c>
      <c r="CS542" s="523" t="str">
        <f t="shared" si="1445"/>
        <v/>
      </c>
      <c r="CT542" s="523" t="str">
        <f t="shared" si="1446"/>
        <v/>
      </c>
      <c r="CU542" s="524" t="str">
        <f t="shared" si="1447"/>
        <v/>
      </c>
      <c r="CV542" s="524" t="str">
        <f t="shared" si="1448"/>
        <v/>
      </c>
      <c r="CW542" s="524" t="str">
        <f t="shared" si="1449"/>
        <v/>
      </c>
      <c r="CX542" s="523" t="str">
        <f t="shared" si="1450"/>
        <v/>
      </c>
      <c r="CY542" s="523" t="str">
        <f t="shared" si="1451"/>
        <v/>
      </c>
      <c r="CZ542" s="523" t="str">
        <f t="shared" si="1452"/>
        <v/>
      </c>
      <c r="DA542" s="523" t="str">
        <f t="shared" si="1453"/>
        <v/>
      </c>
      <c r="DB542" s="523" t="str">
        <f t="shared" si="1454"/>
        <v/>
      </c>
      <c r="DC542" s="522" t="str">
        <f t="shared" si="1455"/>
        <v/>
      </c>
      <c r="DD542" s="521" t="str">
        <f t="shared" si="1456"/>
        <v/>
      </c>
      <c r="DE542" s="635">
        <f t="shared" si="1539"/>
        <v>0</v>
      </c>
      <c r="DF542" s="95">
        <f t="shared" si="1540"/>
        <v>0</v>
      </c>
      <c r="DG542" s="95">
        <f t="shared" si="1541"/>
        <v>0</v>
      </c>
      <c r="DH542" s="95">
        <f t="shared" si="1542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556"/>
        <v/>
      </c>
      <c r="CA543" s="582" t="str">
        <f t="shared" si="1557"/>
        <v/>
      </c>
      <c r="CB543" s="582" t="str">
        <f t="shared" si="1558"/>
        <v/>
      </c>
      <c r="CC543" s="670" t="str">
        <f t="shared" si="1559"/>
        <v/>
      </c>
      <c r="CD543" s="988" t="str">
        <f t="shared" si="1560"/>
        <v/>
      </c>
      <c r="CE543" s="989" t="str">
        <f t="shared" si="1555"/>
        <v/>
      </c>
      <c r="CF543" s="989" t="str">
        <f t="shared" si="1555"/>
        <v/>
      </c>
      <c r="CG543" s="989" t="str">
        <f t="shared" si="1555"/>
        <v/>
      </c>
      <c r="CH543" s="990" t="str">
        <f t="shared" si="1555"/>
        <v/>
      </c>
      <c r="CI543" s="990" t="str">
        <f t="shared" si="1555"/>
        <v/>
      </c>
      <c r="CJ543" s="989" t="str">
        <f t="shared" si="1555"/>
        <v/>
      </c>
      <c r="CK543" s="989" t="str">
        <f t="shared" si="1555"/>
        <v/>
      </c>
      <c r="CL543" s="989" t="str">
        <f t="shared" si="1555"/>
        <v/>
      </c>
      <c r="CM543" s="988" t="str">
        <f t="shared" si="1555"/>
        <v/>
      </c>
      <c r="CN543" s="533" t="str">
        <f t="shared" si="1440"/>
        <v/>
      </c>
      <c r="CO543" s="534" t="str">
        <f t="shared" si="1441"/>
        <v/>
      </c>
      <c r="CP543" s="535" t="str">
        <f t="shared" si="1442"/>
        <v/>
      </c>
      <c r="CQ543" s="535" t="str">
        <f t="shared" si="1443"/>
        <v/>
      </c>
      <c r="CR543" s="535" t="str">
        <f t="shared" si="1444"/>
        <v/>
      </c>
      <c r="CS543" s="535" t="str">
        <f t="shared" si="1445"/>
        <v/>
      </c>
      <c r="CT543" s="535" t="str">
        <f t="shared" si="1446"/>
        <v/>
      </c>
      <c r="CU543" s="536" t="str">
        <f t="shared" si="1447"/>
        <v/>
      </c>
      <c r="CV543" s="536" t="str">
        <f t="shared" si="1448"/>
        <v/>
      </c>
      <c r="CW543" s="536" t="str">
        <f t="shared" si="1449"/>
        <v/>
      </c>
      <c r="CX543" s="535" t="str">
        <f t="shared" si="1450"/>
        <v/>
      </c>
      <c r="CY543" s="535" t="str">
        <f t="shared" si="1451"/>
        <v/>
      </c>
      <c r="CZ543" s="535" t="str">
        <f t="shared" si="1452"/>
        <v/>
      </c>
      <c r="DA543" s="535" t="str">
        <f t="shared" si="1453"/>
        <v/>
      </c>
      <c r="DB543" s="535" t="str">
        <f t="shared" si="1454"/>
        <v/>
      </c>
      <c r="DC543" s="534" t="str">
        <f t="shared" si="1455"/>
        <v/>
      </c>
      <c r="DD543" s="533" t="str">
        <f t="shared" si="1456"/>
        <v/>
      </c>
      <c r="DE543" s="635">
        <f t="shared" si="1539"/>
        <v>0</v>
      </c>
      <c r="DF543" s="95">
        <f t="shared" si="1540"/>
        <v>0</v>
      </c>
      <c r="DG543" s="95">
        <f t="shared" si="1541"/>
        <v>0</v>
      </c>
      <c r="DH543" s="95">
        <f t="shared" si="1542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584">IF(B543="","",B539*B540*B543)</f>
        <v/>
      </c>
      <c r="C544" s="739" t="str">
        <f t="shared" si="1584"/>
        <v/>
      </c>
      <c r="D544" s="739" t="str">
        <f t="shared" si="1584"/>
        <v/>
      </c>
      <c r="E544" s="739" t="str">
        <f t="shared" si="1584"/>
        <v/>
      </c>
      <c r="F544" s="739" t="str">
        <f t="shared" si="1584"/>
        <v/>
      </c>
      <c r="G544" s="739" t="str">
        <f t="shared" si="1584"/>
        <v/>
      </c>
      <c r="H544" s="739" t="str">
        <f t="shared" si="1584"/>
        <v/>
      </c>
      <c r="I544" s="739" t="str">
        <f t="shared" si="1584"/>
        <v/>
      </c>
      <c r="J544" s="739" t="str">
        <f t="shared" si="1584"/>
        <v/>
      </c>
      <c r="K544" s="739" t="str">
        <f t="shared" si="1584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585">IF(T543="","",T539*T540*T543)</f>
        <v/>
      </c>
      <c r="U544" s="739" t="str">
        <f t="shared" si="1585"/>
        <v/>
      </c>
      <c r="V544" s="739" t="str">
        <f t="shared" si="1585"/>
        <v/>
      </c>
      <c r="W544" s="739" t="str">
        <f t="shared" si="1585"/>
        <v/>
      </c>
      <c r="X544" s="739" t="str">
        <f t="shared" si="1585"/>
        <v/>
      </c>
      <c r="Y544" s="739" t="str">
        <f t="shared" si="1585"/>
        <v/>
      </c>
      <c r="Z544" s="739" t="str">
        <f t="shared" si="1585"/>
        <v/>
      </c>
      <c r="AA544" s="739" t="str">
        <f t="shared" si="1585"/>
        <v/>
      </c>
      <c r="AB544" s="739" t="str">
        <f t="shared" si="1585"/>
        <v/>
      </c>
      <c r="AC544" s="739" t="str">
        <f t="shared" si="1585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586">IF(AL543="","",AL539*AL540*AL543)</f>
        <v/>
      </c>
      <c r="AM544" s="739" t="str">
        <f t="shared" si="1586"/>
        <v/>
      </c>
      <c r="AN544" s="739" t="str">
        <f t="shared" si="1586"/>
        <v/>
      </c>
      <c r="AO544" s="739" t="str">
        <f t="shared" si="1586"/>
        <v/>
      </c>
      <c r="AP544" s="739" t="str">
        <f t="shared" si="1586"/>
        <v/>
      </c>
      <c r="AQ544" s="739" t="str">
        <f t="shared" si="1586"/>
        <v/>
      </c>
      <c r="AR544" s="739" t="str">
        <f t="shared" si="1586"/>
        <v/>
      </c>
      <c r="AS544" s="739" t="str">
        <f t="shared" si="1586"/>
        <v/>
      </c>
      <c r="AT544" s="739" t="str">
        <f t="shared" si="1586"/>
        <v/>
      </c>
      <c r="AU544" s="739" t="str">
        <f t="shared" si="1586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587">IF(BD543="","",BD539*BD540*BD543)</f>
        <v/>
      </c>
      <c r="BE544" s="1237" t="str">
        <f t="shared" si="1587"/>
        <v/>
      </c>
      <c r="BF544" s="1237" t="str">
        <f t="shared" si="1587"/>
        <v/>
      </c>
      <c r="BG544" s="1237" t="str">
        <f t="shared" si="1587"/>
        <v/>
      </c>
      <c r="BH544" s="1237" t="str">
        <f t="shared" si="1587"/>
        <v/>
      </c>
      <c r="BI544" s="1237" t="str">
        <f t="shared" si="1587"/>
        <v/>
      </c>
      <c r="BJ544" s="1237" t="str">
        <f t="shared" si="1587"/>
        <v/>
      </c>
      <c r="BK544" s="1237" t="str">
        <f t="shared" si="1587"/>
        <v/>
      </c>
      <c r="BL544" s="1237" t="str">
        <f t="shared" si="1587"/>
        <v/>
      </c>
      <c r="BM544" s="1237" t="str">
        <f t="shared" si="1587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556"/>
        <v/>
      </c>
      <c r="CA544" s="582" t="str">
        <f t="shared" si="1557"/>
        <v/>
      </c>
      <c r="CB544" s="582" t="str">
        <f t="shared" si="1558"/>
        <v/>
      </c>
      <c r="CC544" s="670" t="str">
        <f t="shared" si="1559"/>
        <v/>
      </c>
      <c r="CD544" s="988" t="str">
        <f t="shared" si="1560"/>
        <v/>
      </c>
      <c r="CE544" s="989" t="str">
        <f t="shared" si="1555"/>
        <v/>
      </c>
      <c r="CF544" s="989" t="str">
        <f t="shared" si="1555"/>
        <v/>
      </c>
      <c r="CG544" s="989" t="str">
        <f t="shared" si="1555"/>
        <v/>
      </c>
      <c r="CH544" s="990" t="str">
        <f t="shared" si="1555"/>
        <v/>
      </c>
      <c r="CI544" s="990" t="str">
        <f t="shared" si="1555"/>
        <v/>
      </c>
      <c r="CJ544" s="989" t="str">
        <f t="shared" si="1555"/>
        <v/>
      </c>
      <c r="CK544" s="989" t="str">
        <f t="shared" si="1555"/>
        <v/>
      </c>
      <c r="CL544" s="989" t="str">
        <f t="shared" si="1555"/>
        <v/>
      </c>
      <c r="CM544" s="988" t="str">
        <f t="shared" si="1555"/>
        <v/>
      </c>
      <c r="CN544" s="533" t="str">
        <f t="shared" si="1440"/>
        <v/>
      </c>
      <c r="CO544" s="534" t="str">
        <f t="shared" si="1441"/>
        <v/>
      </c>
      <c r="CP544" s="535" t="str">
        <f t="shared" si="1442"/>
        <v/>
      </c>
      <c r="CQ544" s="535" t="str">
        <f t="shared" si="1443"/>
        <v/>
      </c>
      <c r="CR544" s="535" t="str">
        <f t="shared" si="1444"/>
        <v/>
      </c>
      <c r="CS544" s="535" t="str">
        <f t="shared" si="1445"/>
        <v/>
      </c>
      <c r="CT544" s="535" t="str">
        <f t="shared" si="1446"/>
        <v/>
      </c>
      <c r="CU544" s="536" t="str">
        <f t="shared" si="1447"/>
        <v/>
      </c>
      <c r="CV544" s="536" t="str">
        <f t="shared" si="1448"/>
        <v/>
      </c>
      <c r="CW544" s="536" t="str">
        <f t="shared" si="1449"/>
        <v/>
      </c>
      <c r="CX544" s="535" t="str">
        <f t="shared" si="1450"/>
        <v/>
      </c>
      <c r="CY544" s="535" t="str">
        <f t="shared" si="1451"/>
        <v/>
      </c>
      <c r="CZ544" s="535" t="str">
        <f t="shared" si="1452"/>
        <v/>
      </c>
      <c r="DA544" s="535" t="str">
        <f t="shared" si="1453"/>
        <v/>
      </c>
      <c r="DB544" s="535" t="str">
        <f t="shared" si="1454"/>
        <v/>
      </c>
      <c r="DC544" s="534" t="str">
        <f t="shared" si="1455"/>
        <v/>
      </c>
      <c r="DD544" s="533" t="str">
        <f t="shared" si="1456"/>
        <v/>
      </c>
      <c r="DE544" s="635">
        <f t="shared" si="1539"/>
        <v>0</v>
      </c>
      <c r="DF544" s="95">
        <f t="shared" si="1540"/>
        <v>0</v>
      </c>
      <c r="DG544" s="95">
        <f t="shared" si="1541"/>
        <v>0</v>
      </c>
      <c r="DH544" s="95">
        <f t="shared" si="1542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440"/>
        <v/>
      </c>
      <c r="CO545" s="534" t="str">
        <f t="shared" si="1441"/>
        <v/>
      </c>
      <c r="CP545" s="535" t="str">
        <f t="shared" si="1442"/>
        <v/>
      </c>
      <c r="CQ545" s="535" t="str">
        <f t="shared" si="1443"/>
        <v/>
      </c>
      <c r="CR545" s="535" t="str">
        <f t="shared" si="1444"/>
        <v/>
      </c>
      <c r="CS545" s="535" t="str">
        <f t="shared" si="1445"/>
        <v/>
      </c>
      <c r="CT545" s="535" t="str">
        <f t="shared" si="1446"/>
        <v/>
      </c>
      <c r="CU545" s="536" t="str">
        <f t="shared" si="1447"/>
        <v/>
      </c>
      <c r="CV545" s="536" t="str">
        <f t="shared" si="1448"/>
        <v/>
      </c>
      <c r="CW545" s="536" t="str">
        <f t="shared" si="1449"/>
        <v/>
      </c>
      <c r="CX545" s="535" t="str">
        <f t="shared" si="1450"/>
        <v/>
      </c>
      <c r="CY545" s="535" t="str">
        <f t="shared" si="1451"/>
        <v/>
      </c>
      <c r="CZ545" s="535" t="str">
        <f t="shared" si="1452"/>
        <v/>
      </c>
      <c r="DA545" s="535" t="str">
        <f t="shared" si="1453"/>
        <v/>
      </c>
      <c r="DB545" s="535" t="str">
        <f t="shared" si="1454"/>
        <v/>
      </c>
      <c r="DC545" s="534" t="str">
        <f t="shared" si="1455"/>
        <v/>
      </c>
      <c r="DD545" s="533" t="str">
        <f t="shared" si="1456"/>
        <v/>
      </c>
      <c r="DE545" s="635">
        <f t="shared" si="1539"/>
        <v>0</v>
      </c>
      <c r="DF545" s="95">
        <f t="shared" si="1540"/>
        <v>0</v>
      </c>
      <c r="DG545" s="95">
        <f t="shared" si="1541"/>
        <v>0</v>
      </c>
      <c r="DH545" s="95">
        <f t="shared" si="1542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989" t="str">
        <f t="shared" si="1555"/>
        <v/>
      </c>
      <c r="CF546" s="989" t="str">
        <f t="shared" si="1555"/>
        <v/>
      </c>
      <c r="CG546" s="989" t="str">
        <f t="shared" si="1555"/>
        <v/>
      </c>
      <c r="CH546" s="990" t="str">
        <f t="shared" si="1555"/>
        <v/>
      </c>
      <c r="CI546" s="990" t="str">
        <f t="shared" si="1555"/>
        <v/>
      </c>
      <c r="CJ546" s="989" t="str">
        <f t="shared" si="1555"/>
        <v/>
      </c>
      <c r="CK546" s="989" t="str">
        <f t="shared" si="1555"/>
        <v/>
      </c>
      <c r="CL546" s="989" t="str">
        <f t="shared" si="1555"/>
        <v/>
      </c>
      <c r="CM546" s="988" t="str">
        <f t="shared" si="1555"/>
        <v/>
      </c>
      <c r="CN546" s="533" t="str">
        <f t="shared" si="1440"/>
        <v/>
      </c>
      <c r="CO546" s="534" t="str">
        <f t="shared" si="1441"/>
        <v/>
      </c>
      <c r="CP546" s="535" t="str">
        <f t="shared" si="1442"/>
        <v/>
      </c>
      <c r="CQ546" s="535" t="str">
        <f t="shared" si="1443"/>
        <v/>
      </c>
      <c r="CR546" s="535" t="str">
        <f t="shared" si="1444"/>
        <v/>
      </c>
      <c r="CS546" s="535" t="str">
        <f t="shared" si="1445"/>
        <v/>
      </c>
      <c r="CT546" s="535" t="str">
        <f t="shared" si="1446"/>
        <v/>
      </c>
      <c r="CU546" s="536" t="str">
        <f t="shared" si="1447"/>
        <v/>
      </c>
      <c r="CV546" s="536" t="str">
        <f t="shared" si="1448"/>
        <v/>
      </c>
      <c r="CW546" s="536" t="str">
        <f t="shared" si="1449"/>
        <v/>
      </c>
      <c r="CX546" s="535" t="str">
        <f t="shared" si="1450"/>
        <v/>
      </c>
      <c r="CY546" s="535" t="str">
        <f t="shared" si="1451"/>
        <v/>
      </c>
      <c r="CZ546" s="535" t="str">
        <f t="shared" si="1452"/>
        <v/>
      </c>
      <c r="DA546" s="535" t="str">
        <f t="shared" si="1453"/>
        <v/>
      </c>
      <c r="DB546" s="535" t="str">
        <f t="shared" si="1454"/>
        <v/>
      </c>
      <c r="DC546" s="534" t="str">
        <f t="shared" si="1455"/>
        <v/>
      </c>
      <c r="DD546" s="533" t="str">
        <f t="shared" si="1456"/>
        <v/>
      </c>
      <c r="DE546" s="635">
        <f t="shared" si="1539"/>
        <v>0</v>
      </c>
      <c r="DF546" s="95">
        <f t="shared" si="1540"/>
        <v>0</v>
      </c>
      <c r="DG546" s="95">
        <f t="shared" si="1541"/>
        <v>0</v>
      </c>
      <c r="DH546" s="95">
        <f t="shared" si="1542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588">2810*$K$1</f>
        <v>11764.907999999999</v>
      </c>
      <c r="D547" s="1236">
        <f t="shared" si="1588"/>
        <v>11764.907999999999</v>
      </c>
      <c r="E547" s="1236">
        <f t="shared" si="1588"/>
        <v>11764.907999999999</v>
      </c>
      <c r="F547" s="1236">
        <f t="shared" si="1588"/>
        <v>11764.907999999999</v>
      </c>
      <c r="G547" s="1236">
        <f t="shared" si="1588"/>
        <v>11764.907999999999</v>
      </c>
      <c r="H547" s="1236">
        <f t="shared" si="1588"/>
        <v>11764.907999999999</v>
      </c>
      <c r="I547" s="1236">
        <f t="shared" si="1588"/>
        <v>11764.907999999999</v>
      </c>
      <c r="J547" s="1236">
        <f t="shared" si="1588"/>
        <v>11764.907999999999</v>
      </c>
      <c r="K547" s="1236">
        <f t="shared" si="1588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589">2810*$K$1</f>
        <v>11764.907999999999</v>
      </c>
      <c r="V547" s="1236">
        <f t="shared" si="1589"/>
        <v>11764.907999999999</v>
      </c>
      <c r="W547" s="1236">
        <f t="shared" si="1589"/>
        <v>11764.907999999999</v>
      </c>
      <c r="X547" s="1236">
        <f t="shared" si="1589"/>
        <v>11764.907999999999</v>
      </c>
      <c r="Y547" s="1236">
        <f t="shared" si="1589"/>
        <v>11764.907999999999</v>
      </c>
      <c r="Z547" s="1236">
        <f t="shared" si="1589"/>
        <v>11764.907999999999</v>
      </c>
      <c r="AA547" s="1236">
        <f t="shared" si="1589"/>
        <v>11764.907999999999</v>
      </c>
      <c r="AB547" s="1236">
        <f t="shared" si="1589"/>
        <v>11764.907999999999</v>
      </c>
      <c r="AC547" s="1236">
        <f t="shared" si="1589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590">2810*$K$1</f>
        <v>11764.907999999999</v>
      </c>
      <c r="AN547" s="1236">
        <f t="shared" si="1590"/>
        <v>11764.907999999999</v>
      </c>
      <c r="AO547" s="1236">
        <f t="shared" si="1590"/>
        <v>11764.907999999999</v>
      </c>
      <c r="AP547" s="1236">
        <f t="shared" si="1590"/>
        <v>11764.907999999999</v>
      </c>
      <c r="AQ547" s="1236">
        <f t="shared" si="1590"/>
        <v>11764.907999999999</v>
      </c>
      <c r="AR547" s="1236">
        <f t="shared" si="1590"/>
        <v>11764.907999999999</v>
      </c>
      <c r="AS547" s="1236">
        <f t="shared" si="1590"/>
        <v>11764.907999999999</v>
      </c>
      <c r="AT547" s="1236">
        <f t="shared" si="1590"/>
        <v>11764.907999999999</v>
      </c>
      <c r="AU547" s="1236">
        <f t="shared" si="1590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591">2810*$K$1</f>
        <v>11764.907999999999</v>
      </c>
      <c r="BF547" s="1236">
        <f t="shared" si="1591"/>
        <v>11764.907999999999</v>
      </c>
      <c r="BG547" s="1236">
        <f t="shared" si="1591"/>
        <v>11764.907999999999</v>
      </c>
      <c r="BH547" s="1236">
        <f t="shared" si="1591"/>
        <v>11764.907999999999</v>
      </c>
      <c r="BI547" s="1236">
        <f t="shared" si="1591"/>
        <v>11764.907999999999</v>
      </c>
      <c r="BJ547" s="1236">
        <f t="shared" si="1591"/>
        <v>11764.907999999999</v>
      </c>
      <c r="BK547" s="1236">
        <f t="shared" si="1591"/>
        <v>11764.907999999999</v>
      </c>
      <c r="BL547" s="1236">
        <f t="shared" si="1591"/>
        <v>11764.907999999999</v>
      </c>
      <c r="BM547" s="1236">
        <f t="shared" si="1591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>2810*$K$1</f>
        <v>11764.907999999999</v>
      </c>
      <c r="BW547" s="1236">
        <f>2810*$K$1</f>
        <v>11764.907999999999</v>
      </c>
      <c r="BX547" s="1236">
        <f>2810*$K$1</f>
        <v>11764.907999999999</v>
      </c>
      <c r="BY547" s="1236">
        <f>2810*$K$1</f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989">
        <f t="shared" si="1555"/>
        <v>11764.907999999999</v>
      </c>
      <c r="CF547" s="989">
        <f t="shared" si="1555"/>
        <v>11764.907999999999</v>
      </c>
      <c r="CG547" s="989">
        <f t="shared" si="1555"/>
        <v>11764.907999999999</v>
      </c>
      <c r="CH547" s="990">
        <f t="shared" si="1555"/>
        <v>11764.907999999999</v>
      </c>
      <c r="CI547" s="990">
        <f t="shared" si="1555"/>
        <v>11764.907999999999</v>
      </c>
      <c r="CJ547" s="989">
        <f t="shared" si="1555"/>
        <v>11764.907999999999</v>
      </c>
      <c r="CK547" s="989">
        <f t="shared" si="1555"/>
        <v>11764.907999999999</v>
      </c>
      <c r="CL547" s="989">
        <f t="shared" si="1555"/>
        <v>11764.907999999999</v>
      </c>
      <c r="CM547" s="988">
        <f t="shared" si="1555"/>
        <v>11764.907999999999</v>
      </c>
      <c r="CN547" s="533" t="str">
        <f t="shared" si="1440"/>
        <v/>
      </c>
      <c r="CO547" s="534" t="str">
        <f t="shared" si="1441"/>
        <v/>
      </c>
      <c r="CP547" s="535" t="str">
        <f t="shared" si="1442"/>
        <v/>
      </c>
      <c r="CQ547" s="535" t="str">
        <f t="shared" si="1443"/>
        <v/>
      </c>
      <c r="CR547" s="535">
        <f t="shared" si="1444"/>
        <v>11764.907999999999</v>
      </c>
      <c r="CS547" s="535">
        <f t="shared" si="1445"/>
        <v>11764.907999999999</v>
      </c>
      <c r="CT547" s="535">
        <f t="shared" si="1446"/>
        <v>11764.907999999999</v>
      </c>
      <c r="CU547" s="536">
        <f t="shared" si="1447"/>
        <v>11764.907999999999</v>
      </c>
      <c r="CV547" s="536">
        <f t="shared" si="1448"/>
        <v>11764.907999999999</v>
      </c>
      <c r="CW547" s="536">
        <f t="shared" si="1449"/>
        <v>11764.907999999999</v>
      </c>
      <c r="CX547" s="535">
        <f t="shared" si="1450"/>
        <v>11764.907999999999</v>
      </c>
      <c r="CY547" s="535">
        <f t="shared" si="1451"/>
        <v>11764.907999999999</v>
      </c>
      <c r="CZ547" s="535">
        <f t="shared" si="1452"/>
        <v>11764.907999999999</v>
      </c>
      <c r="DA547" s="535">
        <f t="shared" si="1453"/>
        <v>11764.907999999999</v>
      </c>
      <c r="DB547" s="535" t="str">
        <f t="shared" si="1454"/>
        <v/>
      </c>
      <c r="DC547" s="534" t="str">
        <f t="shared" si="1455"/>
        <v/>
      </c>
      <c r="DD547" s="533" t="str">
        <f t="shared" si="1456"/>
        <v/>
      </c>
      <c r="DE547" s="635">
        <f t="shared" si="1539"/>
        <v>10</v>
      </c>
      <c r="DF547" s="95">
        <f t="shared" si="1540"/>
        <v>10</v>
      </c>
      <c r="DG547" s="95">
        <f t="shared" si="1541"/>
        <v>10</v>
      </c>
      <c r="DH547" s="95">
        <f t="shared" si="1542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 t="shared" ref="B548:K548" si="1592">IF(B546="","",B546*B547/B$46/365/$G$1)</f>
        <v/>
      </c>
      <c r="C548" s="742" t="str">
        <f t="shared" si="1592"/>
        <v/>
      </c>
      <c r="D548" s="742" t="str">
        <f t="shared" si="1592"/>
        <v/>
      </c>
      <c r="E548" s="742" t="str">
        <f t="shared" si="1592"/>
        <v/>
      </c>
      <c r="F548" s="742" t="str">
        <f t="shared" si="1592"/>
        <v/>
      </c>
      <c r="G548" s="742" t="str">
        <f t="shared" si="1592"/>
        <v/>
      </c>
      <c r="H548" s="742" t="str">
        <f t="shared" si="1592"/>
        <v/>
      </c>
      <c r="I548" s="742" t="str">
        <f t="shared" si="1592"/>
        <v/>
      </c>
      <c r="J548" s="742" t="str">
        <f t="shared" si="1592"/>
        <v/>
      </c>
      <c r="K548" s="742" t="str">
        <f t="shared" si="1592"/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 t="shared" ref="T548:AC548" si="1593">IF(T546="","",T546*T547/T$46/365/$G$1)</f>
        <v/>
      </c>
      <c r="U548" s="742" t="str">
        <f t="shared" si="1593"/>
        <v/>
      </c>
      <c r="V548" s="742" t="str">
        <f t="shared" si="1593"/>
        <v/>
      </c>
      <c r="W548" s="742" t="str">
        <f t="shared" si="1593"/>
        <v/>
      </c>
      <c r="X548" s="742" t="str">
        <f t="shared" si="1593"/>
        <v/>
      </c>
      <c r="Y548" s="742" t="str">
        <f t="shared" si="1593"/>
        <v/>
      </c>
      <c r="Z548" s="742" t="str">
        <f t="shared" si="1593"/>
        <v/>
      </c>
      <c r="AA548" s="742" t="str">
        <f t="shared" si="1593"/>
        <v/>
      </c>
      <c r="AB548" s="742" t="str">
        <f t="shared" si="1593"/>
        <v/>
      </c>
      <c r="AC548" s="742" t="str">
        <f t="shared" si="1593"/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 t="shared" ref="AL548:AU548" si="1594">IF(AL546="","",AL546*AL547/AL$46/365/$G$1)</f>
        <v/>
      </c>
      <c r="AM548" s="742" t="str">
        <f t="shared" si="1594"/>
        <v/>
      </c>
      <c r="AN548" s="742" t="str">
        <f t="shared" si="1594"/>
        <v/>
      </c>
      <c r="AO548" s="742" t="str">
        <f t="shared" si="1594"/>
        <v/>
      </c>
      <c r="AP548" s="742" t="str">
        <f t="shared" si="1594"/>
        <v/>
      </c>
      <c r="AQ548" s="742" t="str">
        <f t="shared" si="1594"/>
        <v/>
      </c>
      <c r="AR548" s="742" t="str">
        <f t="shared" si="1594"/>
        <v/>
      </c>
      <c r="AS548" s="742" t="str">
        <f t="shared" si="1594"/>
        <v/>
      </c>
      <c r="AT548" s="742" t="str">
        <f t="shared" si="1594"/>
        <v/>
      </c>
      <c r="AU548" s="742" t="str">
        <f t="shared" si="1594"/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595">IF(BE546="","",BE546*BE547/BE$46/365/$G$1)</f>
        <v/>
      </c>
      <c r="BF548" s="1241" t="str">
        <f t="shared" si="1595"/>
        <v/>
      </c>
      <c r="BG548" s="1241" t="str">
        <f t="shared" si="1595"/>
        <v/>
      </c>
      <c r="BH548" s="1241" t="str">
        <f t="shared" si="1595"/>
        <v/>
      </c>
      <c r="BI548" s="1241" t="str">
        <f t="shared" si="1595"/>
        <v/>
      </c>
      <c r="BJ548" s="1241" t="str">
        <f t="shared" si="1595"/>
        <v/>
      </c>
      <c r="BK548" s="1241" t="str">
        <f t="shared" si="1595"/>
        <v/>
      </c>
      <c r="BL548" s="1241" t="str">
        <f t="shared" si="1595"/>
        <v/>
      </c>
      <c r="BM548" s="1241" t="str">
        <f t="shared" si="1595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>IF(BV546="","",BV546*BV547/BV$46/365/$G$1)</f>
        <v>1.8313991282689912E-3</v>
      </c>
      <c r="BW548" s="742">
        <f>IF(BW546="","",BW546*BW547/BW$46/365/$G$1)</f>
        <v>1.8313991282689912E-3</v>
      </c>
      <c r="BX548" s="742">
        <f>IF(BX546="","",BX546*BX547/BX$46/365/$G$1)</f>
        <v>1.8313991282689912E-3</v>
      </c>
      <c r="BY548" s="742" t="str">
        <f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59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596"/>
        <v/>
      </c>
      <c r="CG548" s="992" t="str">
        <f t="shared" si="1596"/>
        <v/>
      </c>
      <c r="CH548" s="993" t="str">
        <f t="shared" si="1596"/>
        <v/>
      </c>
      <c r="CI548" s="993" t="str">
        <f t="shared" si="1596"/>
        <v/>
      </c>
      <c r="CJ548" s="992" t="str">
        <f t="shared" si="1596"/>
        <v/>
      </c>
      <c r="CK548" s="992" t="str">
        <f t="shared" si="1596"/>
        <v/>
      </c>
      <c r="CL548" s="992" t="str">
        <f t="shared" si="1596"/>
        <v/>
      </c>
      <c r="CM548" s="991" t="str">
        <f t="shared" si="1596"/>
        <v/>
      </c>
      <c r="CN548" s="521" t="str">
        <f t="shared" si="1440"/>
        <v/>
      </c>
      <c r="CO548" s="522" t="str">
        <f t="shared" si="1441"/>
        <v/>
      </c>
      <c r="CP548" s="523" t="str">
        <f t="shared" si="1442"/>
        <v/>
      </c>
      <c r="CQ548" s="523" t="str">
        <f t="shared" si="1443"/>
        <v/>
      </c>
      <c r="CR548" s="523" t="str">
        <f t="shared" si="1444"/>
        <v/>
      </c>
      <c r="CS548" s="523" t="str">
        <f t="shared" si="1445"/>
        <v/>
      </c>
      <c r="CT548" s="523" t="str">
        <f t="shared" si="1446"/>
        <v/>
      </c>
      <c r="CU548" s="524" t="str">
        <f t="shared" si="1447"/>
        <v/>
      </c>
      <c r="CV548" s="524" t="str">
        <f t="shared" si="1448"/>
        <v/>
      </c>
      <c r="CW548" s="524" t="str">
        <f t="shared" si="1449"/>
        <v/>
      </c>
      <c r="CX548" s="523" t="str">
        <f t="shared" si="1450"/>
        <v/>
      </c>
      <c r="CY548" s="523" t="str">
        <f t="shared" si="1451"/>
        <v/>
      </c>
      <c r="CZ548" s="523" t="str">
        <f t="shared" si="1452"/>
        <v/>
      </c>
      <c r="DA548" s="523" t="str">
        <f t="shared" si="1453"/>
        <v/>
      </c>
      <c r="DB548" s="523" t="str">
        <f t="shared" si="1454"/>
        <v/>
      </c>
      <c r="DC548" s="522" t="str">
        <f t="shared" si="1455"/>
        <v/>
      </c>
      <c r="DD548" s="521" t="str">
        <f t="shared" si="1456"/>
        <v/>
      </c>
      <c r="DE548" s="635">
        <f t="shared" si="1539"/>
        <v>0</v>
      </c>
      <c r="DF548" s="95">
        <f t="shared" si="1540"/>
        <v>0</v>
      </c>
      <c r="DG548" s="95">
        <f t="shared" si="1541"/>
        <v>0</v>
      </c>
      <c r="DH548" s="95">
        <f t="shared" si="1542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989" t="str">
        <f t="shared" ref="CE549:CM562" si="159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597"/>
        <v/>
      </c>
      <c r="CG549" s="989" t="str">
        <f t="shared" si="1597"/>
        <v/>
      </c>
      <c r="CH549" s="990" t="str">
        <f t="shared" si="1597"/>
        <v/>
      </c>
      <c r="CI549" s="990" t="str">
        <f t="shared" si="1597"/>
        <v/>
      </c>
      <c r="CJ549" s="989" t="str">
        <f t="shared" si="1597"/>
        <v/>
      </c>
      <c r="CK549" s="989" t="str">
        <f t="shared" si="1597"/>
        <v/>
      </c>
      <c r="CL549" s="989" t="str">
        <f t="shared" si="1597"/>
        <v/>
      </c>
      <c r="CM549" s="988" t="str">
        <f t="shared" si="1597"/>
        <v/>
      </c>
      <c r="CN549" s="533" t="str">
        <f t="shared" si="1440"/>
        <v/>
      </c>
      <c r="CO549" s="534" t="str">
        <f t="shared" si="1441"/>
        <v/>
      </c>
      <c r="CP549" s="535" t="str">
        <f t="shared" si="1442"/>
        <v/>
      </c>
      <c r="CQ549" s="535" t="str">
        <f t="shared" si="1443"/>
        <v/>
      </c>
      <c r="CR549" s="535" t="str">
        <f t="shared" si="1444"/>
        <v/>
      </c>
      <c r="CS549" s="535" t="str">
        <f t="shared" si="1445"/>
        <v/>
      </c>
      <c r="CT549" s="535" t="str">
        <f t="shared" si="1446"/>
        <v/>
      </c>
      <c r="CU549" s="536" t="str">
        <f t="shared" si="1447"/>
        <v/>
      </c>
      <c r="CV549" s="536" t="str">
        <f t="shared" si="1448"/>
        <v/>
      </c>
      <c r="CW549" s="536" t="str">
        <f t="shared" si="1449"/>
        <v/>
      </c>
      <c r="CX549" s="535" t="str">
        <f t="shared" si="1450"/>
        <v/>
      </c>
      <c r="CY549" s="535" t="str">
        <f t="shared" si="1451"/>
        <v/>
      </c>
      <c r="CZ549" s="535" t="str">
        <f t="shared" si="1452"/>
        <v/>
      </c>
      <c r="DA549" s="535" t="str">
        <f t="shared" si="1453"/>
        <v/>
      </c>
      <c r="DB549" s="535" t="str">
        <f t="shared" si="1454"/>
        <v/>
      </c>
      <c r="DC549" s="534" t="str">
        <f t="shared" si="1455"/>
        <v/>
      </c>
      <c r="DD549" s="533" t="str">
        <f t="shared" si="1456"/>
        <v/>
      </c>
      <c r="DE549" s="635">
        <f t="shared" si="1539"/>
        <v>0</v>
      </c>
      <c r="DF549" s="95">
        <f t="shared" si="1540"/>
        <v>0</v>
      </c>
      <c r="DG549" s="95">
        <f t="shared" si="1541"/>
        <v>0</v>
      </c>
      <c r="DH549" s="95">
        <f t="shared" si="1542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 t="shared" ref="B550:K550" si="1598">IF(B549="","",B546*B549)</f>
        <v/>
      </c>
      <c r="C550" s="739" t="str">
        <f t="shared" si="1598"/>
        <v/>
      </c>
      <c r="D550" s="739" t="str">
        <f t="shared" si="1598"/>
        <v/>
      </c>
      <c r="E550" s="739" t="str">
        <f t="shared" si="1598"/>
        <v/>
      </c>
      <c r="F550" s="739" t="str">
        <f t="shared" si="1598"/>
        <v/>
      </c>
      <c r="G550" s="739" t="str">
        <f t="shared" si="1598"/>
        <v/>
      </c>
      <c r="H550" s="739" t="str">
        <f t="shared" si="1598"/>
        <v/>
      </c>
      <c r="I550" s="739" t="str">
        <f t="shared" si="1598"/>
        <v/>
      </c>
      <c r="J550" s="739" t="str">
        <f t="shared" si="1598"/>
        <v/>
      </c>
      <c r="K550" s="739" t="str">
        <f t="shared" si="1598"/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 t="shared" ref="T550:AC550" si="1599">IF(T549="","",T546*T549)</f>
        <v/>
      </c>
      <c r="U550" s="739" t="str">
        <f t="shared" si="1599"/>
        <v/>
      </c>
      <c r="V550" s="739" t="str">
        <f t="shared" si="1599"/>
        <v/>
      </c>
      <c r="W550" s="739" t="str">
        <f t="shared" si="1599"/>
        <v/>
      </c>
      <c r="X550" s="739" t="str">
        <f t="shared" si="1599"/>
        <v/>
      </c>
      <c r="Y550" s="739" t="str">
        <f t="shared" si="1599"/>
        <v/>
      </c>
      <c r="Z550" s="739" t="str">
        <f t="shared" si="1599"/>
        <v/>
      </c>
      <c r="AA550" s="739" t="str">
        <f t="shared" si="1599"/>
        <v/>
      </c>
      <c r="AB550" s="739" t="str">
        <f t="shared" si="1599"/>
        <v/>
      </c>
      <c r="AC550" s="739" t="str">
        <f t="shared" si="1599"/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 t="shared" ref="AL550:AU550" si="1600">IF(AL549="","",AL546*AL549)</f>
        <v/>
      </c>
      <c r="AM550" s="739" t="str">
        <f t="shared" si="1600"/>
        <v/>
      </c>
      <c r="AN550" s="739" t="str">
        <f t="shared" si="1600"/>
        <v/>
      </c>
      <c r="AO550" s="739" t="str">
        <f t="shared" si="1600"/>
        <v/>
      </c>
      <c r="AP550" s="739" t="str">
        <f t="shared" si="1600"/>
        <v/>
      </c>
      <c r="AQ550" s="739" t="str">
        <f t="shared" si="1600"/>
        <v/>
      </c>
      <c r="AR550" s="739" t="str">
        <f t="shared" si="1600"/>
        <v/>
      </c>
      <c r="AS550" s="739" t="str">
        <f t="shared" si="1600"/>
        <v/>
      </c>
      <c r="AT550" s="739" t="str">
        <f t="shared" si="1600"/>
        <v/>
      </c>
      <c r="AU550" s="739" t="str">
        <f t="shared" si="1600"/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601">IF(BE549="","",BE546*BE549)</f>
        <v/>
      </c>
      <c r="BF550" s="1237" t="str">
        <f t="shared" si="1601"/>
        <v/>
      </c>
      <c r="BG550" s="1237" t="str">
        <f t="shared" si="1601"/>
        <v/>
      </c>
      <c r="BH550" s="1237" t="str">
        <f t="shared" si="1601"/>
        <v/>
      </c>
      <c r="BI550" s="1237" t="str">
        <f t="shared" si="1601"/>
        <v/>
      </c>
      <c r="BJ550" s="1237" t="str">
        <f t="shared" si="1601"/>
        <v/>
      </c>
      <c r="BK550" s="1237" t="str">
        <f t="shared" si="1601"/>
        <v/>
      </c>
      <c r="BL550" s="1237" t="str">
        <f t="shared" si="1601"/>
        <v/>
      </c>
      <c r="BM550" s="1237" t="str">
        <f t="shared" si="1601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>IF(BV549="","",BV546*BV549)</f>
        <v>94</v>
      </c>
      <c r="BW550" s="739">
        <f>IF(BW549="","",BW546*BW549)</f>
        <v>94</v>
      </c>
      <c r="BX550" s="739">
        <f>IF(BX549="","",BX546*BX549)</f>
        <v>94</v>
      </c>
      <c r="BY550" s="739" t="str">
        <f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989" t="str">
        <f t="shared" si="1597"/>
        <v/>
      </c>
      <c r="CF550" s="989" t="str">
        <f t="shared" si="1597"/>
        <v/>
      </c>
      <c r="CG550" s="989" t="str">
        <f t="shared" si="1597"/>
        <v/>
      </c>
      <c r="CH550" s="990" t="str">
        <f t="shared" si="1597"/>
        <v/>
      </c>
      <c r="CI550" s="990" t="str">
        <f t="shared" si="1597"/>
        <v/>
      </c>
      <c r="CJ550" s="989" t="str">
        <f t="shared" si="1597"/>
        <v/>
      </c>
      <c r="CK550" s="989" t="str">
        <f t="shared" si="1597"/>
        <v/>
      </c>
      <c r="CL550" s="989" t="str">
        <f t="shared" si="1597"/>
        <v/>
      </c>
      <c r="CM550" s="988" t="str">
        <f t="shared" si="1597"/>
        <v/>
      </c>
      <c r="CN550" s="533" t="str">
        <f t="shared" si="1440"/>
        <v/>
      </c>
      <c r="CO550" s="534" t="str">
        <f t="shared" si="1441"/>
        <v/>
      </c>
      <c r="CP550" s="535" t="str">
        <f t="shared" si="1442"/>
        <v/>
      </c>
      <c r="CQ550" s="535" t="str">
        <f t="shared" si="1443"/>
        <v/>
      </c>
      <c r="CR550" s="535" t="str">
        <f t="shared" si="1444"/>
        <v/>
      </c>
      <c r="CS550" s="535" t="str">
        <f t="shared" si="1445"/>
        <v/>
      </c>
      <c r="CT550" s="535" t="str">
        <f t="shared" si="1446"/>
        <v/>
      </c>
      <c r="CU550" s="536" t="str">
        <f t="shared" si="1447"/>
        <v/>
      </c>
      <c r="CV550" s="536" t="str">
        <f t="shared" si="1448"/>
        <v/>
      </c>
      <c r="CW550" s="536" t="str">
        <f t="shared" si="1449"/>
        <v/>
      </c>
      <c r="CX550" s="535" t="str">
        <f t="shared" si="1450"/>
        <v/>
      </c>
      <c r="CY550" s="535" t="str">
        <f t="shared" si="1451"/>
        <v/>
      </c>
      <c r="CZ550" s="535" t="str">
        <f t="shared" si="1452"/>
        <v/>
      </c>
      <c r="DA550" s="535" t="str">
        <f t="shared" si="1453"/>
        <v/>
      </c>
      <c r="DB550" s="535" t="str">
        <f t="shared" si="1454"/>
        <v/>
      </c>
      <c r="DC550" s="534" t="str">
        <f t="shared" si="1455"/>
        <v/>
      </c>
      <c r="DD550" s="533" t="str">
        <f t="shared" si="1456"/>
        <v/>
      </c>
      <c r="DE550" s="635">
        <f t="shared" si="1539"/>
        <v>0</v>
      </c>
      <c r="DF550" s="95">
        <f t="shared" si="1540"/>
        <v>0</v>
      </c>
      <c r="DG550" s="95">
        <f t="shared" si="1541"/>
        <v>0</v>
      </c>
      <c r="DH550" s="95">
        <f t="shared" si="1542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440"/>
        <v/>
      </c>
      <c r="CO551" s="534" t="str">
        <f t="shared" si="1441"/>
        <v/>
      </c>
      <c r="CP551" s="535" t="str">
        <f t="shared" si="1442"/>
        <v/>
      </c>
      <c r="CQ551" s="535" t="str">
        <f t="shared" si="1443"/>
        <v/>
      </c>
      <c r="CR551" s="535" t="str">
        <f t="shared" si="1444"/>
        <v/>
      </c>
      <c r="CS551" s="535" t="str">
        <f t="shared" si="1445"/>
        <v/>
      </c>
      <c r="CT551" s="535" t="str">
        <f t="shared" si="1446"/>
        <v/>
      </c>
      <c r="CU551" s="536" t="str">
        <f t="shared" si="1447"/>
        <v/>
      </c>
      <c r="CV551" s="536" t="str">
        <f t="shared" si="1448"/>
        <v/>
      </c>
      <c r="CW551" s="536" t="str">
        <f t="shared" si="1449"/>
        <v/>
      </c>
      <c r="CX551" s="535" t="str">
        <f t="shared" si="1450"/>
        <v/>
      </c>
      <c r="CY551" s="535" t="str">
        <f t="shared" si="1451"/>
        <v/>
      </c>
      <c r="CZ551" s="535" t="str">
        <f t="shared" si="1452"/>
        <v/>
      </c>
      <c r="DA551" s="535" t="str">
        <f t="shared" si="1453"/>
        <v/>
      </c>
      <c r="DB551" s="535" t="str">
        <f t="shared" si="1454"/>
        <v/>
      </c>
      <c r="DC551" s="534" t="str">
        <f t="shared" si="1455"/>
        <v/>
      </c>
      <c r="DD551" s="533" t="str">
        <f t="shared" si="1456"/>
        <v/>
      </c>
      <c r="DE551" s="635">
        <f t="shared" si="1539"/>
        <v>0</v>
      </c>
      <c r="DF551" s="95">
        <f t="shared" si="1540"/>
        <v>0</v>
      </c>
      <c r="DG551" s="95">
        <f t="shared" si="1541"/>
        <v>0</v>
      </c>
      <c r="DH551" s="95">
        <f t="shared" si="1542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>12*0.42</f>
        <v>5.04</v>
      </c>
      <c r="BX552" s="624">
        <f>12*0.42</f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989" t="str">
        <f t="shared" si="1597"/>
        <v/>
      </c>
      <c r="CF552" s="989" t="str">
        <f t="shared" si="1597"/>
        <v/>
      </c>
      <c r="CG552" s="989" t="str">
        <f t="shared" si="1597"/>
        <v/>
      </c>
      <c r="CH552" s="990" t="str">
        <f t="shared" si="1597"/>
        <v/>
      </c>
      <c r="CI552" s="990" t="str">
        <f t="shared" si="1597"/>
        <v/>
      </c>
      <c r="CJ552" s="989" t="str">
        <f t="shared" si="1597"/>
        <v/>
      </c>
      <c r="CK552" s="989" t="str">
        <f t="shared" si="1597"/>
        <v/>
      </c>
      <c r="CL552" s="989" t="str">
        <f t="shared" si="1597"/>
        <v/>
      </c>
      <c r="CM552" s="988" t="str">
        <f t="shared" si="1597"/>
        <v/>
      </c>
      <c r="CN552" s="533" t="str">
        <f t="shared" si="1440"/>
        <v/>
      </c>
      <c r="CO552" s="534" t="str">
        <f t="shared" si="1441"/>
        <v/>
      </c>
      <c r="CP552" s="535" t="str">
        <f t="shared" si="1442"/>
        <v/>
      </c>
      <c r="CQ552" s="535" t="str">
        <f t="shared" si="1443"/>
        <v/>
      </c>
      <c r="CR552" s="535" t="str">
        <f t="shared" si="1444"/>
        <v/>
      </c>
      <c r="CS552" s="535" t="str">
        <f t="shared" si="1445"/>
        <v/>
      </c>
      <c r="CT552" s="535" t="str">
        <f t="shared" si="1446"/>
        <v/>
      </c>
      <c r="CU552" s="536" t="str">
        <f t="shared" si="1447"/>
        <v/>
      </c>
      <c r="CV552" s="536" t="str">
        <f t="shared" si="1448"/>
        <v/>
      </c>
      <c r="CW552" s="536" t="str">
        <f t="shared" si="1449"/>
        <v/>
      </c>
      <c r="CX552" s="535" t="str">
        <f t="shared" si="1450"/>
        <v/>
      </c>
      <c r="CY552" s="535" t="str">
        <f t="shared" si="1451"/>
        <v/>
      </c>
      <c r="CZ552" s="535" t="str">
        <f t="shared" si="1452"/>
        <v/>
      </c>
      <c r="DA552" s="535" t="str">
        <f t="shared" si="1453"/>
        <v/>
      </c>
      <c r="DB552" s="535" t="str">
        <f t="shared" si="1454"/>
        <v/>
      </c>
      <c r="DC552" s="534" t="str">
        <f t="shared" si="1455"/>
        <v/>
      </c>
      <c r="DD552" s="533" t="str">
        <f t="shared" si="1456"/>
        <v/>
      </c>
      <c r="DE552" s="635">
        <f t="shared" si="1539"/>
        <v>0</v>
      </c>
      <c r="DF552" s="95">
        <f t="shared" si="1540"/>
        <v>0</v>
      </c>
      <c r="DG552" s="95">
        <f t="shared" si="1541"/>
        <v>0</v>
      </c>
      <c r="DH552" s="95">
        <f t="shared" si="1542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602">1050*$K$1</f>
        <v>4396.1399999999994</v>
      </c>
      <c r="D553" s="740">
        <f t="shared" si="1602"/>
        <v>4396.1399999999994</v>
      </c>
      <c r="E553" s="740">
        <f t="shared" si="1602"/>
        <v>4396.1399999999994</v>
      </c>
      <c r="F553" s="740">
        <f t="shared" si="1602"/>
        <v>4396.1399999999994</v>
      </c>
      <c r="G553" s="740">
        <f t="shared" si="1602"/>
        <v>4396.1399999999994</v>
      </c>
      <c r="H553" s="740">
        <f t="shared" si="1602"/>
        <v>4396.1399999999994</v>
      </c>
      <c r="I553" s="740">
        <f t="shared" si="1602"/>
        <v>4396.1399999999994</v>
      </c>
      <c r="J553" s="740">
        <f t="shared" si="1602"/>
        <v>4396.1399999999994</v>
      </c>
      <c r="K553" s="740">
        <f t="shared" si="1602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603">1050*$K$1</f>
        <v>4396.1399999999994</v>
      </c>
      <c r="V553" s="740">
        <f t="shared" si="1603"/>
        <v>4396.1399999999994</v>
      </c>
      <c r="W553" s="740">
        <f t="shared" si="1603"/>
        <v>4396.1399999999994</v>
      </c>
      <c r="X553" s="740">
        <f t="shared" si="1603"/>
        <v>4396.1399999999994</v>
      </c>
      <c r="Y553" s="740">
        <f t="shared" si="1603"/>
        <v>4396.1399999999994</v>
      </c>
      <c r="Z553" s="740">
        <f t="shared" si="1603"/>
        <v>4396.1399999999994</v>
      </c>
      <c r="AA553" s="740">
        <f t="shared" si="1603"/>
        <v>4396.1399999999994</v>
      </c>
      <c r="AB553" s="740">
        <f t="shared" si="1603"/>
        <v>4396.1399999999994</v>
      </c>
      <c r="AC553" s="740">
        <f t="shared" si="1603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604">1050*$K$1</f>
        <v>4396.1399999999994</v>
      </c>
      <c r="AN553" s="740">
        <f t="shared" si="1604"/>
        <v>4396.1399999999994</v>
      </c>
      <c r="AO553" s="740">
        <f t="shared" si="1604"/>
        <v>4396.1399999999994</v>
      </c>
      <c r="AP553" s="740">
        <f t="shared" si="1604"/>
        <v>4396.1399999999994</v>
      </c>
      <c r="AQ553" s="740">
        <f t="shared" si="1604"/>
        <v>4396.1399999999994</v>
      </c>
      <c r="AR553" s="740">
        <f t="shared" si="1604"/>
        <v>4396.1399999999994</v>
      </c>
      <c r="AS553" s="740">
        <f t="shared" si="1604"/>
        <v>4396.1399999999994</v>
      </c>
      <c r="AT553" s="740">
        <f t="shared" si="1604"/>
        <v>4396.1399999999994</v>
      </c>
      <c r="AU553" s="740">
        <f t="shared" si="1604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605">1050*$K$1</f>
        <v>4396.1399999999994</v>
      </c>
      <c r="BF553" s="1236">
        <f t="shared" si="1605"/>
        <v>4396.1399999999994</v>
      </c>
      <c r="BG553" s="1236">
        <f t="shared" si="1605"/>
        <v>4396.1399999999994</v>
      </c>
      <c r="BH553" s="1236">
        <f t="shared" si="1605"/>
        <v>4396.1399999999994</v>
      </c>
      <c r="BI553" s="1236">
        <f t="shared" si="1605"/>
        <v>4396.1399999999994</v>
      </c>
      <c r="BJ553" s="1236">
        <f t="shared" si="1605"/>
        <v>4396.1399999999994</v>
      </c>
      <c r="BK553" s="1236">
        <f t="shared" si="1605"/>
        <v>4396.1399999999994</v>
      </c>
      <c r="BL553" s="1236">
        <f t="shared" si="1605"/>
        <v>4396.1399999999994</v>
      </c>
      <c r="BM553" s="1236">
        <f t="shared" si="1605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>1050*$K$1</f>
        <v>4396.1399999999994</v>
      </c>
      <c r="BW553" s="740">
        <f>1050*$K$1</f>
        <v>4396.1399999999994</v>
      </c>
      <c r="BX553" s="740">
        <f>1050*$K$1</f>
        <v>4396.1399999999994</v>
      </c>
      <c r="BY553" s="740">
        <f>1050*$K$1</f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989">
        <f t="shared" si="1597"/>
        <v>4396.1399999999994</v>
      </c>
      <c r="CF553" s="989">
        <f t="shared" si="1597"/>
        <v>4396.1399999999994</v>
      </c>
      <c r="CG553" s="989">
        <f t="shared" si="1597"/>
        <v>4396.1399999999994</v>
      </c>
      <c r="CH553" s="990">
        <f t="shared" si="1597"/>
        <v>4396.1399999999994</v>
      </c>
      <c r="CI553" s="990">
        <f t="shared" si="1597"/>
        <v>4396.1399999999994</v>
      </c>
      <c r="CJ553" s="989">
        <f t="shared" si="1597"/>
        <v>4396.1399999999994</v>
      </c>
      <c r="CK553" s="989">
        <f t="shared" si="1597"/>
        <v>4396.1399999999994</v>
      </c>
      <c r="CL553" s="989">
        <f t="shared" si="1597"/>
        <v>4396.1399999999994</v>
      </c>
      <c r="CM553" s="988">
        <f t="shared" si="1597"/>
        <v>4396.1399999999994</v>
      </c>
      <c r="CN553" s="533" t="str">
        <f t="shared" si="1440"/>
        <v/>
      </c>
      <c r="CO553" s="534" t="str">
        <f t="shared" si="1441"/>
        <v/>
      </c>
      <c r="CP553" s="535" t="str">
        <f t="shared" si="1442"/>
        <v/>
      </c>
      <c r="CQ553" s="535" t="str">
        <f t="shared" si="1443"/>
        <v/>
      </c>
      <c r="CR553" s="535">
        <f t="shared" si="1444"/>
        <v>4396.1399999999994</v>
      </c>
      <c r="CS553" s="535">
        <f t="shared" si="1445"/>
        <v>4396.1399999999994</v>
      </c>
      <c r="CT553" s="535">
        <f t="shared" si="1446"/>
        <v>4396.1399999999994</v>
      </c>
      <c r="CU553" s="536">
        <f t="shared" si="1447"/>
        <v>4396.1399999999994</v>
      </c>
      <c r="CV553" s="536">
        <f t="shared" si="1448"/>
        <v>4396.1399999999994</v>
      </c>
      <c r="CW553" s="536">
        <f t="shared" si="1449"/>
        <v>4396.1399999999994</v>
      </c>
      <c r="CX553" s="535">
        <f t="shared" si="1450"/>
        <v>4396.1399999999994</v>
      </c>
      <c r="CY553" s="535">
        <f t="shared" si="1451"/>
        <v>4396.1399999999994</v>
      </c>
      <c r="CZ553" s="535">
        <f t="shared" si="1452"/>
        <v>4396.1399999999994</v>
      </c>
      <c r="DA553" s="535">
        <f t="shared" si="1453"/>
        <v>4396.1399999999994</v>
      </c>
      <c r="DB553" s="535" t="str">
        <f t="shared" si="1454"/>
        <v/>
      </c>
      <c r="DC553" s="534" t="str">
        <f t="shared" si="1455"/>
        <v/>
      </c>
      <c r="DD553" s="533" t="str">
        <f t="shared" si="1456"/>
        <v/>
      </c>
      <c r="DE553" s="635">
        <f t="shared" si="1539"/>
        <v>10</v>
      </c>
      <c r="DF553" s="95">
        <f t="shared" si="1540"/>
        <v>10</v>
      </c>
      <c r="DG553" s="95">
        <f t="shared" si="1541"/>
        <v>10</v>
      </c>
      <c r="DH553" s="95">
        <f t="shared" si="1542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 t="shared" ref="B554:K554" si="1606">IF(B552="","",B552*B553/B$46/365/$G$1)</f>
        <v/>
      </c>
      <c r="C554" s="742" t="str">
        <f t="shared" si="1606"/>
        <v/>
      </c>
      <c r="D554" s="742" t="str">
        <f t="shared" si="1606"/>
        <v/>
      </c>
      <c r="E554" s="742" t="str">
        <f t="shared" si="1606"/>
        <v/>
      </c>
      <c r="F554" s="742" t="str">
        <f t="shared" si="1606"/>
        <v/>
      </c>
      <c r="G554" s="742" t="str">
        <f t="shared" si="1606"/>
        <v/>
      </c>
      <c r="H554" s="742" t="str">
        <f t="shared" si="1606"/>
        <v/>
      </c>
      <c r="I554" s="742" t="str">
        <f t="shared" si="1606"/>
        <v/>
      </c>
      <c r="J554" s="742" t="str">
        <f t="shared" si="1606"/>
        <v/>
      </c>
      <c r="K554" s="742" t="str">
        <f t="shared" si="1606"/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 t="shared" ref="T554:AC554" si="1607">IF(T552="","",T552*T553/T$46/365/$G$1)</f>
        <v/>
      </c>
      <c r="U554" s="742" t="str">
        <f t="shared" si="1607"/>
        <v/>
      </c>
      <c r="V554" s="742" t="str">
        <f t="shared" si="1607"/>
        <v/>
      </c>
      <c r="W554" s="742" t="str">
        <f t="shared" si="1607"/>
        <v/>
      </c>
      <c r="X554" s="742" t="str">
        <f t="shared" si="1607"/>
        <v/>
      </c>
      <c r="Y554" s="742" t="str">
        <f t="shared" si="1607"/>
        <v/>
      </c>
      <c r="Z554" s="742" t="str">
        <f t="shared" si="1607"/>
        <v/>
      </c>
      <c r="AA554" s="742" t="str">
        <f t="shared" si="1607"/>
        <v/>
      </c>
      <c r="AB554" s="742" t="str">
        <f t="shared" si="1607"/>
        <v/>
      </c>
      <c r="AC554" s="742" t="str">
        <f t="shared" si="1607"/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 t="shared" ref="AL554:AU554" si="1608">IF(AL552="","",AL552*AL553/AL$46/365/$G$1)</f>
        <v/>
      </c>
      <c r="AM554" s="742" t="str">
        <f t="shared" si="1608"/>
        <v/>
      </c>
      <c r="AN554" s="742" t="str">
        <f t="shared" si="1608"/>
        <v/>
      </c>
      <c r="AO554" s="742" t="str">
        <f t="shared" si="1608"/>
        <v/>
      </c>
      <c r="AP554" s="742" t="str">
        <f t="shared" si="1608"/>
        <v/>
      </c>
      <c r="AQ554" s="742" t="str">
        <f t="shared" si="1608"/>
        <v/>
      </c>
      <c r="AR554" s="742" t="str">
        <f t="shared" si="1608"/>
        <v/>
      </c>
      <c r="AS554" s="742" t="str">
        <f t="shared" si="1608"/>
        <v/>
      </c>
      <c r="AT554" s="742" t="str">
        <f t="shared" si="1608"/>
        <v/>
      </c>
      <c r="AU554" s="742" t="str">
        <f t="shared" si="1608"/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609">IF(BE552="","",BE552*BE553/BE$46/365/$G$1)</f>
        <v/>
      </c>
      <c r="BF554" s="1241" t="str">
        <f t="shared" si="1609"/>
        <v/>
      </c>
      <c r="BG554" s="1241" t="str">
        <f t="shared" si="1609"/>
        <v/>
      </c>
      <c r="BH554" s="1241" t="str">
        <f t="shared" si="1609"/>
        <v/>
      </c>
      <c r="BI554" s="1241" t="str">
        <f t="shared" si="1609"/>
        <v/>
      </c>
      <c r="BJ554" s="1241" t="str">
        <f t="shared" si="1609"/>
        <v/>
      </c>
      <c r="BK554" s="1241" t="str">
        <f t="shared" si="1609"/>
        <v/>
      </c>
      <c r="BL554" s="1241" t="str">
        <f t="shared" si="1609"/>
        <v/>
      </c>
      <c r="BM554" s="1241" t="str">
        <f t="shared" si="1609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>IF(BV552="","",BV552*BV553/BV$46/365/$G$1)</f>
        <v>1.7245132004981318E-3</v>
      </c>
      <c r="BW554" s="742">
        <f>IF(BW552="","",BW552*BW553/BW$46/365/$G$1)</f>
        <v>1.7245132004981318E-3</v>
      </c>
      <c r="BX554" s="742">
        <f>IF(BX552="","",BX552*BX553/BX$46/365/$G$1)</f>
        <v>1.7245132004981318E-3</v>
      </c>
      <c r="BY554" s="742" t="str">
        <f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597"/>
        <v/>
      </c>
      <c r="CF554" s="992" t="str">
        <f t="shared" si="1597"/>
        <v/>
      </c>
      <c r="CG554" s="992" t="str">
        <f t="shared" si="1597"/>
        <v/>
      </c>
      <c r="CH554" s="993" t="str">
        <f t="shared" si="1597"/>
        <v/>
      </c>
      <c r="CI554" s="993" t="str">
        <f t="shared" si="1597"/>
        <v/>
      </c>
      <c r="CJ554" s="992" t="str">
        <f t="shared" si="1597"/>
        <v/>
      </c>
      <c r="CK554" s="992" t="str">
        <f t="shared" si="1597"/>
        <v/>
      </c>
      <c r="CL554" s="992" t="str">
        <f t="shared" si="1597"/>
        <v/>
      </c>
      <c r="CM554" s="991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440"/>
        <v/>
      </c>
      <c r="CO554" s="522" t="str">
        <f t="shared" si="1441"/>
        <v/>
      </c>
      <c r="CP554" s="523" t="str">
        <f t="shared" si="1442"/>
        <v/>
      </c>
      <c r="CQ554" s="523" t="str">
        <f t="shared" si="1443"/>
        <v/>
      </c>
      <c r="CR554" s="523" t="str">
        <f t="shared" si="1444"/>
        <v/>
      </c>
      <c r="CS554" s="523" t="str">
        <f t="shared" si="1445"/>
        <v/>
      </c>
      <c r="CT554" s="523" t="str">
        <f t="shared" si="1446"/>
        <v/>
      </c>
      <c r="CU554" s="524" t="str">
        <f t="shared" si="1447"/>
        <v/>
      </c>
      <c r="CV554" s="524" t="str">
        <f t="shared" si="1448"/>
        <v/>
      </c>
      <c r="CW554" s="524" t="str">
        <f t="shared" si="1449"/>
        <v/>
      </c>
      <c r="CX554" s="523" t="str">
        <f t="shared" si="1450"/>
        <v/>
      </c>
      <c r="CY554" s="523" t="str">
        <f t="shared" si="1451"/>
        <v/>
      </c>
      <c r="CZ554" s="523" t="str">
        <f t="shared" si="1452"/>
        <v/>
      </c>
      <c r="DA554" s="523" t="str">
        <f t="shared" si="1453"/>
        <v/>
      </c>
      <c r="DB554" s="523" t="str">
        <f t="shared" si="1454"/>
        <v/>
      </c>
      <c r="DC554" s="522" t="str">
        <f t="shared" si="1455"/>
        <v/>
      </c>
      <c r="DD554" s="521" t="str">
        <f t="shared" si="1456"/>
        <v/>
      </c>
      <c r="DE554" s="635">
        <f t="shared" si="1539"/>
        <v>0</v>
      </c>
      <c r="DF554" s="95">
        <f t="shared" si="1540"/>
        <v>0</v>
      </c>
      <c r="DG554" s="95">
        <f t="shared" si="1541"/>
        <v>0</v>
      </c>
      <c r="DH554" s="95">
        <f t="shared" si="1542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989" t="str">
        <f t="shared" si="1597"/>
        <v/>
      </c>
      <c r="CF555" s="989" t="str">
        <f t="shared" si="1597"/>
        <v/>
      </c>
      <c r="CG555" s="989" t="str">
        <f t="shared" si="1597"/>
        <v/>
      </c>
      <c r="CH555" s="990" t="str">
        <f t="shared" si="1597"/>
        <v/>
      </c>
      <c r="CI555" s="990" t="str">
        <f t="shared" si="1597"/>
        <v/>
      </c>
      <c r="CJ555" s="989" t="str">
        <f t="shared" si="1597"/>
        <v/>
      </c>
      <c r="CK555" s="989" t="str">
        <f t="shared" si="1597"/>
        <v/>
      </c>
      <c r="CL555" s="989" t="str">
        <f t="shared" si="1597"/>
        <v/>
      </c>
      <c r="CM555" s="988" t="str">
        <f t="shared" si="1597"/>
        <v/>
      </c>
      <c r="CN555" s="533" t="str">
        <f t="shared" si="1440"/>
        <v/>
      </c>
      <c r="CO555" s="534" t="str">
        <f t="shared" si="1441"/>
        <v/>
      </c>
      <c r="CP555" s="535" t="str">
        <f t="shared" si="1442"/>
        <v/>
      </c>
      <c r="CQ555" s="535" t="str">
        <f t="shared" si="1443"/>
        <v/>
      </c>
      <c r="CR555" s="535" t="str">
        <f t="shared" si="1444"/>
        <v/>
      </c>
      <c r="CS555" s="535" t="str">
        <f t="shared" si="1445"/>
        <v/>
      </c>
      <c r="CT555" s="535" t="str">
        <f t="shared" si="1446"/>
        <v/>
      </c>
      <c r="CU555" s="536" t="str">
        <f t="shared" si="1447"/>
        <v/>
      </c>
      <c r="CV555" s="536" t="str">
        <f t="shared" si="1448"/>
        <v/>
      </c>
      <c r="CW555" s="536" t="str">
        <f t="shared" si="1449"/>
        <v/>
      </c>
      <c r="CX555" s="535" t="str">
        <f t="shared" si="1450"/>
        <v/>
      </c>
      <c r="CY555" s="535" t="str">
        <f t="shared" si="1451"/>
        <v/>
      </c>
      <c r="CZ555" s="535" t="str">
        <f t="shared" si="1452"/>
        <v/>
      </c>
      <c r="DA555" s="535" t="str">
        <f t="shared" si="1453"/>
        <v/>
      </c>
      <c r="DB555" s="535" t="str">
        <f t="shared" si="1454"/>
        <v/>
      </c>
      <c r="DC555" s="534" t="str">
        <f t="shared" si="1455"/>
        <v/>
      </c>
      <c r="DD555" s="533" t="str">
        <f t="shared" si="1456"/>
        <v/>
      </c>
      <c r="DE555" s="635">
        <f t="shared" si="1539"/>
        <v>0</v>
      </c>
      <c r="DF555" s="95">
        <f t="shared" si="1540"/>
        <v>0</v>
      </c>
      <c r="DG555" s="95">
        <f t="shared" si="1541"/>
        <v>0</v>
      </c>
      <c r="DH555" s="95">
        <f t="shared" si="1542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 t="shared" ref="B556:K556" si="1610">IF(B555="","",B552*B555)</f>
        <v/>
      </c>
      <c r="C556" s="739" t="str">
        <f t="shared" si="1610"/>
        <v/>
      </c>
      <c r="D556" s="739" t="str">
        <f t="shared" si="1610"/>
        <v/>
      </c>
      <c r="E556" s="739" t="str">
        <f t="shared" si="1610"/>
        <v/>
      </c>
      <c r="F556" s="739" t="str">
        <f t="shared" si="1610"/>
        <v/>
      </c>
      <c r="G556" s="739" t="str">
        <f t="shared" si="1610"/>
        <v/>
      </c>
      <c r="H556" s="739" t="str">
        <f t="shared" si="1610"/>
        <v/>
      </c>
      <c r="I556" s="739" t="str">
        <f t="shared" si="1610"/>
        <v/>
      </c>
      <c r="J556" s="739" t="str">
        <f t="shared" si="1610"/>
        <v/>
      </c>
      <c r="K556" s="739" t="str">
        <f t="shared" si="1610"/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 t="shared" ref="T556:AC556" si="1611">IF(T555="","",T552*T555)</f>
        <v/>
      </c>
      <c r="U556" s="739" t="str">
        <f t="shared" si="1611"/>
        <v/>
      </c>
      <c r="V556" s="739" t="str">
        <f t="shared" si="1611"/>
        <v/>
      </c>
      <c r="W556" s="739" t="str">
        <f t="shared" si="1611"/>
        <v/>
      </c>
      <c r="X556" s="739" t="str">
        <f t="shared" si="1611"/>
        <v/>
      </c>
      <c r="Y556" s="739" t="str">
        <f t="shared" si="1611"/>
        <v/>
      </c>
      <c r="Z556" s="739" t="str">
        <f t="shared" si="1611"/>
        <v/>
      </c>
      <c r="AA556" s="739" t="str">
        <f t="shared" si="1611"/>
        <v/>
      </c>
      <c r="AB556" s="739" t="str">
        <f t="shared" si="1611"/>
        <v/>
      </c>
      <c r="AC556" s="739" t="str">
        <f t="shared" si="1611"/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 t="shared" ref="AL556:AU556" si="1612">IF(AL555="","",AL552*AL555)</f>
        <v/>
      </c>
      <c r="AM556" s="739" t="str">
        <f t="shared" si="1612"/>
        <v/>
      </c>
      <c r="AN556" s="739" t="str">
        <f t="shared" si="1612"/>
        <v/>
      </c>
      <c r="AO556" s="739" t="str">
        <f t="shared" si="1612"/>
        <v/>
      </c>
      <c r="AP556" s="739" t="str">
        <f t="shared" si="1612"/>
        <v/>
      </c>
      <c r="AQ556" s="739" t="str">
        <f t="shared" si="1612"/>
        <v/>
      </c>
      <c r="AR556" s="739" t="str">
        <f t="shared" si="1612"/>
        <v/>
      </c>
      <c r="AS556" s="739" t="str">
        <f t="shared" si="1612"/>
        <v/>
      </c>
      <c r="AT556" s="739" t="str">
        <f t="shared" si="1612"/>
        <v/>
      </c>
      <c r="AU556" s="739" t="str">
        <f t="shared" si="1612"/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613">IF(BE555="","",BE552*BE555)</f>
        <v/>
      </c>
      <c r="BF556" s="1237" t="str">
        <f t="shared" si="1613"/>
        <v/>
      </c>
      <c r="BG556" s="1237" t="str">
        <f t="shared" si="1613"/>
        <v/>
      </c>
      <c r="BH556" s="1237" t="str">
        <f t="shared" si="1613"/>
        <v/>
      </c>
      <c r="BI556" s="1237" t="str">
        <f t="shared" si="1613"/>
        <v/>
      </c>
      <c r="BJ556" s="1237" t="str">
        <f t="shared" si="1613"/>
        <v/>
      </c>
      <c r="BK556" s="1237" t="str">
        <f t="shared" si="1613"/>
        <v/>
      </c>
      <c r="BL556" s="1237" t="str">
        <f t="shared" si="1613"/>
        <v/>
      </c>
      <c r="BM556" s="1237" t="str">
        <f t="shared" si="161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>IF(BV555="","",BV552*BV555)</f>
        <v>201.6</v>
      </c>
      <c r="BW556" s="739">
        <f>IF(BW555="","",BW552*BW555)</f>
        <v>201.6</v>
      </c>
      <c r="BX556" s="739">
        <f>IF(BX555="","",BX552*BX555)</f>
        <v>201.6</v>
      </c>
      <c r="BY556" s="739" t="str">
        <f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989" t="str">
        <f t="shared" si="1597"/>
        <v/>
      </c>
      <c r="CF556" s="989" t="str">
        <f t="shared" si="1597"/>
        <v/>
      </c>
      <c r="CG556" s="989" t="str">
        <f t="shared" si="1597"/>
        <v/>
      </c>
      <c r="CH556" s="990" t="str">
        <f t="shared" si="1597"/>
        <v/>
      </c>
      <c r="CI556" s="990" t="str">
        <f t="shared" si="1597"/>
        <v/>
      </c>
      <c r="CJ556" s="989" t="str">
        <f t="shared" si="1597"/>
        <v/>
      </c>
      <c r="CK556" s="989" t="str">
        <f t="shared" si="1597"/>
        <v/>
      </c>
      <c r="CL556" s="989" t="str">
        <f t="shared" si="1597"/>
        <v/>
      </c>
      <c r="CM556" s="988" t="str">
        <f t="shared" si="1597"/>
        <v/>
      </c>
      <c r="CN556" s="533" t="str">
        <f t="shared" si="1440"/>
        <v/>
      </c>
      <c r="CO556" s="534" t="str">
        <f t="shared" si="1441"/>
        <v/>
      </c>
      <c r="CP556" s="535" t="str">
        <f t="shared" si="1442"/>
        <v/>
      </c>
      <c r="CQ556" s="535" t="str">
        <f t="shared" si="1443"/>
        <v/>
      </c>
      <c r="CR556" s="535" t="str">
        <f t="shared" si="1444"/>
        <v/>
      </c>
      <c r="CS556" s="535" t="str">
        <f t="shared" si="1445"/>
        <v/>
      </c>
      <c r="CT556" s="535" t="str">
        <f t="shared" si="1446"/>
        <v/>
      </c>
      <c r="CU556" s="536" t="str">
        <f t="shared" si="1447"/>
        <v/>
      </c>
      <c r="CV556" s="536" t="str">
        <f t="shared" si="1448"/>
        <v/>
      </c>
      <c r="CW556" s="536" t="str">
        <f t="shared" si="1449"/>
        <v/>
      </c>
      <c r="CX556" s="535" t="str">
        <f t="shared" si="1450"/>
        <v/>
      </c>
      <c r="CY556" s="535" t="str">
        <f t="shared" si="1451"/>
        <v/>
      </c>
      <c r="CZ556" s="535" t="str">
        <f t="shared" si="1452"/>
        <v/>
      </c>
      <c r="DA556" s="535" t="str">
        <f t="shared" si="1453"/>
        <v/>
      </c>
      <c r="DB556" s="535" t="str">
        <f t="shared" si="1454"/>
        <v/>
      </c>
      <c r="DC556" s="534" t="str">
        <f t="shared" si="1455"/>
        <v/>
      </c>
      <c r="DD556" s="533" t="str">
        <f t="shared" si="1456"/>
        <v/>
      </c>
      <c r="DE556" s="635">
        <f t="shared" si="1539"/>
        <v>0</v>
      </c>
      <c r="DF556" s="95">
        <f t="shared" si="1540"/>
        <v>0</v>
      </c>
      <c r="DG556" s="95">
        <f t="shared" si="1541"/>
        <v>0</v>
      </c>
      <c r="DH556" s="95">
        <f t="shared" si="1542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440"/>
        <v/>
      </c>
      <c r="CO557" s="534" t="str">
        <f t="shared" si="1441"/>
        <v/>
      </c>
      <c r="CP557" s="535" t="str">
        <f t="shared" si="1442"/>
        <v/>
      </c>
      <c r="CQ557" s="535" t="str">
        <f t="shared" si="1443"/>
        <v/>
      </c>
      <c r="CR557" s="535" t="str">
        <f t="shared" si="1444"/>
        <v/>
      </c>
      <c r="CS557" s="535" t="str">
        <f t="shared" si="1445"/>
        <v/>
      </c>
      <c r="CT557" s="535" t="str">
        <f t="shared" si="1446"/>
        <v/>
      </c>
      <c r="CU557" s="536" t="str">
        <f t="shared" si="1447"/>
        <v/>
      </c>
      <c r="CV557" s="536" t="str">
        <f t="shared" si="1448"/>
        <v/>
      </c>
      <c r="CW557" s="536" t="str">
        <f t="shared" si="1449"/>
        <v/>
      </c>
      <c r="CX557" s="535" t="str">
        <f t="shared" si="1450"/>
        <v/>
      </c>
      <c r="CY557" s="535" t="str">
        <f t="shared" si="1451"/>
        <v/>
      </c>
      <c r="CZ557" s="535" t="str">
        <f t="shared" si="1452"/>
        <v/>
      </c>
      <c r="DA557" s="535" t="str">
        <f t="shared" si="1453"/>
        <v/>
      </c>
      <c r="DB557" s="535" t="str">
        <f t="shared" si="1454"/>
        <v/>
      </c>
      <c r="DC557" s="534" t="str">
        <f t="shared" si="1455"/>
        <v/>
      </c>
      <c r="DD557" s="533" t="str">
        <f t="shared" si="1456"/>
        <v/>
      </c>
      <c r="DE557" s="635">
        <f t="shared" si="1539"/>
        <v>0</v>
      </c>
      <c r="DF557" s="95">
        <f t="shared" si="1540"/>
        <v>0</v>
      </c>
      <c r="DG557" s="95">
        <f t="shared" si="1541"/>
        <v>0</v>
      </c>
      <c r="DH557" s="95">
        <f t="shared" si="1542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989" t="str">
        <f t="shared" si="1597"/>
        <v/>
      </c>
      <c r="CF558" s="989" t="str">
        <f t="shared" si="1597"/>
        <v/>
      </c>
      <c r="CG558" s="989" t="str">
        <f t="shared" si="1597"/>
        <v/>
      </c>
      <c r="CH558" s="990" t="str">
        <f t="shared" si="1597"/>
        <v/>
      </c>
      <c r="CI558" s="990" t="str">
        <f t="shared" si="1597"/>
        <v/>
      </c>
      <c r="CJ558" s="989" t="str">
        <f t="shared" si="1597"/>
        <v/>
      </c>
      <c r="CK558" s="989" t="str">
        <f t="shared" si="1597"/>
        <v/>
      </c>
      <c r="CL558" s="989" t="str">
        <f t="shared" si="1597"/>
        <v/>
      </c>
      <c r="CM558" s="988" t="str">
        <f t="shared" si="1597"/>
        <v/>
      </c>
      <c r="CN558" s="533" t="str">
        <f t="shared" si="1440"/>
        <v/>
      </c>
      <c r="CO558" s="534" t="str">
        <f t="shared" si="1441"/>
        <v/>
      </c>
      <c r="CP558" s="535" t="str">
        <f t="shared" si="1442"/>
        <v/>
      </c>
      <c r="CQ558" s="535" t="str">
        <f t="shared" si="1443"/>
        <v/>
      </c>
      <c r="CR558" s="535" t="str">
        <f t="shared" si="1444"/>
        <v/>
      </c>
      <c r="CS558" s="535" t="str">
        <f t="shared" si="1445"/>
        <v/>
      </c>
      <c r="CT558" s="535" t="str">
        <f t="shared" si="1446"/>
        <v/>
      </c>
      <c r="CU558" s="536" t="str">
        <f t="shared" si="1447"/>
        <v/>
      </c>
      <c r="CV558" s="536" t="str">
        <f t="shared" si="1448"/>
        <v/>
      </c>
      <c r="CW558" s="536" t="str">
        <f t="shared" si="1449"/>
        <v/>
      </c>
      <c r="CX558" s="535" t="str">
        <f t="shared" si="1450"/>
        <v/>
      </c>
      <c r="CY558" s="535" t="str">
        <f t="shared" si="1451"/>
        <v/>
      </c>
      <c r="CZ558" s="535" t="str">
        <f t="shared" si="1452"/>
        <v/>
      </c>
      <c r="DA558" s="535" t="str">
        <f t="shared" si="1453"/>
        <v/>
      </c>
      <c r="DB558" s="535" t="str">
        <f t="shared" si="1454"/>
        <v/>
      </c>
      <c r="DC558" s="534" t="str">
        <f t="shared" si="1455"/>
        <v/>
      </c>
      <c r="DD558" s="533" t="str">
        <f t="shared" si="1456"/>
        <v/>
      </c>
      <c r="DE558" s="635">
        <f t="shared" si="1539"/>
        <v>0</v>
      </c>
      <c r="DF558" s="95">
        <f t="shared" si="1540"/>
        <v>0</v>
      </c>
      <c r="DG558" s="95">
        <f t="shared" si="1541"/>
        <v>0</v>
      </c>
      <c r="DH558" s="95">
        <f t="shared" si="1542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614">200*$K$1</f>
        <v>837.36</v>
      </c>
      <c r="D559" s="740">
        <f t="shared" si="1614"/>
        <v>837.36</v>
      </c>
      <c r="E559" s="740">
        <f t="shared" si="1614"/>
        <v>837.36</v>
      </c>
      <c r="F559" s="740">
        <f t="shared" si="1614"/>
        <v>837.36</v>
      </c>
      <c r="G559" s="740">
        <f t="shared" si="1614"/>
        <v>837.36</v>
      </c>
      <c r="H559" s="740">
        <f t="shared" si="1614"/>
        <v>837.36</v>
      </c>
      <c r="I559" s="740">
        <f t="shared" si="1614"/>
        <v>837.36</v>
      </c>
      <c r="J559" s="740">
        <f t="shared" si="1614"/>
        <v>837.36</v>
      </c>
      <c r="K559" s="740">
        <f t="shared" si="1614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615">200*$K$1</f>
        <v>837.36</v>
      </c>
      <c r="V559" s="740">
        <f t="shared" si="1615"/>
        <v>837.36</v>
      </c>
      <c r="W559" s="740">
        <f t="shared" si="1615"/>
        <v>837.36</v>
      </c>
      <c r="X559" s="740">
        <f t="shared" si="1615"/>
        <v>837.36</v>
      </c>
      <c r="Y559" s="740">
        <f t="shared" si="1615"/>
        <v>837.36</v>
      </c>
      <c r="Z559" s="740">
        <f t="shared" si="1615"/>
        <v>837.36</v>
      </c>
      <c r="AA559" s="740">
        <f t="shared" si="1615"/>
        <v>837.36</v>
      </c>
      <c r="AB559" s="740">
        <f t="shared" si="1615"/>
        <v>837.36</v>
      </c>
      <c r="AC559" s="740">
        <f t="shared" si="1615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616">200*$K$1</f>
        <v>837.36</v>
      </c>
      <c r="AN559" s="740">
        <f t="shared" si="1616"/>
        <v>837.36</v>
      </c>
      <c r="AO559" s="740">
        <f t="shared" si="1616"/>
        <v>837.36</v>
      </c>
      <c r="AP559" s="740">
        <f t="shared" si="1616"/>
        <v>837.36</v>
      </c>
      <c r="AQ559" s="740">
        <f t="shared" si="1616"/>
        <v>837.36</v>
      </c>
      <c r="AR559" s="740">
        <f t="shared" si="1616"/>
        <v>837.36</v>
      </c>
      <c r="AS559" s="740">
        <f t="shared" si="1616"/>
        <v>837.36</v>
      </c>
      <c r="AT559" s="740">
        <f t="shared" si="1616"/>
        <v>837.36</v>
      </c>
      <c r="AU559" s="740">
        <f t="shared" si="1616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617">200*$K$1</f>
        <v>837.36</v>
      </c>
      <c r="BF559" s="1236">
        <f t="shared" si="1617"/>
        <v>837.36</v>
      </c>
      <c r="BG559" s="1236">
        <f t="shared" si="1617"/>
        <v>837.36</v>
      </c>
      <c r="BH559" s="1236">
        <f t="shared" si="1617"/>
        <v>837.36</v>
      </c>
      <c r="BI559" s="1236">
        <f t="shared" si="1617"/>
        <v>837.36</v>
      </c>
      <c r="BJ559" s="1236">
        <f t="shared" si="1617"/>
        <v>837.36</v>
      </c>
      <c r="BK559" s="1236">
        <f t="shared" si="1617"/>
        <v>837.36</v>
      </c>
      <c r="BL559" s="1236">
        <f t="shared" si="1617"/>
        <v>837.36</v>
      </c>
      <c r="BM559" s="1236">
        <f t="shared" si="1617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>200*$K$1</f>
        <v>837.36</v>
      </c>
      <c r="BW559" s="740">
        <f>200*$K$1</f>
        <v>837.36</v>
      </c>
      <c r="BX559" s="740">
        <f>200*$K$1</f>
        <v>837.36</v>
      </c>
      <c r="BY559" s="740">
        <f>200*$K$1</f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989">
        <f t="shared" si="1597"/>
        <v>837.36</v>
      </c>
      <c r="CF559" s="989">
        <f t="shared" si="1597"/>
        <v>837.36</v>
      </c>
      <c r="CG559" s="989">
        <f t="shared" si="1597"/>
        <v>837.36</v>
      </c>
      <c r="CH559" s="990">
        <f t="shared" si="1597"/>
        <v>837.36</v>
      </c>
      <c r="CI559" s="990">
        <f t="shared" si="1597"/>
        <v>837.36</v>
      </c>
      <c r="CJ559" s="989">
        <f t="shared" si="1597"/>
        <v>837.36</v>
      </c>
      <c r="CK559" s="989">
        <f t="shared" si="1597"/>
        <v>837.36</v>
      </c>
      <c r="CL559" s="989">
        <f t="shared" si="1597"/>
        <v>837.36</v>
      </c>
      <c r="CM559" s="988">
        <f t="shared" si="1597"/>
        <v>837.36</v>
      </c>
      <c r="CN559" s="533" t="str">
        <f t="shared" ref="CN559:DC562" si="1618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618"/>
        <v/>
      </c>
      <c r="CP559" s="535" t="str">
        <f t="shared" si="1618"/>
        <v/>
      </c>
      <c r="CQ559" s="535" t="str">
        <f t="shared" si="1618"/>
        <v/>
      </c>
      <c r="CR559" s="535">
        <f t="shared" si="1618"/>
        <v>837.36</v>
      </c>
      <c r="CS559" s="535">
        <f t="shared" si="1618"/>
        <v>837.36</v>
      </c>
      <c r="CT559" s="535">
        <f t="shared" si="1618"/>
        <v>837.36</v>
      </c>
      <c r="CU559" s="536">
        <f t="shared" si="1618"/>
        <v>837.36</v>
      </c>
      <c r="CV559" s="536">
        <f t="shared" si="1618"/>
        <v>837.36</v>
      </c>
      <c r="CW559" s="536">
        <f t="shared" si="1618"/>
        <v>837.36</v>
      </c>
      <c r="CX559" s="535">
        <f t="shared" si="1618"/>
        <v>837.36</v>
      </c>
      <c r="CY559" s="535">
        <f t="shared" si="1618"/>
        <v>837.36</v>
      </c>
      <c r="CZ559" s="535">
        <f t="shared" si="1618"/>
        <v>837.36</v>
      </c>
      <c r="DA559" s="535">
        <f t="shared" si="1618"/>
        <v>837.36</v>
      </c>
      <c r="DB559" s="535" t="str">
        <f t="shared" si="1618"/>
        <v/>
      </c>
      <c r="DC559" s="534" t="str">
        <f t="shared" si="1618"/>
        <v/>
      </c>
      <c r="DD559" s="533" t="str">
        <f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539"/>
        <v>10</v>
      </c>
      <c r="DF559" s="95">
        <f t="shared" si="1540"/>
        <v>10</v>
      </c>
      <c r="DG559" s="95">
        <f t="shared" si="1541"/>
        <v>10</v>
      </c>
      <c r="DH559" s="95">
        <f t="shared" si="1542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 t="shared" ref="B560:K560" si="1619">IF(B558="","",B558*B559/B$46/365/$G$1)</f>
        <v/>
      </c>
      <c r="C560" s="742" t="str">
        <f t="shared" si="1619"/>
        <v/>
      </c>
      <c r="D560" s="742" t="str">
        <f t="shared" si="1619"/>
        <v/>
      </c>
      <c r="E560" s="742" t="str">
        <f t="shared" si="1619"/>
        <v/>
      </c>
      <c r="F560" s="742" t="str">
        <f t="shared" si="1619"/>
        <v/>
      </c>
      <c r="G560" s="742" t="str">
        <f t="shared" si="1619"/>
        <v/>
      </c>
      <c r="H560" s="742" t="str">
        <f t="shared" si="1619"/>
        <v/>
      </c>
      <c r="I560" s="742" t="str">
        <f t="shared" si="1619"/>
        <v/>
      </c>
      <c r="J560" s="742" t="str">
        <f t="shared" si="1619"/>
        <v/>
      </c>
      <c r="K560" s="742" t="str">
        <f t="shared" si="1619"/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 t="shared" ref="T560:AC560" si="1620">IF(T558="","",T558*T559/T$46/365/$G$1)</f>
        <v/>
      </c>
      <c r="U560" s="742" t="str">
        <f t="shared" si="1620"/>
        <v/>
      </c>
      <c r="V560" s="742" t="str">
        <f t="shared" si="1620"/>
        <v/>
      </c>
      <c r="W560" s="742" t="str">
        <f t="shared" si="1620"/>
        <v/>
      </c>
      <c r="X560" s="742" t="str">
        <f t="shared" si="1620"/>
        <v/>
      </c>
      <c r="Y560" s="742" t="str">
        <f t="shared" si="1620"/>
        <v/>
      </c>
      <c r="Z560" s="742" t="str">
        <f t="shared" si="1620"/>
        <v/>
      </c>
      <c r="AA560" s="742" t="str">
        <f t="shared" si="1620"/>
        <v/>
      </c>
      <c r="AB560" s="742" t="str">
        <f t="shared" si="1620"/>
        <v/>
      </c>
      <c r="AC560" s="742" t="str">
        <f t="shared" si="1620"/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 t="shared" ref="AL560:AU560" si="1621">IF(AL558="","",AL558*AL559/AL$46/365/$G$1)</f>
        <v/>
      </c>
      <c r="AM560" s="742" t="str">
        <f t="shared" si="1621"/>
        <v/>
      </c>
      <c r="AN560" s="742" t="str">
        <f t="shared" si="1621"/>
        <v/>
      </c>
      <c r="AO560" s="742" t="str">
        <f t="shared" si="1621"/>
        <v/>
      </c>
      <c r="AP560" s="742" t="str">
        <f t="shared" si="1621"/>
        <v/>
      </c>
      <c r="AQ560" s="742" t="str">
        <f t="shared" si="1621"/>
        <v/>
      </c>
      <c r="AR560" s="742" t="str">
        <f t="shared" si="1621"/>
        <v/>
      </c>
      <c r="AS560" s="742" t="str">
        <f t="shared" si="1621"/>
        <v/>
      </c>
      <c r="AT560" s="742" t="str">
        <f t="shared" si="1621"/>
        <v/>
      </c>
      <c r="AU560" s="742" t="str">
        <f t="shared" si="1621"/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622">IF(BE558="","",BE558*BE559/BE$46/365/$G$1)</f>
        <v/>
      </c>
      <c r="BF560" s="1241" t="str">
        <f t="shared" si="1622"/>
        <v/>
      </c>
      <c r="BG560" s="1241" t="str">
        <f t="shared" si="1622"/>
        <v/>
      </c>
      <c r="BH560" s="1241" t="str">
        <f t="shared" si="1622"/>
        <v/>
      </c>
      <c r="BI560" s="1241" t="str">
        <f t="shared" si="1622"/>
        <v/>
      </c>
      <c r="BJ560" s="1241" t="str">
        <f t="shared" si="1622"/>
        <v/>
      </c>
      <c r="BK560" s="1241" t="str">
        <f t="shared" si="1622"/>
        <v/>
      </c>
      <c r="BL560" s="1241" t="str">
        <f t="shared" si="1622"/>
        <v/>
      </c>
      <c r="BM560" s="1241" t="str">
        <f t="shared" si="162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>IF(BV558="","",BV558*BV559/BV$46/365/$G$1)</f>
        <v>7.8209215442092154E-4</v>
      </c>
      <c r="BW560" s="742">
        <f>IF(BW558="","",BW558*BW559/BW$46/365/$G$1)</f>
        <v>7.8209215442092154E-4</v>
      </c>
      <c r="BX560" s="742">
        <f>IF(BX558="","",BX558*BX559/BX$46/365/$G$1)</f>
        <v>7.8209215442092154E-4</v>
      </c>
      <c r="BY560" s="742" t="str">
        <f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62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623"/>
        <v/>
      </c>
      <c r="CG560" s="992" t="str">
        <f t="shared" si="1623"/>
        <v/>
      </c>
      <c r="CH560" s="993" t="str">
        <f t="shared" si="1623"/>
        <v/>
      </c>
      <c r="CI560" s="993" t="str">
        <f t="shared" si="1623"/>
        <v/>
      </c>
      <c r="CJ560" s="992" t="str">
        <f t="shared" si="1623"/>
        <v/>
      </c>
      <c r="CK560" s="992" t="str">
        <f t="shared" si="1623"/>
        <v/>
      </c>
      <c r="CL560" s="992" t="str">
        <f t="shared" si="1623"/>
        <v/>
      </c>
      <c r="CM560" s="991" t="str">
        <f t="shared" si="1623"/>
        <v/>
      </c>
      <c r="CN560" s="521" t="str">
        <f t="shared" si="1618"/>
        <v/>
      </c>
      <c r="CO560" s="522" t="str">
        <f t="shared" si="1618"/>
        <v/>
      </c>
      <c r="CP560" s="523" t="str">
        <f t="shared" si="1618"/>
        <v/>
      </c>
      <c r="CQ560" s="523" t="str">
        <f t="shared" si="1618"/>
        <v/>
      </c>
      <c r="CR560" s="523" t="str">
        <f t="shared" si="1618"/>
        <v/>
      </c>
      <c r="CS560" s="523" t="str">
        <f t="shared" si="1618"/>
        <v/>
      </c>
      <c r="CT560" s="523" t="str">
        <f t="shared" si="1618"/>
        <v/>
      </c>
      <c r="CU560" s="524" t="str">
        <f t="shared" si="1618"/>
        <v/>
      </c>
      <c r="CV560" s="524" t="str">
        <f t="shared" si="1618"/>
        <v/>
      </c>
      <c r="CW560" s="524" t="str">
        <f t="shared" si="1618"/>
        <v/>
      </c>
      <c r="CX560" s="523" t="str">
        <f t="shared" si="1618"/>
        <v/>
      </c>
      <c r="CY560" s="523" t="str">
        <f t="shared" si="1618"/>
        <v/>
      </c>
      <c r="CZ560" s="523" t="str">
        <f t="shared" si="1618"/>
        <v/>
      </c>
      <c r="DA560" s="523" t="str">
        <f t="shared" si="1618"/>
        <v/>
      </c>
      <c r="DB560" s="523" t="str">
        <f t="shared" si="1618"/>
        <v/>
      </c>
      <c r="DC560" s="522" t="str">
        <f t="shared" si="1618"/>
        <v/>
      </c>
      <c r="DD560" s="521" t="str">
        <f>IF($CD$4=$BZ$4,IF(OR(-FLOOR(((17-COUNT($T560:$AJ560))/2),1)+DD$7&lt;1,-FLOOR(((17-COUNT($T560:$AJ560))/2),1)+DD$7&gt;COUNT($T560:$AJ560)),"",LARGE($T560:$AJ560,-FLOOR(((17-COUNT($T560:$AJ560))/2),1)+DD$7)),IF(OR(-FLOOR(((17-COUNT($BD560:$BT560))/2),1)+DD$7&lt;1,-FLOOR(((17-COUNT($BD560:$BT560))/2),1)+DD$7&gt;COUNT($BD560:$BT560)),"",LARGE($BD560:$BT560,-FLOOR(((17-COUNT($BD560:$BT560))/2),1)+DD$7)))</f>
        <v/>
      </c>
      <c r="DE560" s="635">
        <f t="shared" si="1539"/>
        <v>0</v>
      </c>
      <c r="DF560" s="95">
        <f t="shared" si="1540"/>
        <v>0</v>
      </c>
      <c r="DG560" s="95">
        <f t="shared" si="1541"/>
        <v>0</v>
      </c>
      <c r="DH560" s="95">
        <f t="shared" si="1542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989" t="str">
        <f t="shared" si="1597"/>
        <v/>
      </c>
      <c r="CF561" s="989" t="str">
        <f t="shared" si="1597"/>
        <v/>
      </c>
      <c r="CG561" s="989" t="str">
        <f t="shared" si="1597"/>
        <v/>
      </c>
      <c r="CH561" s="990" t="str">
        <f t="shared" si="1597"/>
        <v/>
      </c>
      <c r="CI561" s="990" t="str">
        <f t="shared" si="1597"/>
        <v/>
      </c>
      <c r="CJ561" s="989" t="str">
        <f t="shared" si="1597"/>
        <v/>
      </c>
      <c r="CK561" s="989" t="str">
        <f t="shared" si="1597"/>
        <v/>
      </c>
      <c r="CL561" s="989" t="str">
        <f t="shared" si="1597"/>
        <v/>
      </c>
      <c r="CM561" s="988" t="str">
        <f t="shared" si="1597"/>
        <v/>
      </c>
      <c r="CN561" s="533" t="str">
        <f t="shared" si="1618"/>
        <v/>
      </c>
      <c r="CO561" s="534" t="str">
        <f t="shared" si="1618"/>
        <v/>
      </c>
      <c r="CP561" s="535" t="str">
        <f t="shared" si="1618"/>
        <v/>
      </c>
      <c r="CQ561" s="535" t="str">
        <f t="shared" si="1618"/>
        <v/>
      </c>
      <c r="CR561" s="535" t="str">
        <f t="shared" si="1618"/>
        <v/>
      </c>
      <c r="CS561" s="535" t="str">
        <f t="shared" si="1618"/>
        <v/>
      </c>
      <c r="CT561" s="535" t="str">
        <f t="shared" si="1618"/>
        <v/>
      </c>
      <c r="CU561" s="536" t="str">
        <f t="shared" si="1618"/>
        <v/>
      </c>
      <c r="CV561" s="536" t="str">
        <f t="shared" si="1618"/>
        <v/>
      </c>
      <c r="CW561" s="536" t="str">
        <f t="shared" si="1618"/>
        <v/>
      </c>
      <c r="CX561" s="535" t="str">
        <f t="shared" si="1618"/>
        <v/>
      </c>
      <c r="CY561" s="535" t="str">
        <f t="shared" si="1618"/>
        <v/>
      </c>
      <c r="CZ561" s="535" t="str">
        <f t="shared" si="1618"/>
        <v/>
      </c>
      <c r="DA561" s="535" t="str">
        <f t="shared" si="1618"/>
        <v/>
      </c>
      <c r="DB561" s="535" t="str">
        <f t="shared" si="1618"/>
        <v/>
      </c>
      <c r="DC561" s="534" t="str">
        <f t="shared" si="1618"/>
        <v/>
      </c>
      <c r="DD561" s="533" t="str">
        <f>IF($CD$4=$BZ$4,IF(OR(-FLOOR(((17-COUNT($T561:$AJ561))/2),1)+DD$7&lt;1,-FLOOR(((17-COUNT($T561:$AJ561))/2),1)+DD$7&gt;COUNT($T561:$AJ561)),"",LARGE($T561:$AJ561,-FLOOR(((17-COUNT($T561:$AJ561))/2),1)+DD$7)),IF(OR(-FLOOR(((17-COUNT($BD561:$BT561))/2),1)+DD$7&lt;1,-FLOOR(((17-COUNT($BD561:$BT561))/2),1)+DD$7&gt;COUNT($BD561:$BT561)),"",LARGE($BD561:$BT561,-FLOOR(((17-COUNT($BD561:$BT561))/2),1)+DD$7)))</f>
        <v/>
      </c>
      <c r="DE561" s="635">
        <f t="shared" si="1539"/>
        <v>0</v>
      </c>
      <c r="DF561" s="95">
        <f t="shared" si="1540"/>
        <v>0</v>
      </c>
      <c r="DG561" s="95">
        <f t="shared" si="1541"/>
        <v>0</v>
      </c>
      <c r="DH561" s="95">
        <f t="shared" si="1542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 t="shared" ref="B562:K562" si="1624">IF(B561="","",B558*B561)</f>
        <v/>
      </c>
      <c r="C562" s="739" t="str">
        <f t="shared" si="1624"/>
        <v/>
      </c>
      <c r="D562" s="739" t="str">
        <f t="shared" si="1624"/>
        <v/>
      </c>
      <c r="E562" s="739" t="str">
        <f t="shared" si="1624"/>
        <v/>
      </c>
      <c r="F562" s="739" t="str">
        <f t="shared" si="1624"/>
        <v/>
      </c>
      <c r="G562" s="739" t="str">
        <f t="shared" si="1624"/>
        <v/>
      </c>
      <c r="H562" s="739" t="str">
        <f t="shared" si="1624"/>
        <v/>
      </c>
      <c r="I562" s="739" t="str">
        <f t="shared" si="1624"/>
        <v/>
      </c>
      <c r="J562" s="739" t="str">
        <f t="shared" si="1624"/>
        <v/>
      </c>
      <c r="K562" s="739" t="str">
        <f t="shared" si="1624"/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 t="shared" ref="T562:AC562" si="1625">IF(T561="","",T558*T561)</f>
        <v/>
      </c>
      <c r="U562" s="739" t="str">
        <f t="shared" si="1625"/>
        <v/>
      </c>
      <c r="V562" s="739" t="str">
        <f t="shared" si="1625"/>
        <v/>
      </c>
      <c r="W562" s="739" t="str">
        <f t="shared" si="1625"/>
        <v/>
      </c>
      <c r="X562" s="739" t="str">
        <f t="shared" si="1625"/>
        <v/>
      </c>
      <c r="Y562" s="739" t="str">
        <f t="shared" si="1625"/>
        <v/>
      </c>
      <c r="Z562" s="739" t="str">
        <f t="shared" si="1625"/>
        <v/>
      </c>
      <c r="AA562" s="739" t="str">
        <f t="shared" si="1625"/>
        <v/>
      </c>
      <c r="AB562" s="739" t="str">
        <f t="shared" si="1625"/>
        <v/>
      </c>
      <c r="AC562" s="739" t="str">
        <f t="shared" si="1625"/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 t="shared" ref="AL562:AU562" si="1626">IF(AL561="","",AL558*AL561)</f>
        <v/>
      </c>
      <c r="AM562" s="739" t="str">
        <f t="shared" si="1626"/>
        <v/>
      </c>
      <c r="AN562" s="739" t="str">
        <f t="shared" si="1626"/>
        <v/>
      </c>
      <c r="AO562" s="739" t="str">
        <f t="shared" si="1626"/>
        <v/>
      </c>
      <c r="AP562" s="739" t="str">
        <f t="shared" si="1626"/>
        <v/>
      </c>
      <c r="AQ562" s="739" t="str">
        <f t="shared" si="1626"/>
        <v/>
      </c>
      <c r="AR562" s="739" t="str">
        <f t="shared" si="1626"/>
        <v/>
      </c>
      <c r="AS562" s="739" t="str">
        <f t="shared" si="1626"/>
        <v/>
      </c>
      <c r="AT562" s="739" t="str">
        <f t="shared" si="1626"/>
        <v/>
      </c>
      <c r="AU562" s="739" t="str">
        <f t="shared" si="1626"/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1627">IF(BE561="","",BE558*BE561)</f>
        <v/>
      </c>
      <c r="BF562" s="1237" t="str">
        <f t="shared" si="1627"/>
        <v/>
      </c>
      <c r="BG562" s="1237" t="str">
        <f t="shared" si="1627"/>
        <v/>
      </c>
      <c r="BH562" s="1237" t="str">
        <f t="shared" si="1627"/>
        <v/>
      </c>
      <c r="BI562" s="1237" t="str">
        <f t="shared" si="1627"/>
        <v/>
      </c>
      <c r="BJ562" s="1237" t="str">
        <f t="shared" si="1627"/>
        <v/>
      </c>
      <c r="BK562" s="1237" t="str">
        <f t="shared" si="1627"/>
        <v/>
      </c>
      <c r="BL562" s="1237" t="str">
        <f t="shared" si="1627"/>
        <v/>
      </c>
      <c r="BM562" s="1237" t="str">
        <f t="shared" si="1627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>IF(BV561="","",BV558*BV561)</f>
        <v>162.60000000000002</v>
      </c>
      <c r="BW562" s="739">
        <f>IF(BW561="","",BW558*BW561)</f>
        <v>162.60000000000002</v>
      </c>
      <c r="BX562" s="739">
        <f>IF(BX561="","",BX558*BX561)</f>
        <v>162.60000000000002</v>
      </c>
      <c r="BY562" s="739" t="str">
        <f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989" t="str">
        <f t="shared" si="1597"/>
        <v/>
      </c>
      <c r="CF562" s="989" t="str">
        <f t="shared" si="1597"/>
        <v/>
      </c>
      <c r="CG562" s="989" t="str">
        <f t="shared" si="1597"/>
        <v/>
      </c>
      <c r="CH562" s="990" t="str">
        <f t="shared" si="1597"/>
        <v/>
      </c>
      <c r="CI562" s="990" t="str">
        <f t="shared" si="1597"/>
        <v/>
      </c>
      <c r="CJ562" s="989" t="str">
        <f t="shared" si="1597"/>
        <v/>
      </c>
      <c r="CK562" s="989" t="str">
        <f t="shared" si="1597"/>
        <v/>
      </c>
      <c r="CL562" s="989" t="str">
        <f t="shared" si="1597"/>
        <v/>
      </c>
      <c r="CM562" s="988" t="str">
        <f t="shared" si="1597"/>
        <v/>
      </c>
      <c r="CN562" s="533" t="str">
        <f t="shared" si="1618"/>
        <v/>
      </c>
      <c r="CO562" s="534" t="str">
        <f t="shared" si="1618"/>
        <v/>
      </c>
      <c r="CP562" s="535" t="str">
        <f t="shared" si="1618"/>
        <v/>
      </c>
      <c r="CQ562" s="535" t="str">
        <f t="shared" si="1618"/>
        <v/>
      </c>
      <c r="CR562" s="535" t="str">
        <f t="shared" si="1618"/>
        <v/>
      </c>
      <c r="CS562" s="535" t="str">
        <f t="shared" si="1618"/>
        <v/>
      </c>
      <c r="CT562" s="535" t="str">
        <f t="shared" si="1618"/>
        <v/>
      </c>
      <c r="CU562" s="536" t="str">
        <f t="shared" si="1618"/>
        <v/>
      </c>
      <c r="CV562" s="536" t="str">
        <f t="shared" si="1618"/>
        <v/>
      </c>
      <c r="CW562" s="536" t="str">
        <f t="shared" si="1618"/>
        <v/>
      </c>
      <c r="CX562" s="535" t="str">
        <f t="shared" si="1618"/>
        <v/>
      </c>
      <c r="CY562" s="535" t="str">
        <f t="shared" si="1618"/>
        <v/>
      </c>
      <c r="CZ562" s="535" t="str">
        <f t="shared" si="1618"/>
        <v/>
      </c>
      <c r="DA562" s="535" t="str">
        <f t="shared" si="1618"/>
        <v/>
      </c>
      <c r="DB562" s="535" t="str">
        <f t="shared" si="1618"/>
        <v/>
      </c>
      <c r="DC562" s="534" t="str">
        <f t="shared" si="1618"/>
        <v/>
      </c>
      <c r="DD562" s="533" t="str">
        <f>IF($CD$4=$BZ$4,IF(OR(-FLOOR(((17-COUNT($T562:$AJ562))/2),1)+DD$7&lt;1,-FLOOR(((17-COUNT($T562:$AJ562))/2),1)+DD$7&gt;COUNT($T562:$AJ562)),"",LARGE($T562:$AJ562,-FLOOR(((17-COUNT($T562:$AJ562))/2),1)+DD$7)),IF(OR(-FLOOR(((17-COUNT($BD562:$BT562))/2),1)+DD$7&lt;1,-FLOOR(((17-COUNT($BD562:$BT562))/2),1)+DD$7&gt;COUNT($BD562:$BT562)),"",LARGE($BD562:$BT562,-FLOOR(((17-COUNT($BD562:$BT562))/2),1)+DD$7)))</f>
        <v/>
      </c>
      <c r="DE562" s="635">
        <f t="shared" si="1539"/>
        <v>0</v>
      </c>
      <c r="DF562" s="95">
        <f t="shared" si="1540"/>
        <v>0</v>
      </c>
      <c r="DG562" s="95">
        <f t="shared" si="1541"/>
        <v>0</v>
      </c>
      <c r="DH562" s="95">
        <f t="shared" si="1542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162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28"/>
        <v/>
      </c>
      <c r="CF564" s="81" t="str">
        <f t="shared" si="1628"/>
        <v/>
      </c>
      <c r="CG564" s="81" t="str">
        <f t="shared" si="1628"/>
        <v/>
      </c>
      <c r="CH564" s="145" t="str">
        <f t="shared" si="1628"/>
        <v/>
      </c>
      <c r="CI564" s="145" t="str">
        <f t="shared" si="1628"/>
        <v/>
      </c>
      <c r="CJ564" s="81" t="str">
        <f t="shared" si="1628"/>
        <v/>
      </c>
      <c r="CK564" s="81" t="str">
        <f t="shared" si="1628"/>
        <v/>
      </c>
      <c r="CL564" s="81" t="str">
        <f t="shared" si="1628"/>
        <v/>
      </c>
      <c r="CM564" s="508" t="str">
        <f t="shared" si="1628"/>
        <v/>
      </c>
      <c r="CN564" s="533" t="str">
        <f t="shared" ref="CN564:DC572" si="162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1629"/>
        <v/>
      </c>
      <c r="CP564" s="535" t="str">
        <f t="shared" si="1629"/>
        <v/>
      </c>
      <c r="CQ564" s="535" t="str">
        <f t="shared" si="1629"/>
        <v/>
      </c>
      <c r="CR564" s="535" t="str">
        <f t="shared" si="1629"/>
        <v/>
      </c>
      <c r="CS564" s="535" t="str">
        <f t="shared" si="1629"/>
        <v/>
      </c>
      <c r="CT564" s="535" t="str">
        <f t="shared" si="1629"/>
        <v/>
      </c>
      <c r="CU564" s="536" t="str">
        <f t="shared" si="1629"/>
        <v/>
      </c>
      <c r="CV564" s="536" t="str">
        <f t="shared" si="1629"/>
        <v/>
      </c>
      <c r="CW564" s="536" t="str">
        <f t="shared" si="1629"/>
        <v/>
      </c>
      <c r="CX564" s="535" t="str">
        <f t="shared" si="1629"/>
        <v/>
      </c>
      <c r="CY564" s="535" t="str">
        <f t="shared" si="1629"/>
        <v/>
      </c>
      <c r="CZ564" s="535" t="str">
        <f t="shared" si="1629"/>
        <v/>
      </c>
      <c r="DA564" s="535" t="str">
        <f t="shared" si="1629"/>
        <v/>
      </c>
      <c r="DB564" s="535" t="str">
        <f t="shared" si="1629"/>
        <v/>
      </c>
      <c r="DC564" s="534" t="str">
        <f t="shared" si="1629"/>
        <v/>
      </c>
      <c r="DD564" s="533" t="str">
        <f t="shared" ref="DD564:DD572" si="163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1631">COUNT(B564:R564)</f>
        <v>0</v>
      </c>
      <c r="DF564" s="822">
        <f t="shared" ref="DF564:DF580" si="1632">COUNT(T564:AJ564)</f>
        <v>0</v>
      </c>
      <c r="DG564" s="822">
        <f t="shared" ref="DG564:DG580" si="1633">COUNT(AL564:BB564)</f>
        <v>0</v>
      </c>
      <c r="DH564" s="822">
        <f t="shared" ref="DH564:DH580" si="1634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1635">480*$K$1</f>
        <v>2009.664</v>
      </c>
      <c r="D565" s="740">
        <f t="shared" si="1635"/>
        <v>2009.664</v>
      </c>
      <c r="E565" s="740">
        <f t="shared" si="1635"/>
        <v>2009.664</v>
      </c>
      <c r="F565" s="740">
        <f t="shared" si="1635"/>
        <v>2009.664</v>
      </c>
      <c r="G565" s="740">
        <f t="shared" si="1635"/>
        <v>2009.664</v>
      </c>
      <c r="H565" s="740">
        <f t="shared" si="1635"/>
        <v>2009.664</v>
      </c>
      <c r="I565" s="740">
        <f t="shared" si="1635"/>
        <v>2009.664</v>
      </c>
      <c r="J565" s="740">
        <f t="shared" si="1635"/>
        <v>2009.664</v>
      </c>
      <c r="K565" s="740">
        <f t="shared" si="1635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1636">480*$K$1</f>
        <v>2009.664</v>
      </c>
      <c r="V565" s="740">
        <f t="shared" si="1636"/>
        <v>2009.664</v>
      </c>
      <c r="W565" s="740">
        <f t="shared" si="1636"/>
        <v>2009.664</v>
      </c>
      <c r="X565" s="740">
        <f t="shared" si="1636"/>
        <v>2009.664</v>
      </c>
      <c r="Y565" s="740">
        <f t="shared" si="1636"/>
        <v>2009.664</v>
      </c>
      <c r="Z565" s="740">
        <f t="shared" si="1636"/>
        <v>2009.664</v>
      </c>
      <c r="AA565" s="740">
        <f t="shared" si="1636"/>
        <v>2009.664</v>
      </c>
      <c r="AB565" s="740">
        <f t="shared" si="1636"/>
        <v>2009.664</v>
      </c>
      <c r="AC565" s="740">
        <f t="shared" si="1636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1637">480*$K$1</f>
        <v>2009.664</v>
      </c>
      <c r="AN565" s="740">
        <f t="shared" si="1637"/>
        <v>2009.664</v>
      </c>
      <c r="AO565" s="740">
        <f t="shared" si="1637"/>
        <v>2009.664</v>
      </c>
      <c r="AP565" s="740">
        <f t="shared" si="1637"/>
        <v>2009.664</v>
      </c>
      <c r="AQ565" s="740">
        <f t="shared" si="1637"/>
        <v>2009.664</v>
      </c>
      <c r="AR565" s="740">
        <f t="shared" si="1637"/>
        <v>2009.664</v>
      </c>
      <c r="AS565" s="740">
        <f t="shared" si="1637"/>
        <v>2009.664</v>
      </c>
      <c r="AT565" s="740">
        <f t="shared" si="1637"/>
        <v>2009.664</v>
      </c>
      <c r="AU565" s="740">
        <f t="shared" si="1637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1638">480*$K$1</f>
        <v>2009.664</v>
      </c>
      <c r="BF565" s="1236">
        <f t="shared" si="1638"/>
        <v>2009.664</v>
      </c>
      <c r="BG565" s="1236">
        <f t="shared" si="1638"/>
        <v>2009.664</v>
      </c>
      <c r="BH565" s="1236">
        <f t="shared" si="1638"/>
        <v>2009.664</v>
      </c>
      <c r="BI565" s="1236">
        <f t="shared" si="1638"/>
        <v>2009.664</v>
      </c>
      <c r="BJ565" s="1236">
        <f t="shared" si="1638"/>
        <v>2009.664</v>
      </c>
      <c r="BK565" s="1236">
        <f t="shared" si="1638"/>
        <v>2009.664</v>
      </c>
      <c r="BL565" s="1236">
        <f t="shared" si="1638"/>
        <v>2009.664</v>
      </c>
      <c r="BM565" s="1236">
        <f t="shared" si="1638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>480*$K$1</f>
        <v>2009.664</v>
      </c>
      <c r="BW565" s="740">
        <f>480*$K$1</f>
        <v>2009.664</v>
      </c>
      <c r="BX565" s="740">
        <f>480*$K$1</f>
        <v>2009.664</v>
      </c>
      <c r="BY565" s="740">
        <f>480*$K$1</f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1628"/>
        <v>2009.664</v>
      </c>
      <c r="CE565" s="81">
        <f t="shared" si="1628"/>
        <v>2009.664</v>
      </c>
      <c r="CF565" s="81">
        <f t="shared" si="1628"/>
        <v>2009.664</v>
      </c>
      <c r="CG565" s="81">
        <f t="shared" si="1628"/>
        <v>2009.664</v>
      </c>
      <c r="CH565" s="145">
        <f t="shared" si="1628"/>
        <v>2009.664</v>
      </c>
      <c r="CI565" s="145">
        <f t="shared" si="1628"/>
        <v>2009.664</v>
      </c>
      <c r="CJ565" s="81">
        <f t="shared" si="1628"/>
        <v>2009.664</v>
      </c>
      <c r="CK565" s="81">
        <f t="shared" si="1628"/>
        <v>2009.664</v>
      </c>
      <c r="CL565" s="81">
        <f t="shared" si="1628"/>
        <v>2009.664</v>
      </c>
      <c r="CM565" s="508">
        <f t="shared" si="1628"/>
        <v>2009.664</v>
      </c>
      <c r="CN565" s="533" t="str">
        <f t="shared" si="1629"/>
        <v/>
      </c>
      <c r="CO565" s="534" t="str">
        <f t="shared" si="1629"/>
        <v/>
      </c>
      <c r="CP565" s="535" t="str">
        <f t="shared" si="1629"/>
        <v/>
      </c>
      <c r="CQ565" s="535" t="str">
        <f t="shared" si="1629"/>
        <v/>
      </c>
      <c r="CR565" s="535">
        <f t="shared" si="1629"/>
        <v>2009.664</v>
      </c>
      <c r="CS565" s="535">
        <f t="shared" si="1629"/>
        <v>2009.664</v>
      </c>
      <c r="CT565" s="535">
        <f t="shared" si="1629"/>
        <v>2009.664</v>
      </c>
      <c r="CU565" s="536">
        <f t="shared" si="1629"/>
        <v>2009.664</v>
      </c>
      <c r="CV565" s="536">
        <f t="shared" si="1629"/>
        <v>2009.664</v>
      </c>
      <c r="CW565" s="536">
        <f t="shared" si="1629"/>
        <v>2009.664</v>
      </c>
      <c r="CX565" s="535">
        <f t="shared" si="1629"/>
        <v>2009.664</v>
      </c>
      <c r="CY565" s="535">
        <f t="shared" si="1629"/>
        <v>2009.664</v>
      </c>
      <c r="CZ565" s="535">
        <f t="shared" si="1629"/>
        <v>2009.664</v>
      </c>
      <c r="DA565" s="535">
        <f t="shared" si="1629"/>
        <v>2009.664</v>
      </c>
      <c r="DB565" s="535" t="str">
        <f t="shared" si="1629"/>
        <v/>
      </c>
      <c r="DC565" s="534" t="str">
        <f t="shared" si="1629"/>
        <v/>
      </c>
      <c r="DD565" s="533" t="str">
        <f t="shared" si="1630"/>
        <v/>
      </c>
      <c r="DE565" s="866">
        <f t="shared" si="1631"/>
        <v>10</v>
      </c>
      <c r="DF565" s="822">
        <f t="shared" si="1632"/>
        <v>10</v>
      </c>
      <c r="DG565" s="822">
        <f t="shared" si="1633"/>
        <v>10</v>
      </c>
      <c r="DH565" s="822">
        <f t="shared" si="1634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 t="shared" ref="B566:K566" si="1639">IF(B564="","",B564*B565/B$46/365/$G$1)</f>
        <v/>
      </c>
      <c r="C566" s="742" t="str">
        <f t="shared" si="1639"/>
        <v/>
      </c>
      <c r="D566" s="742" t="str">
        <f t="shared" si="1639"/>
        <v/>
      </c>
      <c r="E566" s="742" t="str">
        <f t="shared" si="1639"/>
        <v/>
      </c>
      <c r="F566" s="742" t="str">
        <f t="shared" si="1639"/>
        <v/>
      </c>
      <c r="G566" s="742" t="str">
        <f t="shared" si="1639"/>
        <v/>
      </c>
      <c r="H566" s="742" t="str">
        <f t="shared" si="1639"/>
        <v/>
      </c>
      <c r="I566" s="742" t="str">
        <f t="shared" si="1639"/>
        <v/>
      </c>
      <c r="J566" s="742" t="str">
        <f t="shared" si="1639"/>
        <v/>
      </c>
      <c r="K566" s="742" t="str">
        <f t="shared" si="1639"/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 t="shared" ref="T566:AC566" si="1640">IF(T564="","",T564*T565/T$46/365/$G$1)</f>
        <v/>
      </c>
      <c r="U566" s="742" t="str">
        <f t="shared" si="1640"/>
        <v/>
      </c>
      <c r="V566" s="742" t="str">
        <f t="shared" si="1640"/>
        <v/>
      </c>
      <c r="W566" s="742" t="str">
        <f t="shared" si="1640"/>
        <v/>
      </c>
      <c r="X566" s="742" t="str">
        <f t="shared" si="1640"/>
        <v/>
      </c>
      <c r="Y566" s="742" t="str">
        <f t="shared" si="1640"/>
        <v/>
      </c>
      <c r="Z566" s="742" t="str">
        <f t="shared" si="1640"/>
        <v/>
      </c>
      <c r="AA566" s="742" t="str">
        <f t="shared" si="1640"/>
        <v/>
      </c>
      <c r="AB566" s="742" t="str">
        <f t="shared" si="1640"/>
        <v/>
      </c>
      <c r="AC566" s="742" t="str">
        <f t="shared" si="1640"/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 t="shared" ref="AL566:AU566" si="1641">IF(AL564="","",AL564*AL565/AL$46/365/$G$1)</f>
        <v/>
      </c>
      <c r="AM566" s="742" t="str">
        <f t="shared" si="1641"/>
        <v/>
      </c>
      <c r="AN566" s="742" t="str">
        <f t="shared" si="1641"/>
        <v/>
      </c>
      <c r="AO566" s="742" t="str">
        <f t="shared" si="1641"/>
        <v/>
      </c>
      <c r="AP566" s="742" t="str">
        <f t="shared" si="1641"/>
        <v/>
      </c>
      <c r="AQ566" s="742" t="str">
        <f t="shared" si="1641"/>
        <v/>
      </c>
      <c r="AR566" s="742" t="str">
        <f t="shared" si="1641"/>
        <v/>
      </c>
      <c r="AS566" s="742" t="str">
        <f t="shared" si="1641"/>
        <v/>
      </c>
      <c r="AT566" s="742" t="str">
        <f t="shared" si="1641"/>
        <v/>
      </c>
      <c r="AU566" s="742" t="str">
        <f t="shared" si="1641"/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1642">IF(BE564="","",BE564*BE565/BE$46/365/$G$1)</f>
        <v/>
      </c>
      <c r="BF566" s="1241" t="str">
        <f t="shared" si="1642"/>
        <v/>
      </c>
      <c r="BG566" s="1241" t="str">
        <f t="shared" si="1642"/>
        <v/>
      </c>
      <c r="BH566" s="1241" t="str">
        <f t="shared" si="1642"/>
        <v/>
      </c>
      <c r="BI566" s="1241" t="str">
        <f t="shared" si="1642"/>
        <v/>
      </c>
      <c r="BJ566" s="1241" t="str">
        <f t="shared" si="1642"/>
        <v/>
      </c>
      <c r="BK566" s="1241" t="str">
        <f t="shared" si="1642"/>
        <v/>
      </c>
      <c r="BL566" s="1241" t="str">
        <f t="shared" si="1642"/>
        <v/>
      </c>
      <c r="BM566" s="1241" t="str">
        <f t="shared" si="164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>IF(BV564="","",BV564*BV565/BV$46/365/$G$1)</f>
        <v>1.8770211706102117E-3</v>
      </c>
      <c r="BW566" s="742">
        <f>IF(BW564="","",BW564*BW565/BW$46/365/$G$1)</f>
        <v>1.8770211706102117E-3</v>
      </c>
      <c r="BX566" s="742">
        <f>IF(BX564="","",BX564*BX565/BX$46/365/$G$1)</f>
        <v>1.8770211706102117E-3</v>
      </c>
      <c r="BY566" s="742" t="str">
        <f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1628"/>
        <v/>
      </c>
      <c r="CF566" s="992" t="str">
        <f t="shared" si="1628"/>
        <v/>
      </c>
      <c r="CG566" s="992" t="str">
        <f t="shared" si="1628"/>
        <v/>
      </c>
      <c r="CH566" s="993" t="str">
        <f t="shared" si="1628"/>
        <v/>
      </c>
      <c r="CI566" s="993" t="str">
        <f t="shared" si="1628"/>
        <v/>
      </c>
      <c r="CJ566" s="992" t="str">
        <f t="shared" si="1628"/>
        <v/>
      </c>
      <c r="CK566" s="992" t="str">
        <f t="shared" si="1628"/>
        <v/>
      </c>
      <c r="CL566" s="992" t="str">
        <f t="shared" si="1628"/>
        <v/>
      </c>
      <c r="CM566" s="991" t="str">
        <f t="shared" si="1628"/>
        <v/>
      </c>
      <c r="CN566" s="521" t="str">
        <f t="shared" si="1629"/>
        <v/>
      </c>
      <c r="CO566" s="522" t="str">
        <f t="shared" si="1629"/>
        <v/>
      </c>
      <c r="CP566" s="523" t="str">
        <f t="shared" si="1629"/>
        <v/>
      </c>
      <c r="CQ566" s="523" t="str">
        <f t="shared" si="1629"/>
        <v/>
      </c>
      <c r="CR566" s="523" t="str">
        <f t="shared" si="1629"/>
        <v/>
      </c>
      <c r="CS566" s="523" t="str">
        <f t="shared" si="1629"/>
        <v/>
      </c>
      <c r="CT566" s="523" t="str">
        <f t="shared" si="1629"/>
        <v/>
      </c>
      <c r="CU566" s="524" t="str">
        <f t="shared" si="1629"/>
        <v/>
      </c>
      <c r="CV566" s="524" t="str">
        <f t="shared" si="1629"/>
        <v/>
      </c>
      <c r="CW566" s="524" t="str">
        <f t="shared" si="1629"/>
        <v/>
      </c>
      <c r="CX566" s="523" t="str">
        <f t="shared" si="1629"/>
        <v/>
      </c>
      <c r="CY566" s="523" t="str">
        <f t="shared" si="1629"/>
        <v/>
      </c>
      <c r="CZ566" s="523" t="str">
        <f t="shared" si="1629"/>
        <v/>
      </c>
      <c r="DA566" s="523" t="str">
        <f t="shared" si="1629"/>
        <v/>
      </c>
      <c r="DB566" s="523" t="str">
        <f t="shared" si="1629"/>
        <v/>
      </c>
      <c r="DC566" s="522" t="str">
        <f t="shared" si="1629"/>
        <v/>
      </c>
      <c r="DD566" s="521" t="str">
        <f t="shared" si="1630"/>
        <v/>
      </c>
      <c r="DE566" s="635">
        <f t="shared" si="1631"/>
        <v>0</v>
      </c>
      <c r="DF566" s="95">
        <f t="shared" si="1632"/>
        <v>0</v>
      </c>
      <c r="DG566" s="95">
        <f t="shared" si="1633"/>
        <v>0</v>
      </c>
      <c r="DH566" s="95">
        <f t="shared" si="1634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1628"/>
        <v/>
      </c>
      <c r="CE567" s="81" t="str">
        <f t="shared" si="1628"/>
        <v/>
      </c>
      <c r="CF567" s="81" t="str">
        <f t="shared" si="1628"/>
        <v/>
      </c>
      <c r="CG567" s="81" t="str">
        <f t="shared" si="1628"/>
        <v/>
      </c>
      <c r="CH567" s="145" t="str">
        <f t="shared" si="1628"/>
        <v/>
      </c>
      <c r="CI567" s="145" t="str">
        <f t="shared" si="1628"/>
        <v/>
      </c>
      <c r="CJ567" s="81" t="str">
        <f t="shared" si="1628"/>
        <v/>
      </c>
      <c r="CK567" s="81" t="str">
        <f t="shared" si="1628"/>
        <v/>
      </c>
      <c r="CL567" s="81" t="str">
        <f t="shared" si="1628"/>
        <v/>
      </c>
      <c r="CM567" s="508" t="str">
        <f t="shared" si="1628"/>
        <v/>
      </c>
      <c r="CN567" s="533" t="str">
        <f t="shared" si="1629"/>
        <v/>
      </c>
      <c r="CO567" s="534" t="str">
        <f t="shared" si="1629"/>
        <v/>
      </c>
      <c r="CP567" s="535" t="str">
        <f t="shared" si="1629"/>
        <v/>
      </c>
      <c r="CQ567" s="535" t="str">
        <f t="shared" si="1629"/>
        <v/>
      </c>
      <c r="CR567" s="535" t="str">
        <f t="shared" si="1629"/>
        <v/>
      </c>
      <c r="CS567" s="535" t="str">
        <f t="shared" si="1629"/>
        <v/>
      </c>
      <c r="CT567" s="535" t="str">
        <f t="shared" si="1629"/>
        <v/>
      </c>
      <c r="CU567" s="536" t="str">
        <f t="shared" si="1629"/>
        <v/>
      </c>
      <c r="CV567" s="536" t="str">
        <f t="shared" si="1629"/>
        <v/>
      </c>
      <c r="CW567" s="536" t="str">
        <f t="shared" si="1629"/>
        <v/>
      </c>
      <c r="CX567" s="535" t="str">
        <f t="shared" si="1629"/>
        <v/>
      </c>
      <c r="CY567" s="535" t="str">
        <f t="shared" si="1629"/>
        <v/>
      </c>
      <c r="CZ567" s="535" t="str">
        <f t="shared" si="1629"/>
        <v/>
      </c>
      <c r="DA567" s="535" t="str">
        <f t="shared" si="1629"/>
        <v/>
      </c>
      <c r="DB567" s="535" t="str">
        <f t="shared" si="1629"/>
        <v/>
      </c>
      <c r="DC567" s="534" t="str">
        <f t="shared" si="1629"/>
        <v/>
      </c>
      <c r="DD567" s="533" t="str">
        <f t="shared" si="1630"/>
        <v/>
      </c>
      <c r="DE567" s="866">
        <f t="shared" si="1631"/>
        <v>0</v>
      </c>
      <c r="DF567" s="822">
        <f t="shared" si="1632"/>
        <v>0</v>
      </c>
      <c r="DG567" s="822">
        <f t="shared" si="1633"/>
        <v>0</v>
      </c>
      <c r="DH567" s="822">
        <f t="shared" si="1634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 t="shared" ref="B568:K568" si="1643">IF(B567="","",B564*B567)</f>
        <v/>
      </c>
      <c r="C568" s="739" t="str">
        <f t="shared" si="1643"/>
        <v/>
      </c>
      <c r="D568" s="739" t="str">
        <f t="shared" si="1643"/>
        <v/>
      </c>
      <c r="E568" s="739" t="str">
        <f t="shared" si="1643"/>
        <v/>
      </c>
      <c r="F568" s="739" t="str">
        <f t="shared" si="1643"/>
        <v/>
      </c>
      <c r="G568" s="739" t="str">
        <f t="shared" si="1643"/>
        <v/>
      </c>
      <c r="H568" s="739" t="str">
        <f t="shared" si="1643"/>
        <v/>
      </c>
      <c r="I568" s="739" t="str">
        <f t="shared" si="1643"/>
        <v/>
      </c>
      <c r="J568" s="739" t="str">
        <f t="shared" si="1643"/>
        <v/>
      </c>
      <c r="K568" s="739" t="str">
        <f t="shared" si="1643"/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 t="shared" ref="T568:AC568" si="1644">IF(T567="","",T564*T567)</f>
        <v/>
      </c>
      <c r="U568" s="739" t="str">
        <f t="shared" si="1644"/>
        <v/>
      </c>
      <c r="V568" s="739" t="str">
        <f t="shared" si="1644"/>
        <v/>
      </c>
      <c r="W568" s="739" t="str">
        <f t="shared" si="1644"/>
        <v/>
      </c>
      <c r="X568" s="739" t="str">
        <f t="shared" si="1644"/>
        <v/>
      </c>
      <c r="Y568" s="739" t="str">
        <f t="shared" si="1644"/>
        <v/>
      </c>
      <c r="Z568" s="739" t="str">
        <f t="shared" si="1644"/>
        <v/>
      </c>
      <c r="AA568" s="739" t="str">
        <f t="shared" si="1644"/>
        <v/>
      </c>
      <c r="AB568" s="739" t="str">
        <f t="shared" si="1644"/>
        <v/>
      </c>
      <c r="AC568" s="739" t="str">
        <f t="shared" si="1644"/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 t="shared" ref="AL568:AU568" si="1645">IF(AL567="","",AL564*AL567)</f>
        <v/>
      </c>
      <c r="AM568" s="739" t="str">
        <f t="shared" si="1645"/>
        <v/>
      </c>
      <c r="AN568" s="739" t="str">
        <f t="shared" si="1645"/>
        <v/>
      </c>
      <c r="AO568" s="739" t="str">
        <f t="shared" si="1645"/>
        <v/>
      </c>
      <c r="AP568" s="739" t="str">
        <f t="shared" si="1645"/>
        <v/>
      </c>
      <c r="AQ568" s="739" t="str">
        <f t="shared" si="1645"/>
        <v/>
      </c>
      <c r="AR568" s="739" t="str">
        <f t="shared" si="1645"/>
        <v/>
      </c>
      <c r="AS568" s="739" t="str">
        <f t="shared" si="1645"/>
        <v/>
      </c>
      <c r="AT568" s="739" t="str">
        <f t="shared" si="1645"/>
        <v/>
      </c>
      <c r="AU568" s="739" t="str">
        <f t="shared" si="1645"/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1646">IF(BE567="","",BE564*BE567)</f>
        <v/>
      </c>
      <c r="BF568" s="1237" t="str">
        <f t="shared" si="1646"/>
        <v/>
      </c>
      <c r="BG568" s="1237" t="str">
        <f t="shared" si="1646"/>
        <v/>
      </c>
      <c r="BH568" s="1237" t="str">
        <f t="shared" si="1646"/>
        <v/>
      </c>
      <c r="BI568" s="1237" t="str">
        <f t="shared" si="1646"/>
        <v/>
      </c>
      <c r="BJ568" s="1237" t="str">
        <f t="shared" si="1646"/>
        <v/>
      </c>
      <c r="BK568" s="1237" t="str">
        <f t="shared" si="1646"/>
        <v/>
      </c>
      <c r="BL568" s="1237" t="str">
        <f t="shared" si="1646"/>
        <v/>
      </c>
      <c r="BM568" s="1237" t="str">
        <f t="shared" si="1646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>IF(BV567="","",BV564*BV567)</f>
        <v>360</v>
      </c>
      <c r="BW568" s="739">
        <f>IF(BW567="","",BW564*BW567)</f>
        <v>360</v>
      </c>
      <c r="BX568" s="739">
        <f>IF(BX567="","",BX564*BX567)</f>
        <v>360</v>
      </c>
      <c r="BY568" s="739" t="str">
        <f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1628"/>
        <v/>
      </c>
      <c r="CE568" s="81" t="str">
        <f t="shared" si="1628"/>
        <v/>
      </c>
      <c r="CF568" s="81" t="str">
        <f t="shared" si="1628"/>
        <v/>
      </c>
      <c r="CG568" s="81" t="str">
        <f t="shared" si="1628"/>
        <v/>
      </c>
      <c r="CH568" s="145" t="str">
        <f t="shared" si="1628"/>
        <v/>
      </c>
      <c r="CI568" s="145" t="str">
        <f t="shared" si="1628"/>
        <v/>
      </c>
      <c r="CJ568" s="81" t="str">
        <f t="shared" si="1628"/>
        <v/>
      </c>
      <c r="CK568" s="81" t="str">
        <f t="shared" si="1628"/>
        <v/>
      </c>
      <c r="CL568" s="81" t="str">
        <f t="shared" si="1628"/>
        <v/>
      </c>
      <c r="CM568" s="508" t="str">
        <f t="shared" si="1628"/>
        <v/>
      </c>
      <c r="CN568" s="533" t="str">
        <f t="shared" si="1629"/>
        <v/>
      </c>
      <c r="CO568" s="534" t="str">
        <f t="shared" si="1629"/>
        <v/>
      </c>
      <c r="CP568" s="535" t="str">
        <f t="shared" si="1629"/>
        <v/>
      </c>
      <c r="CQ568" s="535" t="str">
        <f t="shared" si="1629"/>
        <v/>
      </c>
      <c r="CR568" s="535" t="str">
        <f t="shared" si="1629"/>
        <v/>
      </c>
      <c r="CS568" s="535" t="str">
        <f t="shared" si="1629"/>
        <v/>
      </c>
      <c r="CT568" s="535" t="str">
        <f t="shared" si="1629"/>
        <v/>
      </c>
      <c r="CU568" s="536" t="str">
        <f t="shared" si="1629"/>
        <v/>
      </c>
      <c r="CV568" s="536" t="str">
        <f t="shared" si="1629"/>
        <v/>
      </c>
      <c r="CW568" s="536" t="str">
        <f t="shared" si="1629"/>
        <v/>
      </c>
      <c r="CX568" s="535" t="str">
        <f t="shared" si="1629"/>
        <v/>
      </c>
      <c r="CY568" s="535" t="str">
        <f t="shared" si="1629"/>
        <v/>
      </c>
      <c r="CZ568" s="535" t="str">
        <f t="shared" si="1629"/>
        <v/>
      </c>
      <c r="DA568" s="535" t="str">
        <f t="shared" si="1629"/>
        <v/>
      </c>
      <c r="DB568" s="535" t="str">
        <f t="shared" si="1629"/>
        <v/>
      </c>
      <c r="DC568" s="534" t="str">
        <f t="shared" si="1629"/>
        <v/>
      </c>
      <c r="DD568" s="533" t="str">
        <f t="shared" si="1630"/>
        <v/>
      </c>
      <c r="DE568" s="866">
        <f t="shared" si="1631"/>
        <v>0</v>
      </c>
      <c r="DF568" s="822">
        <f t="shared" si="1632"/>
        <v>0</v>
      </c>
      <c r="DG568" s="822">
        <f t="shared" si="1633"/>
        <v>0</v>
      </c>
      <c r="DH568" s="822">
        <f t="shared" si="1634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1629"/>
        <v/>
      </c>
      <c r="CO569" s="522" t="str">
        <f t="shared" si="1629"/>
        <v/>
      </c>
      <c r="CP569" s="523" t="str">
        <f t="shared" si="1629"/>
        <v/>
      </c>
      <c r="CQ569" s="523" t="str">
        <f t="shared" si="1629"/>
        <v/>
      </c>
      <c r="CR569" s="523" t="str">
        <f t="shared" si="1629"/>
        <v/>
      </c>
      <c r="CS569" s="523" t="str">
        <f t="shared" si="1629"/>
        <v/>
      </c>
      <c r="CT569" s="523" t="str">
        <f t="shared" si="1629"/>
        <v/>
      </c>
      <c r="CU569" s="524" t="str">
        <f t="shared" si="1629"/>
        <v/>
      </c>
      <c r="CV569" s="524" t="str">
        <f t="shared" si="1629"/>
        <v/>
      </c>
      <c r="CW569" s="524" t="str">
        <f t="shared" si="1629"/>
        <v/>
      </c>
      <c r="CX569" s="523" t="str">
        <f t="shared" si="1629"/>
        <v/>
      </c>
      <c r="CY569" s="523" t="str">
        <f t="shared" si="1629"/>
        <v/>
      </c>
      <c r="CZ569" s="523" t="str">
        <f t="shared" si="1629"/>
        <v/>
      </c>
      <c r="DA569" s="523" t="str">
        <f t="shared" si="1629"/>
        <v/>
      </c>
      <c r="DB569" s="523" t="str">
        <f t="shared" si="1629"/>
        <v/>
      </c>
      <c r="DC569" s="522" t="str">
        <f t="shared" si="1629"/>
        <v/>
      </c>
      <c r="DD569" s="521" t="str">
        <f t="shared" si="1630"/>
        <v/>
      </c>
      <c r="DE569" s="866">
        <f t="shared" si="1631"/>
        <v>0</v>
      </c>
      <c r="DF569" s="822">
        <f t="shared" si="1632"/>
        <v>0</v>
      </c>
      <c r="DG569" s="822">
        <f t="shared" si="1633"/>
        <v>0</v>
      </c>
      <c r="DH569" s="822">
        <f t="shared" si="1634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1628"/>
        <v/>
      </c>
      <c r="CE570" s="81" t="str">
        <f t="shared" si="1628"/>
        <v/>
      </c>
      <c r="CF570" s="81" t="str">
        <f t="shared" si="1628"/>
        <v/>
      </c>
      <c r="CG570" s="81" t="str">
        <f t="shared" si="1628"/>
        <v/>
      </c>
      <c r="CH570" s="145" t="str">
        <f t="shared" si="1628"/>
        <v/>
      </c>
      <c r="CI570" s="145" t="str">
        <f t="shared" si="1628"/>
        <v/>
      </c>
      <c r="CJ570" s="81" t="str">
        <f t="shared" si="1628"/>
        <v/>
      </c>
      <c r="CK570" s="81" t="str">
        <f t="shared" si="1628"/>
        <v/>
      </c>
      <c r="CL570" s="81" t="str">
        <f t="shared" si="1628"/>
        <v/>
      </c>
      <c r="CM570" s="508" t="str">
        <f t="shared" si="1628"/>
        <v/>
      </c>
      <c r="CN570" s="533" t="str">
        <f t="shared" si="1629"/>
        <v/>
      </c>
      <c r="CO570" s="534" t="str">
        <f t="shared" si="1629"/>
        <v/>
      </c>
      <c r="CP570" s="535" t="str">
        <f t="shared" si="1629"/>
        <v/>
      </c>
      <c r="CQ570" s="535" t="str">
        <f t="shared" si="1629"/>
        <v/>
      </c>
      <c r="CR570" s="535" t="str">
        <f t="shared" si="1629"/>
        <v/>
      </c>
      <c r="CS570" s="535" t="str">
        <f t="shared" si="1629"/>
        <v/>
      </c>
      <c r="CT570" s="535" t="str">
        <f t="shared" si="1629"/>
        <v/>
      </c>
      <c r="CU570" s="536" t="str">
        <f t="shared" si="1629"/>
        <v/>
      </c>
      <c r="CV570" s="536" t="str">
        <f t="shared" si="1629"/>
        <v/>
      </c>
      <c r="CW570" s="536" t="str">
        <f t="shared" si="1629"/>
        <v/>
      </c>
      <c r="CX570" s="535" t="str">
        <f t="shared" si="1629"/>
        <v/>
      </c>
      <c r="CY570" s="535" t="str">
        <f t="shared" si="1629"/>
        <v/>
      </c>
      <c r="CZ570" s="535" t="str">
        <f t="shared" si="1629"/>
        <v/>
      </c>
      <c r="DA570" s="535" t="str">
        <f t="shared" si="1629"/>
        <v/>
      </c>
      <c r="DB570" s="535" t="str">
        <f t="shared" si="1629"/>
        <v/>
      </c>
      <c r="DC570" s="534" t="str">
        <f t="shared" si="1629"/>
        <v/>
      </c>
      <c r="DD570" s="533" t="str">
        <f t="shared" si="1630"/>
        <v/>
      </c>
      <c r="DE570" s="866">
        <f t="shared" si="1631"/>
        <v>0</v>
      </c>
      <c r="DF570" s="822">
        <f t="shared" si="1632"/>
        <v>0</v>
      </c>
      <c r="DG570" s="822">
        <f t="shared" si="1633"/>
        <v>0</v>
      </c>
      <c r="DH570" s="822">
        <f t="shared" si="1634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1647">1160*$K$1</f>
        <v>4856.6880000000001</v>
      </c>
      <c r="D571" s="740">
        <f t="shared" si="1647"/>
        <v>4856.6880000000001</v>
      </c>
      <c r="E571" s="740">
        <f t="shared" si="1647"/>
        <v>4856.6880000000001</v>
      </c>
      <c r="F571" s="740">
        <f t="shared" si="1647"/>
        <v>4856.6880000000001</v>
      </c>
      <c r="G571" s="740">
        <f t="shared" si="1647"/>
        <v>4856.6880000000001</v>
      </c>
      <c r="H571" s="740">
        <f t="shared" si="1647"/>
        <v>4856.6880000000001</v>
      </c>
      <c r="I571" s="740">
        <f t="shared" si="1647"/>
        <v>4856.6880000000001</v>
      </c>
      <c r="J571" s="740">
        <f t="shared" si="1647"/>
        <v>4856.6880000000001</v>
      </c>
      <c r="K571" s="740">
        <f t="shared" si="1647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1648">1160*$K$1</f>
        <v>4856.6880000000001</v>
      </c>
      <c r="V571" s="740">
        <f t="shared" si="1648"/>
        <v>4856.6880000000001</v>
      </c>
      <c r="W571" s="740">
        <f t="shared" si="1648"/>
        <v>4856.6880000000001</v>
      </c>
      <c r="X571" s="740">
        <f t="shared" si="1648"/>
        <v>4856.6880000000001</v>
      </c>
      <c r="Y571" s="740">
        <f t="shared" si="1648"/>
        <v>4856.6880000000001</v>
      </c>
      <c r="Z571" s="740">
        <f t="shared" si="1648"/>
        <v>4856.6880000000001</v>
      </c>
      <c r="AA571" s="740">
        <f t="shared" si="1648"/>
        <v>4856.6880000000001</v>
      </c>
      <c r="AB571" s="740">
        <f t="shared" si="1648"/>
        <v>4856.6880000000001</v>
      </c>
      <c r="AC571" s="740">
        <f t="shared" si="1648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1649">1160*$K$1</f>
        <v>4856.6880000000001</v>
      </c>
      <c r="AN571" s="740">
        <f t="shared" si="1649"/>
        <v>4856.6880000000001</v>
      </c>
      <c r="AO571" s="740">
        <f t="shared" si="1649"/>
        <v>4856.6880000000001</v>
      </c>
      <c r="AP571" s="740">
        <f t="shared" si="1649"/>
        <v>4856.6880000000001</v>
      </c>
      <c r="AQ571" s="740">
        <f t="shared" si="1649"/>
        <v>4856.6880000000001</v>
      </c>
      <c r="AR571" s="740">
        <f t="shared" si="1649"/>
        <v>4856.6880000000001</v>
      </c>
      <c r="AS571" s="740">
        <f t="shared" si="1649"/>
        <v>4856.6880000000001</v>
      </c>
      <c r="AT571" s="740">
        <f t="shared" si="1649"/>
        <v>4856.6880000000001</v>
      </c>
      <c r="AU571" s="740">
        <f t="shared" si="1649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1650">1160*$K$1</f>
        <v>4856.6880000000001</v>
      </c>
      <c r="BF571" s="1236">
        <f t="shared" si="1650"/>
        <v>4856.6880000000001</v>
      </c>
      <c r="BG571" s="1236">
        <f t="shared" si="1650"/>
        <v>4856.6880000000001</v>
      </c>
      <c r="BH571" s="1236">
        <f t="shared" si="1650"/>
        <v>4856.6880000000001</v>
      </c>
      <c r="BI571" s="1236">
        <f t="shared" si="1650"/>
        <v>4856.6880000000001</v>
      </c>
      <c r="BJ571" s="1236">
        <f t="shared" si="1650"/>
        <v>4856.6880000000001</v>
      </c>
      <c r="BK571" s="1236">
        <f t="shared" si="1650"/>
        <v>4856.6880000000001</v>
      </c>
      <c r="BL571" s="1236">
        <f t="shared" si="1650"/>
        <v>4856.6880000000001</v>
      </c>
      <c r="BM571" s="1236">
        <f t="shared" si="1650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>1160*$K$1</f>
        <v>4856.6880000000001</v>
      </c>
      <c r="BW571" s="740">
        <f>1160*$K$1</f>
        <v>4856.6880000000001</v>
      </c>
      <c r="BX571" s="740">
        <f>1160*$K$1</f>
        <v>4856.6880000000001</v>
      </c>
      <c r="BY571" s="740">
        <f>1160*$K$1</f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1628"/>
        <v>4856.6880000000001</v>
      </c>
      <c r="CE571" s="81">
        <f t="shared" si="1628"/>
        <v>4856.6880000000001</v>
      </c>
      <c r="CF571" s="81">
        <f t="shared" si="1628"/>
        <v>4856.6880000000001</v>
      </c>
      <c r="CG571" s="81">
        <f t="shared" si="1628"/>
        <v>4856.6880000000001</v>
      </c>
      <c r="CH571" s="145">
        <f t="shared" si="1628"/>
        <v>4856.6880000000001</v>
      </c>
      <c r="CI571" s="145">
        <f t="shared" si="1628"/>
        <v>4856.6880000000001</v>
      </c>
      <c r="CJ571" s="81">
        <f t="shared" si="1628"/>
        <v>4856.6880000000001</v>
      </c>
      <c r="CK571" s="81">
        <f t="shared" si="1628"/>
        <v>4856.6880000000001</v>
      </c>
      <c r="CL571" s="81">
        <f t="shared" si="1628"/>
        <v>4856.6880000000001</v>
      </c>
      <c r="CM571" s="508">
        <f t="shared" si="1628"/>
        <v>4856.6880000000001</v>
      </c>
      <c r="CN571" s="533" t="str">
        <f t="shared" si="1629"/>
        <v/>
      </c>
      <c r="CO571" s="534" t="str">
        <f t="shared" si="1629"/>
        <v/>
      </c>
      <c r="CP571" s="535" t="str">
        <f t="shared" si="1629"/>
        <v/>
      </c>
      <c r="CQ571" s="535" t="str">
        <f t="shared" si="1629"/>
        <v/>
      </c>
      <c r="CR571" s="535">
        <f t="shared" si="1629"/>
        <v>4856.6880000000001</v>
      </c>
      <c r="CS571" s="535">
        <f t="shared" si="1629"/>
        <v>4856.6880000000001</v>
      </c>
      <c r="CT571" s="535">
        <f t="shared" si="1629"/>
        <v>4856.6880000000001</v>
      </c>
      <c r="CU571" s="536">
        <f t="shared" si="1629"/>
        <v>4856.6880000000001</v>
      </c>
      <c r="CV571" s="536">
        <f t="shared" si="1629"/>
        <v>4856.6880000000001</v>
      </c>
      <c r="CW571" s="536">
        <f t="shared" si="1629"/>
        <v>4856.6880000000001</v>
      </c>
      <c r="CX571" s="535">
        <f t="shared" si="1629"/>
        <v>4856.6880000000001</v>
      </c>
      <c r="CY571" s="535">
        <f t="shared" si="1629"/>
        <v>4856.6880000000001</v>
      </c>
      <c r="CZ571" s="535">
        <f t="shared" si="1629"/>
        <v>4856.6880000000001</v>
      </c>
      <c r="DA571" s="535">
        <f t="shared" si="1629"/>
        <v>4856.6880000000001</v>
      </c>
      <c r="DB571" s="535" t="str">
        <f t="shared" si="1629"/>
        <v/>
      </c>
      <c r="DC571" s="534" t="str">
        <f t="shared" si="1629"/>
        <v/>
      </c>
      <c r="DD571" s="533" t="str">
        <f t="shared" si="1630"/>
        <v/>
      </c>
      <c r="DE571" s="866">
        <f t="shared" si="1631"/>
        <v>10</v>
      </c>
      <c r="DF571" s="822">
        <f t="shared" si="1632"/>
        <v>10</v>
      </c>
      <c r="DG571" s="822">
        <f t="shared" si="1633"/>
        <v>10</v>
      </c>
      <c r="DH571" s="822">
        <f t="shared" si="1634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 t="shared" ref="B572:K572" si="1651">IF(B570="","",B570*B571/B$46/365/$G$1)</f>
        <v/>
      </c>
      <c r="C572" s="742" t="str">
        <f t="shared" si="1651"/>
        <v/>
      </c>
      <c r="D572" s="742" t="str">
        <f t="shared" si="1651"/>
        <v/>
      </c>
      <c r="E572" s="742" t="str">
        <f t="shared" si="1651"/>
        <v/>
      </c>
      <c r="F572" s="742" t="str">
        <f t="shared" si="1651"/>
        <v/>
      </c>
      <c r="G572" s="742" t="str">
        <f t="shared" si="1651"/>
        <v/>
      </c>
      <c r="H572" s="742" t="str">
        <f t="shared" si="1651"/>
        <v/>
      </c>
      <c r="I572" s="742" t="str">
        <f t="shared" si="1651"/>
        <v/>
      </c>
      <c r="J572" s="742" t="str">
        <f t="shared" si="1651"/>
        <v/>
      </c>
      <c r="K572" s="742" t="str">
        <f t="shared" si="1651"/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 t="shared" ref="T572:AC572" si="1652">IF(T570="","",T570*T571/T$46/365/$G$1)</f>
        <v/>
      </c>
      <c r="U572" s="742" t="str">
        <f t="shared" si="1652"/>
        <v/>
      </c>
      <c r="V572" s="742" t="str">
        <f t="shared" si="1652"/>
        <v/>
      </c>
      <c r="W572" s="742" t="str">
        <f t="shared" si="1652"/>
        <v/>
      </c>
      <c r="X572" s="742" t="str">
        <f t="shared" si="1652"/>
        <v/>
      </c>
      <c r="Y572" s="742" t="str">
        <f t="shared" si="1652"/>
        <v/>
      </c>
      <c r="Z572" s="742" t="str">
        <f t="shared" si="1652"/>
        <v/>
      </c>
      <c r="AA572" s="742" t="str">
        <f t="shared" si="1652"/>
        <v/>
      </c>
      <c r="AB572" s="742" t="str">
        <f t="shared" si="1652"/>
        <v/>
      </c>
      <c r="AC572" s="742" t="str">
        <f t="shared" si="1652"/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 t="shared" ref="AL572:AU572" si="1653">IF(AL570="","",AL570*AL571/AL$46/365/$G$1)</f>
        <v/>
      </c>
      <c r="AM572" s="742" t="str">
        <f t="shared" si="1653"/>
        <v/>
      </c>
      <c r="AN572" s="742" t="str">
        <f t="shared" si="1653"/>
        <v/>
      </c>
      <c r="AO572" s="742" t="str">
        <f t="shared" si="1653"/>
        <v/>
      </c>
      <c r="AP572" s="742" t="str">
        <f t="shared" si="1653"/>
        <v/>
      </c>
      <c r="AQ572" s="742" t="str">
        <f t="shared" si="1653"/>
        <v/>
      </c>
      <c r="AR572" s="742" t="str">
        <f t="shared" si="1653"/>
        <v/>
      </c>
      <c r="AS572" s="742" t="str">
        <f t="shared" si="1653"/>
        <v/>
      </c>
      <c r="AT572" s="742" t="str">
        <f t="shared" si="1653"/>
        <v/>
      </c>
      <c r="AU572" s="742" t="str">
        <f t="shared" si="1653"/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1654">IF(BE570="","",BE570*BE571/BE$46/365/$G$1)</f>
        <v/>
      </c>
      <c r="BF572" s="1241" t="str">
        <f t="shared" si="1654"/>
        <v/>
      </c>
      <c r="BG572" s="1241" t="str">
        <f t="shared" si="1654"/>
        <v/>
      </c>
      <c r="BH572" s="1241" t="str">
        <f t="shared" si="1654"/>
        <v/>
      </c>
      <c r="BI572" s="1241" t="str">
        <f t="shared" si="1654"/>
        <v/>
      </c>
      <c r="BJ572" s="1241" t="str">
        <f t="shared" si="1654"/>
        <v/>
      </c>
      <c r="BK572" s="1241" t="str">
        <f t="shared" si="1654"/>
        <v/>
      </c>
      <c r="BL572" s="1241" t="str">
        <f t="shared" si="1654"/>
        <v/>
      </c>
      <c r="BM572" s="1241" t="str">
        <f t="shared" si="1654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>IF(BV570="","",BV570*BV571/BV$46/365/$G$1)</f>
        <v/>
      </c>
      <c r="BW572" s="742" t="str">
        <f>IF(BW570="","",BW570*BW571/BW$46/365/$G$1)</f>
        <v/>
      </c>
      <c r="BX572" s="742" t="str">
        <f>IF(BX570="","",BX570*BX571/BX$46/365/$G$1)</f>
        <v/>
      </c>
      <c r="BY572" s="742" t="str">
        <f>IF(BY570="","",BY570*BY571/BY$46/365/$G$1)</f>
        <v/>
      </c>
      <c r="BZ572" s="607" t="str">
        <f>IF(DE572&lt;3,"",(SUM(B572:R572)-MIN(B572:R572)-MAX(B572:R572))/(DE572-2))</f>
        <v/>
      </c>
      <c r="CA572" s="607" t="str">
        <f>IF(DF572&lt;3,"",(SUM(T572:AJ572)-MIN(T572:AJ572)-MAX(T572:AJ572))/(DF572-2))</f>
        <v/>
      </c>
      <c r="CB572" s="607" t="str">
        <f>IF(DG572&lt;3,"",(SUM(AL572:BB572)-MIN(AL572:BB572)-MAX(AL572:BB572))/(DG572-2))</f>
        <v/>
      </c>
      <c r="CC572" s="673" t="str">
        <f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1628"/>
        <v/>
      </c>
      <c r="CF572" s="992" t="str">
        <f t="shared" si="1628"/>
        <v/>
      </c>
      <c r="CG572" s="992" t="str">
        <f t="shared" si="1628"/>
        <v/>
      </c>
      <c r="CH572" s="993" t="str">
        <f t="shared" si="1628"/>
        <v/>
      </c>
      <c r="CI572" s="993" t="str">
        <f t="shared" si="1628"/>
        <v/>
      </c>
      <c r="CJ572" s="992" t="str">
        <f t="shared" si="1628"/>
        <v/>
      </c>
      <c r="CK572" s="992" t="str">
        <f t="shared" si="1628"/>
        <v/>
      </c>
      <c r="CL572" s="992" t="str">
        <f t="shared" si="1628"/>
        <v/>
      </c>
      <c r="CM572" s="991" t="str">
        <f t="shared" si="1628"/>
        <v/>
      </c>
      <c r="CN572" s="521" t="str">
        <f t="shared" si="1629"/>
        <v/>
      </c>
      <c r="CO572" s="522" t="str">
        <f t="shared" si="1629"/>
        <v/>
      </c>
      <c r="CP572" s="523" t="str">
        <f t="shared" si="1629"/>
        <v/>
      </c>
      <c r="CQ572" s="523" t="str">
        <f t="shared" si="1629"/>
        <v/>
      </c>
      <c r="CR572" s="523" t="str">
        <f t="shared" si="1629"/>
        <v/>
      </c>
      <c r="CS572" s="523" t="str">
        <f t="shared" si="1629"/>
        <v/>
      </c>
      <c r="CT572" s="523" t="str">
        <f t="shared" si="1629"/>
        <v/>
      </c>
      <c r="CU572" s="524" t="str">
        <f t="shared" si="1629"/>
        <v/>
      </c>
      <c r="CV572" s="524" t="str">
        <f t="shared" si="1629"/>
        <v/>
      </c>
      <c r="CW572" s="524" t="str">
        <f t="shared" si="1629"/>
        <v/>
      </c>
      <c r="CX572" s="523" t="str">
        <f t="shared" si="1629"/>
        <v/>
      </c>
      <c r="CY572" s="523" t="str">
        <f t="shared" si="1629"/>
        <v/>
      </c>
      <c r="CZ572" s="523" t="str">
        <f t="shared" si="1629"/>
        <v/>
      </c>
      <c r="DA572" s="523" t="str">
        <f t="shared" si="1629"/>
        <v/>
      </c>
      <c r="DB572" s="523" t="str">
        <f t="shared" si="1629"/>
        <v/>
      </c>
      <c r="DC572" s="522" t="str">
        <f t="shared" si="1629"/>
        <v/>
      </c>
      <c r="DD572" s="521" t="str">
        <f t="shared" si="1630"/>
        <v/>
      </c>
      <c r="DE572" s="635">
        <f t="shared" si="1631"/>
        <v>0</v>
      </c>
      <c r="DF572" s="95">
        <f t="shared" si="1632"/>
        <v>0</v>
      </c>
      <c r="DG572" s="95">
        <f t="shared" si="1633"/>
        <v>0</v>
      </c>
      <c r="DH572" s="95">
        <f t="shared" si="1634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1655">IF(DE573&lt;3,"",(SUM(B573:R573)-MIN(B573:R573)-MAX(B573:R573))/(DE573-2))</f>
        <v/>
      </c>
      <c r="CA573" s="864" t="str">
        <f t="shared" ref="CA573:CA580" si="1656">IF(DF573&lt;3,"",(SUM(T573:AJ573)-MIN(T573:AJ573)-MAX(T573:AJ573))/(DF573-2))</f>
        <v/>
      </c>
      <c r="CB573" s="864" t="str">
        <f t="shared" ref="CB573:CB580" si="1657">IF(DG573&lt;3,"",(SUM(AL573:BB573)-MIN(AL573:BB573)-MAX(AL573:BB573))/(DG573-2))</f>
        <v/>
      </c>
      <c r="CC573" s="865" t="str">
        <f t="shared" ref="CC573:CC580" si="1658">IF(DH573&lt;3,"",(SUM(BD573:BT573)-MIN(BD573:BT573)-MAX(BD573:BT573))/(DH573-2))</f>
        <v/>
      </c>
      <c r="CD573" s="508" t="str">
        <f t="shared" ref="CD573:CM585" si="165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59"/>
        <v/>
      </c>
      <c r="CF573" s="81" t="str">
        <f t="shared" si="1659"/>
        <v/>
      </c>
      <c r="CG573" s="81" t="str">
        <f t="shared" si="1659"/>
        <v/>
      </c>
      <c r="CH573" s="969" t="str">
        <f t="shared" si="1659"/>
        <v/>
      </c>
      <c r="CI573" s="145" t="str">
        <f t="shared" si="1659"/>
        <v/>
      </c>
      <c r="CJ573" s="81" t="str">
        <f t="shared" si="1659"/>
        <v/>
      </c>
      <c r="CK573" s="81" t="str">
        <f t="shared" si="1659"/>
        <v/>
      </c>
      <c r="CL573" s="81" t="str">
        <f t="shared" si="1659"/>
        <v/>
      </c>
      <c r="CM573" s="508" t="str">
        <f t="shared" si="1659"/>
        <v/>
      </c>
      <c r="CN573" s="533" t="str">
        <f t="shared" ref="CN573:DC585" si="1660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1660"/>
        <v/>
      </c>
      <c r="CP573" s="535" t="str">
        <f t="shared" si="1660"/>
        <v/>
      </c>
      <c r="CQ573" s="535" t="str">
        <f t="shared" si="1660"/>
        <v/>
      </c>
      <c r="CR573" s="535" t="str">
        <f t="shared" si="1660"/>
        <v/>
      </c>
      <c r="CS573" s="535" t="str">
        <f t="shared" si="1660"/>
        <v/>
      </c>
      <c r="CT573" s="535" t="str">
        <f t="shared" si="1660"/>
        <v/>
      </c>
      <c r="CU573" s="536" t="str">
        <f t="shared" si="1660"/>
        <v/>
      </c>
      <c r="CV573" s="536" t="str">
        <f t="shared" si="1660"/>
        <v/>
      </c>
      <c r="CW573" s="536" t="str">
        <f t="shared" si="1660"/>
        <v/>
      </c>
      <c r="CX573" s="535" t="str">
        <f t="shared" si="1660"/>
        <v/>
      </c>
      <c r="CY573" s="535" t="str">
        <f t="shared" si="1660"/>
        <v/>
      </c>
      <c r="CZ573" s="535" t="str">
        <f t="shared" si="1660"/>
        <v/>
      </c>
      <c r="DA573" s="535" t="str">
        <f t="shared" si="1660"/>
        <v/>
      </c>
      <c r="DB573" s="535" t="str">
        <f t="shared" si="1660"/>
        <v/>
      </c>
      <c r="DC573" s="534" t="str">
        <f t="shared" si="1660"/>
        <v/>
      </c>
      <c r="DD573" s="533" t="str">
        <f t="shared" ref="DD573:DD596" si="166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1631"/>
        <v>0</v>
      </c>
      <c r="DF573" s="822">
        <f t="shared" si="1632"/>
        <v>0</v>
      </c>
      <c r="DG573" s="822">
        <f t="shared" si="1633"/>
        <v>0</v>
      </c>
      <c r="DH573" s="822">
        <f t="shared" si="1634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 t="shared" ref="B574:K574" si="1662">IF(B573="","",B570*B573)</f>
        <v/>
      </c>
      <c r="C574" s="739" t="str">
        <f t="shared" si="1662"/>
        <v/>
      </c>
      <c r="D574" s="739" t="str">
        <f t="shared" si="1662"/>
        <v/>
      </c>
      <c r="E574" s="739" t="str">
        <f t="shared" si="1662"/>
        <v/>
      </c>
      <c r="F574" s="739" t="str">
        <f t="shared" si="1662"/>
        <v/>
      </c>
      <c r="G574" s="739" t="str">
        <f t="shared" si="1662"/>
        <v/>
      </c>
      <c r="H574" s="739" t="str">
        <f t="shared" si="1662"/>
        <v/>
      </c>
      <c r="I574" s="739" t="str">
        <f t="shared" si="1662"/>
        <v/>
      </c>
      <c r="J574" s="739" t="str">
        <f t="shared" si="1662"/>
        <v/>
      </c>
      <c r="K574" s="739" t="str">
        <f t="shared" si="1662"/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 t="shared" ref="T574:AC574" si="1663">IF(T573="","",T570*T573)</f>
        <v/>
      </c>
      <c r="U574" s="739" t="str">
        <f t="shared" si="1663"/>
        <v/>
      </c>
      <c r="V574" s="739" t="str">
        <f t="shared" si="1663"/>
        <v/>
      </c>
      <c r="W574" s="739" t="str">
        <f t="shared" si="1663"/>
        <v/>
      </c>
      <c r="X574" s="739" t="str">
        <f t="shared" si="1663"/>
        <v/>
      </c>
      <c r="Y574" s="739" t="str">
        <f t="shared" si="1663"/>
        <v/>
      </c>
      <c r="Z574" s="739" t="str">
        <f t="shared" si="1663"/>
        <v/>
      </c>
      <c r="AA574" s="739" t="str">
        <f t="shared" si="1663"/>
        <v/>
      </c>
      <c r="AB574" s="739" t="str">
        <f t="shared" si="1663"/>
        <v/>
      </c>
      <c r="AC574" s="739" t="str">
        <f t="shared" si="1663"/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 t="shared" ref="AL574:AU574" si="1664">IF(AL573="","",AL570*AL573)</f>
        <v/>
      </c>
      <c r="AM574" s="739" t="str">
        <f t="shared" si="1664"/>
        <v/>
      </c>
      <c r="AN574" s="739" t="str">
        <f t="shared" si="1664"/>
        <v/>
      </c>
      <c r="AO574" s="739" t="str">
        <f t="shared" si="1664"/>
        <v/>
      </c>
      <c r="AP574" s="739" t="str">
        <f t="shared" si="1664"/>
        <v/>
      </c>
      <c r="AQ574" s="739" t="str">
        <f t="shared" si="1664"/>
        <v/>
      </c>
      <c r="AR574" s="739" t="str">
        <f t="shared" si="1664"/>
        <v/>
      </c>
      <c r="AS574" s="739" t="str">
        <f t="shared" si="1664"/>
        <v/>
      </c>
      <c r="AT574" s="739" t="str">
        <f t="shared" si="1664"/>
        <v/>
      </c>
      <c r="AU574" s="739" t="str">
        <f t="shared" si="1664"/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1665">IF(BE573="","",BE570*BE573)</f>
        <v/>
      </c>
      <c r="BF574" s="1237" t="str">
        <f t="shared" si="1665"/>
        <v/>
      </c>
      <c r="BG574" s="1237" t="str">
        <f t="shared" si="1665"/>
        <v/>
      </c>
      <c r="BH574" s="1237" t="str">
        <f t="shared" si="1665"/>
        <v/>
      </c>
      <c r="BI574" s="1237" t="str">
        <f t="shared" si="1665"/>
        <v/>
      </c>
      <c r="BJ574" s="1237" t="str">
        <f t="shared" si="1665"/>
        <v/>
      </c>
      <c r="BK574" s="1237" t="str">
        <f t="shared" si="1665"/>
        <v/>
      </c>
      <c r="BL574" s="1237" t="str">
        <f t="shared" si="1665"/>
        <v/>
      </c>
      <c r="BM574" s="1237" t="str">
        <f t="shared" si="1665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>IF(BV573="","",BV570*BV573)</f>
        <v/>
      </c>
      <c r="BW574" s="739" t="str">
        <f>IF(BW573="","",BW570*BW573)</f>
        <v/>
      </c>
      <c r="BX574" s="739" t="str">
        <f>IF(BX573="","",BX570*BX573)</f>
        <v/>
      </c>
      <c r="BY574" s="739" t="str">
        <f>IF(BY573="","",BY570*BY573)</f>
        <v/>
      </c>
      <c r="BZ574" s="864" t="str">
        <f t="shared" si="1655"/>
        <v/>
      </c>
      <c r="CA574" s="864" t="str">
        <f t="shared" si="1656"/>
        <v/>
      </c>
      <c r="CB574" s="864" t="str">
        <f t="shared" si="1657"/>
        <v/>
      </c>
      <c r="CC574" s="865" t="str">
        <f t="shared" si="1658"/>
        <v/>
      </c>
      <c r="CD574" s="508" t="str">
        <f t="shared" si="1659"/>
        <v/>
      </c>
      <c r="CE574" s="81" t="str">
        <f t="shared" si="1659"/>
        <v/>
      </c>
      <c r="CF574" s="81" t="str">
        <f t="shared" si="1659"/>
        <v/>
      </c>
      <c r="CG574" s="81" t="str">
        <f t="shared" si="1659"/>
        <v/>
      </c>
      <c r="CH574" s="145" t="str">
        <f t="shared" si="1659"/>
        <v/>
      </c>
      <c r="CI574" s="145" t="str">
        <f t="shared" si="1659"/>
        <v/>
      </c>
      <c r="CJ574" s="81" t="str">
        <f t="shared" si="1659"/>
        <v/>
      </c>
      <c r="CK574" s="81" t="str">
        <f t="shared" si="1659"/>
        <v/>
      </c>
      <c r="CL574" s="81" t="str">
        <f t="shared" si="1659"/>
        <v/>
      </c>
      <c r="CM574" s="508" t="str">
        <f t="shared" si="1659"/>
        <v/>
      </c>
      <c r="CN574" s="533" t="str">
        <f t="shared" si="1660"/>
        <v/>
      </c>
      <c r="CO574" s="534" t="str">
        <f t="shared" si="1660"/>
        <v/>
      </c>
      <c r="CP574" s="535" t="str">
        <f t="shared" si="1660"/>
        <v/>
      </c>
      <c r="CQ574" s="535" t="str">
        <f t="shared" si="1660"/>
        <v/>
      </c>
      <c r="CR574" s="535" t="str">
        <f t="shared" si="1660"/>
        <v/>
      </c>
      <c r="CS574" s="535" t="str">
        <f t="shared" si="1660"/>
        <v/>
      </c>
      <c r="CT574" s="535" t="str">
        <f t="shared" si="1660"/>
        <v/>
      </c>
      <c r="CU574" s="536" t="str">
        <f t="shared" si="1660"/>
        <v/>
      </c>
      <c r="CV574" s="536" t="str">
        <f t="shared" si="1660"/>
        <v/>
      </c>
      <c r="CW574" s="536" t="str">
        <f t="shared" si="1660"/>
        <v/>
      </c>
      <c r="CX574" s="535" t="str">
        <f t="shared" si="1660"/>
        <v/>
      </c>
      <c r="CY574" s="535" t="str">
        <f t="shared" si="1660"/>
        <v/>
      </c>
      <c r="CZ574" s="535" t="str">
        <f t="shared" si="1660"/>
        <v/>
      </c>
      <c r="DA574" s="535" t="str">
        <f t="shared" si="1660"/>
        <v/>
      </c>
      <c r="DB574" s="535" t="str">
        <f t="shared" si="1660"/>
        <v/>
      </c>
      <c r="DC574" s="534" t="str">
        <f t="shared" si="1660"/>
        <v/>
      </c>
      <c r="DD574" s="533" t="str">
        <f t="shared" si="1661"/>
        <v/>
      </c>
      <c r="DE574" s="866">
        <f t="shared" si="1631"/>
        <v>0</v>
      </c>
      <c r="DF574" s="822">
        <f t="shared" si="1632"/>
        <v>0</v>
      </c>
      <c r="DG574" s="822">
        <f t="shared" si="1633"/>
        <v>0</v>
      </c>
      <c r="DH574" s="822">
        <f t="shared" si="1634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1655"/>
        <v/>
      </c>
      <c r="CA575" s="864" t="str">
        <f t="shared" si="1656"/>
        <v/>
      </c>
      <c r="CB575" s="864" t="str">
        <f t="shared" si="1657"/>
        <v/>
      </c>
      <c r="CC575" s="865" t="str">
        <f t="shared" si="1658"/>
        <v/>
      </c>
      <c r="CD575" s="508" t="str">
        <f t="shared" si="1659"/>
        <v/>
      </c>
      <c r="CE575" s="81" t="str">
        <f t="shared" si="1659"/>
        <v/>
      </c>
      <c r="CF575" s="81" t="str">
        <f t="shared" si="1659"/>
        <v/>
      </c>
      <c r="CG575" s="81" t="str">
        <f t="shared" si="1659"/>
        <v/>
      </c>
      <c r="CH575" s="145" t="str">
        <f t="shared" si="1659"/>
        <v/>
      </c>
      <c r="CI575" s="145" t="str">
        <f t="shared" si="1659"/>
        <v/>
      </c>
      <c r="CJ575" s="81" t="str">
        <f t="shared" si="1659"/>
        <v/>
      </c>
      <c r="CK575" s="81" t="str">
        <f t="shared" si="1659"/>
        <v/>
      </c>
      <c r="CL575" s="81" t="str">
        <f t="shared" si="1659"/>
        <v/>
      </c>
      <c r="CM575" s="508" t="str">
        <f t="shared" si="1659"/>
        <v/>
      </c>
      <c r="CN575" s="533" t="str">
        <f t="shared" si="1660"/>
        <v/>
      </c>
      <c r="CO575" s="534" t="str">
        <f t="shared" si="1660"/>
        <v/>
      </c>
      <c r="CP575" s="535" t="str">
        <f t="shared" si="1660"/>
        <v/>
      </c>
      <c r="CQ575" s="535" t="str">
        <f t="shared" si="1660"/>
        <v/>
      </c>
      <c r="CR575" s="535" t="str">
        <f t="shared" si="1660"/>
        <v/>
      </c>
      <c r="CS575" s="535" t="str">
        <f t="shared" si="1660"/>
        <v/>
      </c>
      <c r="CT575" s="535" t="str">
        <f t="shared" si="1660"/>
        <v/>
      </c>
      <c r="CU575" s="536" t="str">
        <f t="shared" si="1660"/>
        <v/>
      </c>
      <c r="CV575" s="536" t="str">
        <f t="shared" si="1660"/>
        <v/>
      </c>
      <c r="CW575" s="536" t="str">
        <f t="shared" si="1660"/>
        <v/>
      </c>
      <c r="CX575" s="535" t="str">
        <f t="shared" si="1660"/>
        <v/>
      </c>
      <c r="CY575" s="535" t="str">
        <f t="shared" si="1660"/>
        <v/>
      </c>
      <c r="CZ575" s="535" t="str">
        <f t="shared" si="1660"/>
        <v/>
      </c>
      <c r="DA575" s="535" t="str">
        <f t="shared" si="1660"/>
        <v/>
      </c>
      <c r="DB575" s="535" t="str">
        <f t="shared" si="1660"/>
        <v/>
      </c>
      <c r="DC575" s="534" t="str">
        <f t="shared" si="1660"/>
        <v/>
      </c>
      <c r="DD575" s="533" t="str">
        <f t="shared" si="1661"/>
        <v/>
      </c>
      <c r="DE575" s="866">
        <f t="shared" si="1631"/>
        <v>0</v>
      </c>
      <c r="DF575" s="822">
        <f t="shared" si="1632"/>
        <v>0</v>
      </c>
      <c r="DG575" s="822">
        <f t="shared" si="1633"/>
        <v>0</v>
      </c>
      <c r="DH575" s="822">
        <f t="shared" si="1634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1655"/>
        <v/>
      </c>
      <c r="CA576" s="864" t="str">
        <f t="shared" si="1656"/>
        <v/>
      </c>
      <c r="CB576" s="864" t="str">
        <f t="shared" si="1657"/>
        <v/>
      </c>
      <c r="CC576" s="865" t="str">
        <f t="shared" si="1658"/>
        <v/>
      </c>
      <c r="CD576" s="508" t="str">
        <f t="shared" si="1659"/>
        <v/>
      </c>
      <c r="CE576" s="81" t="str">
        <f t="shared" si="1659"/>
        <v/>
      </c>
      <c r="CF576" s="81" t="str">
        <f t="shared" si="1659"/>
        <v/>
      </c>
      <c r="CG576" s="81" t="str">
        <f t="shared" si="1659"/>
        <v/>
      </c>
      <c r="CH576" s="145" t="str">
        <f t="shared" si="1659"/>
        <v/>
      </c>
      <c r="CI576" s="145" t="str">
        <f t="shared" si="1659"/>
        <v/>
      </c>
      <c r="CJ576" s="81" t="str">
        <f t="shared" si="1659"/>
        <v/>
      </c>
      <c r="CK576" s="81" t="str">
        <f t="shared" si="1659"/>
        <v/>
      </c>
      <c r="CL576" s="81" t="str">
        <f t="shared" si="1659"/>
        <v/>
      </c>
      <c r="CM576" s="508" t="str">
        <f t="shared" si="1659"/>
        <v/>
      </c>
      <c r="CN576" s="533" t="str">
        <f t="shared" si="1660"/>
        <v/>
      </c>
      <c r="CO576" s="534" t="str">
        <f t="shared" si="1660"/>
        <v/>
      </c>
      <c r="CP576" s="535" t="str">
        <f t="shared" si="1660"/>
        <v/>
      </c>
      <c r="CQ576" s="535" t="str">
        <f t="shared" si="1660"/>
        <v/>
      </c>
      <c r="CR576" s="535" t="str">
        <f t="shared" si="1660"/>
        <v/>
      </c>
      <c r="CS576" s="535" t="str">
        <f t="shared" si="1660"/>
        <v/>
      </c>
      <c r="CT576" s="535" t="str">
        <f t="shared" si="1660"/>
        <v/>
      </c>
      <c r="CU576" s="536" t="str">
        <f t="shared" si="1660"/>
        <v/>
      </c>
      <c r="CV576" s="536" t="str">
        <f t="shared" si="1660"/>
        <v/>
      </c>
      <c r="CW576" s="536" t="str">
        <f t="shared" si="1660"/>
        <v/>
      </c>
      <c r="CX576" s="535" t="str">
        <f t="shared" si="1660"/>
        <v/>
      </c>
      <c r="CY576" s="535" t="str">
        <f t="shared" si="1660"/>
        <v/>
      </c>
      <c r="CZ576" s="535" t="str">
        <f t="shared" si="1660"/>
        <v/>
      </c>
      <c r="DA576" s="535" t="str">
        <f t="shared" si="1660"/>
        <v/>
      </c>
      <c r="DB576" s="535" t="str">
        <f t="shared" si="1660"/>
        <v/>
      </c>
      <c r="DC576" s="534" t="str">
        <f t="shared" si="1660"/>
        <v/>
      </c>
      <c r="DD576" s="533" t="str">
        <f t="shared" si="1661"/>
        <v/>
      </c>
      <c r="DE576" s="866">
        <f t="shared" si="1631"/>
        <v>0</v>
      </c>
      <c r="DF576" s="822">
        <f t="shared" si="1632"/>
        <v>0</v>
      </c>
      <c r="DG576" s="822">
        <f t="shared" si="1633"/>
        <v>0</v>
      </c>
      <c r="DH576" s="822">
        <f t="shared" si="1634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1666">230*$K$1</f>
        <v>962.96399999999994</v>
      </c>
      <c r="D577" s="740">
        <f t="shared" si="1666"/>
        <v>962.96399999999994</v>
      </c>
      <c r="E577" s="740">
        <f t="shared" si="1666"/>
        <v>962.96399999999994</v>
      </c>
      <c r="F577" s="740">
        <f t="shared" si="1666"/>
        <v>962.96399999999994</v>
      </c>
      <c r="G577" s="740">
        <f t="shared" si="1666"/>
        <v>962.96399999999994</v>
      </c>
      <c r="H577" s="740">
        <f t="shared" si="1666"/>
        <v>962.96399999999994</v>
      </c>
      <c r="I577" s="740">
        <f t="shared" si="1666"/>
        <v>962.96399999999994</v>
      </c>
      <c r="J577" s="740">
        <f t="shared" si="1666"/>
        <v>962.96399999999994</v>
      </c>
      <c r="K577" s="740">
        <f t="shared" si="166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1667">230*$K$1</f>
        <v>962.96399999999994</v>
      </c>
      <c r="V577" s="740">
        <f t="shared" si="1667"/>
        <v>962.96399999999994</v>
      </c>
      <c r="W577" s="740">
        <f t="shared" si="1667"/>
        <v>962.96399999999994</v>
      </c>
      <c r="X577" s="740">
        <f t="shared" si="1667"/>
        <v>962.96399999999994</v>
      </c>
      <c r="Y577" s="740">
        <f t="shared" si="1667"/>
        <v>962.96399999999994</v>
      </c>
      <c r="Z577" s="740">
        <f t="shared" si="1667"/>
        <v>962.96399999999994</v>
      </c>
      <c r="AA577" s="740">
        <f t="shared" si="1667"/>
        <v>962.96399999999994</v>
      </c>
      <c r="AB577" s="740">
        <f t="shared" si="1667"/>
        <v>962.96399999999994</v>
      </c>
      <c r="AC577" s="740">
        <f t="shared" si="166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1668">230*$K$1</f>
        <v>962.96399999999994</v>
      </c>
      <c r="AN577" s="740">
        <f t="shared" si="1668"/>
        <v>962.96399999999994</v>
      </c>
      <c r="AO577" s="740">
        <f t="shared" si="1668"/>
        <v>962.96399999999994</v>
      </c>
      <c r="AP577" s="740">
        <f t="shared" si="1668"/>
        <v>962.96399999999994</v>
      </c>
      <c r="AQ577" s="740">
        <f t="shared" si="1668"/>
        <v>962.96399999999994</v>
      </c>
      <c r="AR577" s="740">
        <f t="shared" si="1668"/>
        <v>962.96399999999994</v>
      </c>
      <c r="AS577" s="740">
        <f t="shared" si="1668"/>
        <v>962.96399999999994</v>
      </c>
      <c r="AT577" s="740">
        <f t="shared" si="1668"/>
        <v>962.96399999999994</v>
      </c>
      <c r="AU577" s="740">
        <f t="shared" si="166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1669">230*$K$1</f>
        <v>962.96399999999994</v>
      </c>
      <c r="BF577" s="1236">
        <f t="shared" si="1669"/>
        <v>962.96399999999994</v>
      </c>
      <c r="BG577" s="1236">
        <f t="shared" si="1669"/>
        <v>962.96399999999994</v>
      </c>
      <c r="BH577" s="1236">
        <f t="shared" si="1669"/>
        <v>962.96399999999994</v>
      </c>
      <c r="BI577" s="1236">
        <f t="shared" si="1669"/>
        <v>962.96399999999994</v>
      </c>
      <c r="BJ577" s="1236">
        <f t="shared" si="1669"/>
        <v>962.96399999999994</v>
      </c>
      <c r="BK577" s="1236">
        <f t="shared" si="1669"/>
        <v>962.96399999999994</v>
      </c>
      <c r="BL577" s="1236">
        <f t="shared" si="1669"/>
        <v>962.96399999999994</v>
      </c>
      <c r="BM577" s="1236">
        <f t="shared" si="166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>230*$K$1</f>
        <v>962.96399999999994</v>
      </c>
      <c r="BW577" s="740">
        <f>230*$K$1</f>
        <v>962.96399999999994</v>
      </c>
      <c r="BX577" s="740">
        <f>230*$K$1</f>
        <v>962.96399999999994</v>
      </c>
      <c r="BY577" s="740">
        <f>230*$K$1</f>
        <v>962.96399999999994</v>
      </c>
      <c r="BZ577" s="864">
        <f t="shared" si="1655"/>
        <v>962.96399999999994</v>
      </c>
      <c r="CA577" s="864">
        <f t="shared" si="1656"/>
        <v>962.96399999999994</v>
      </c>
      <c r="CB577" s="864">
        <f t="shared" si="1657"/>
        <v>962.96399999999994</v>
      </c>
      <c r="CC577" s="865">
        <f t="shared" si="1658"/>
        <v>962.96399999999994</v>
      </c>
      <c r="CD577" s="508">
        <f t="shared" si="1659"/>
        <v>962.96399999999994</v>
      </c>
      <c r="CE577" s="81">
        <f t="shared" si="1659"/>
        <v>962.96399999999994</v>
      </c>
      <c r="CF577" s="81">
        <f t="shared" si="1659"/>
        <v>962.96399999999994</v>
      </c>
      <c r="CG577" s="81">
        <f t="shared" si="1659"/>
        <v>962.96399999999994</v>
      </c>
      <c r="CH577" s="145">
        <f t="shared" si="1659"/>
        <v>962.96399999999994</v>
      </c>
      <c r="CI577" s="145">
        <f t="shared" si="1659"/>
        <v>962.96399999999994</v>
      </c>
      <c r="CJ577" s="81">
        <f t="shared" si="1659"/>
        <v>962.96399999999994</v>
      </c>
      <c r="CK577" s="81">
        <f t="shared" si="1659"/>
        <v>962.96399999999994</v>
      </c>
      <c r="CL577" s="81">
        <f t="shared" si="1659"/>
        <v>962.96399999999994</v>
      </c>
      <c r="CM577" s="508">
        <f t="shared" si="1659"/>
        <v>962.96399999999994</v>
      </c>
      <c r="CN577" s="533" t="str">
        <f t="shared" si="1660"/>
        <v/>
      </c>
      <c r="CO577" s="534" t="str">
        <f t="shared" si="1660"/>
        <v/>
      </c>
      <c r="CP577" s="535" t="str">
        <f t="shared" si="1660"/>
        <v/>
      </c>
      <c r="CQ577" s="535" t="str">
        <f t="shared" si="1660"/>
        <v/>
      </c>
      <c r="CR577" s="535">
        <f t="shared" si="1660"/>
        <v>962.96399999999994</v>
      </c>
      <c r="CS577" s="535">
        <f t="shared" si="1660"/>
        <v>962.96399999999994</v>
      </c>
      <c r="CT577" s="535">
        <f t="shared" si="1660"/>
        <v>962.96399999999994</v>
      </c>
      <c r="CU577" s="536">
        <f t="shared" si="1660"/>
        <v>962.96399999999994</v>
      </c>
      <c r="CV577" s="536">
        <f t="shared" si="1660"/>
        <v>962.96399999999994</v>
      </c>
      <c r="CW577" s="536">
        <f t="shared" si="1660"/>
        <v>962.96399999999994</v>
      </c>
      <c r="CX577" s="535">
        <f t="shared" si="1660"/>
        <v>962.96399999999994</v>
      </c>
      <c r="CY577" s="535">
        <f t="shared" si="1660"/>
        <v>962.96399999999994</v>
      </c>
      <c r="CZ577" s="535">
        <f t="shared" si="1660"/>
        <v>962.96399999999994</v>
      </c>
      <c r="DA577" s="535">
        <f t="shared" si="1660"/>
        <v>962.96399999999994</v>
      </c>
      <c r="DB577" s="535" t="str">
        <f t="shared" si="1660"/>
        <v/>
      </c>
      <c r="DC577" s="534" t="str">
        <f t="shared" si="1660"/>
        <v/>
      </c>
      <c r="DD577" s="533" t="str">
        <f t="shared" si="1661"/>
        <v/>
      </c>
      <c r="DE577" s="866">
        <f t="shared" si="1631"/>
        <v>10</v>
      </c>
      <c r="DF577" s="822">
        <f t="shared" si="1632"/>
        <v>10</v>
      </c>
      <c r="DG577" s="822">
        <f t="shared" si="1633"/>
        <v>10</v>
      </c>
      <c r="DH577" s="822">
        <f t="shared" si="1634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 t="shared" ref="B578:K578" si="1670">IF(B576="","",B576*B577/B$46/365/$G$1)</f>
        <v/>
      </c>
      <c r="C578" s="742" t="str">
        <f t="shared" si="1670"/>
        <v/>
      </c>
      <c r="D578" s="742" t="str">
        <f t="shared" si="1670"/>
        <v/>
      </c>
      <c r="E578" s="742" t="str">
        <f t="shared" si="1670"/>
        <v/>
      </c>
      <c r="F578" s="742" t="str">
        <f t="shared" si="1670"/>
        <v/>
      </c>
      <c r="G578" s="742" t="str">
        <f t="shared" si="1670"/>
        <v/>
      </c>
      <c r="H578" s="742" t="str">
        <f t="shared" si="1670"/>
        <v/>
      </c>
      <c r="I578" s="742" t="str">
        <f t="shared" si="1670"/>
        <v/>
      </c>
      <c r="J578" s="742" t="str">
        <f t="shared" si="1670"/>
        <v/>
      </c>
      <c r="K578" s="742" t="str">
        <f t="shared" si="1670"/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 t="shared" ref="T578:AC578" si="1671">IF(T576="","",T576*T577/T$46/365/$G$1)</f>
        <v/>
      </c>
      <c r="U578" s="742" t="str">
        <f t="shared" si="1671"/>
        <v/>
      </c>
      <c r="V578" s="742" t="str">
        <f t="shared" si="1671"/>
        <v/>
      </c>
      <c r="W578" s="742" t="str">
        <f t="shared" si="1671"/>
        <v/>
      </c>
      <c r="X578" s="742" t="str">
        <f t="shared" si="1671"/>
        <v/>
      </c>
      <c r="Y578" s="742" t="str">
        <f t="shared" si="1671"/>
        <v/>
      </c>
      <c r="Z578" s="742" t="str">
        <f t="shared" si="1671"/>
        <v/>
      </c>
      <c r="AA578" s="742" t="str">
        <f t="shared" si="1671"/>
        <v/>
      </c>
      <c r="AB578" s="742" t="str">
        <f t="shared" si="1671"/>
        <v/>
      </c>
      <c r="AC578" s="742" t="str">
        <f t="shared" si="1671"/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 t="shared" ref="AL578:AU578" si="1672">IF(AL576="","",AL576*AL577/AL$46/365/$G$1)</f>
        <v/>
      </c>
      <c r="AM578" s="742" t="str">
        <f t="shared" si="1672"/>
        <v/>
      </c>
      <c r="AN578" s="742" t="str">
        <f t="shared" si="1672"/>
        <v/>
      </c>
      <c r="AO578" s="742" t="str">
        <f t="shared" si="1672"/>
        <v/>
      </c>
      <c r="AP578" s="742" t="str">
        <f t="shared" si="1672"/>
        <v/>
      </c>
      <c r="AQ578" s="742" t="str">
        <f t="shared" si="1672"/>
        <v/>
      </c>
      <c r="AR578" s="742" t="str">
        <f t="shared" si="1672"/>
        <v/>
      </c>
      <c r="AS578" s="742" t="str">
        <f t="shared" si="1672"/>
        <v/>
      </c>
      <c r="AT578" s="742" t="str">
        <f t="shared" si="1672"/>
        <v/>
      </c>
      <c r="AU578" s="742" t="str">
        <f t="shared" si="1672"/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1673">IF(BE576="","",BE576*BE577/BE$46/365/$G$1)</f>
        <v/>
      </c>
      <c r="BF578" s="1241" t="str">
        <f t="shared" si="1673"/>
        <v/>
      </c>
      <c r="BG578" s="1241" t="str">
        <f t="shared" si="1673"/>
        <v/>
      </c>
      <c r="BH578" s="1241" t="str">
        <f t="shared" si="1673"/>
        <v/>
      </c>
      <c r="BI578" s="1241" t="str">
        <f t="shared" si="1673"/>
        <v/>
      </c>
      <c r="BJ578" s="1241" t="str">
        <f t="shared" si="1673"/>
        <v/>
      </c>
      <c r="BK578" s="1241" t="str">
        <f t="shared" si="1673"/>
        <v/>
      </c>
      <c r="BL578" s="1241" t="str">
        <f t="shared" si="1673"/>
        <v/>
      </c>
      <c r="BM578" s="1241" t="str">
        <f t="shared" si="1673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>IF(BV576="","",BV576*BV577/BV$46/365/$G$1)</f>
        <v>8.9940597758405975E-4</v>
      </c>
      <c r="BW578" s="742">
        <f>IF(BW576="","",BW576*BW577/BW$46/365/$G$1)</f>
        <v>8.9940597758405975E-4</v>
      </c>
      <c r="BX578" s="742">
        <f>IF(BX576="","",BX576*BX577/BX$46/365/$G$1)</f>
        <v>8.9940597758405975E-4</v>
      </c>
      <c r="BY578" s="742" t="str">
        <f>IF(BY576="","",BY576*BY577/BY$46/365/$G$1)</f>
        <v/>
      </c>
      <c r="BZ578" s="607" t="str">
        <f t="shared" si="1655"/>
        <v/>
      </c>
      <c r="CA578" s="607" t="str">
        <f t="shared" si="1656"/>
        <v/>
      </c>
      <c r="CB578" s="607" t="str">
        <f t="shared" si="1657"/>
        <v/>
      </c>
      <c r="CC578" s="607" t="str">
        <f t="shared" si="1658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1659"/>
        <v/>
      </c>
      <c r="CF578" s="992" t="str">
        <f t="shared" si="1659"/>
        <v/>
      </c>
      <c r="CG578" s="992" t="str">
        <f t="shared" si="1659"/>
        <v/>
      </c>
      <c r="CH578" s="993" t="str">
        <f t="shared" si="1659"/>
        <v/>
      </c>
      <c r="CI578" s="993" t="str">
        <f t="shared" si="1659"/>
        <v/>
      </c>
      <c r="CJ578" s="992" t="str">
        <f t="shared" si="1659"/>
        <v/>
      </c>
      <c r="CK578" s="992" t="str">
        <f t="shared" si="1659"/>
        <v/>
      </c>
      <c r="CL578" s="992" t="str">
        <f t="shared" si="1659"/>
        <v/>
      </c>
      <c r="CM578" s="991" t="str">
        <f t="shared" si="1659"/>
        <v/>
      </c>
      <c r="CN578" s="521" t="str">
        <f t="shared" si="1660"/>
        <v/>
      </c>
      <c r="CO578" s="522" t="str">
        <f t="shared" si="1660"/>
        <v/>
      </c>
      <c r="CP578" s="523" t="str">
        <f t="shared" si="1660"/>
        <v/>
      </c>
      <c r="CQ578" s="523" t="str">
        <f t="shared" si="1660"/>
        <v/>
      </c>
      <c r="CR578" s="523" t="str">
        <f t="shared" si="1660"/>
        <v/>
      </c>
      <c r="CS578" s="523" t="str">
        <f t="shared" si="1660"/>
        <v/>
      </c>
      <c r="CT578" s="523" t="str">
        <f t="shared" si="1660"/>
        <v/>
      </c>
      <c r="CU578" s="524" t="str">
        <f t="shared" si="1660"/>
        <v/>
      </c>
      <c r="CV578" s="524" t="str">
        <f t="shared" si="1660"/>
        <v/>
      </c>
      <c r="CW578" s="524" t="str">
        <f t="shared" si="1660"/>
        <v/>
      </c>
      <c r="CX578" s="523" t="str">
        <f t="shared" si="1660"/>
        <v/>
      </c>
      <c r="CY578" s="523" t="str">
        <f t="shared" si="1660"/>
        <v/>
      </c>
      <c r="CZ578" s="523" t="str">
        <f t="shared" si="1660"/>
        <v/>
      </c>
      <c r="DA578" s="523" t="str">
        <f t="shared" si="1660"/>
        <v/>
      </c>
      <c r="DB578" s="523" t="str">
        <f t="shared" si="1660"/>
        <v/>
      </c>
      <c r="DC578" s="522" t="str">
        <f t="shared" si="1660"/>
        <v/>
      </c>
      <c r="DD578" s="521" t="str">
        <f t="shared" si="1661"/>
        <v/>
      </c>
      <c r="DE578" s="635">
        <f t="shared" si="1631"/>
        <v>0</v>
      </c>
      <c r="DF578" s="95">
        <f t="shared" si="1632"/>
        <v>0</v>
      </c>
      <c r="DG578" s="95">
        <f t="shared" si="1633"/>
        <v>0</v>
      </c>
      <c r="DH578" s="95">
        <f t="shared" si="1634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1655"/>
        <v/>
      </c>
      <c r="CA579" s="864" t="str">
        <f t="shared" si="1656"/>
        <v/>
      </c>
      <c r="CB579" s="864" t="str">
        <f t="shared" si="1657"/>
        <v/>
      </c>
      <c r="CC579" s="865" t="str">
        <f t="shared" si="1658"/>
        <v/>
      </c>
      <c r="CD579" s="508" t="str">
        <f t="shared" si="1659"/>
        <v/>
      </c>
      <c r="CE579" s="81" t="str">
        <f t="shared" si="1659"/>
        <v/>
      </c>
      <c r="CF579" s="81" t="str">
        <f t="shared" si="1659"/>
        <v/>
      </c>
      <c r="CG579" s="81" t="str">
        <f t="shared" si="1659"/>
        <v/>
      </c>
      <c r="CH579" s="145" t="str">
        <f t="shared" si="1659"/>
        <v/>
      </c>
      <c r="CI579" s="145" t="str">
        <f t="shared" si="1659"/>
        <v/>
      </c>
      <c r="CJ579" s="81" t="str">
        <f t="shared" si="1659"/>
        <v/>
      </c>
      <c r="CK579" s="81" t="str">
        <f t="shared" si="1659"/>
        <v/>
      </c>
      <c r="CL579" s="81" t="str">
        <f t="shared" si="1659"/>
        <v/>
      </c>
      <c r="CM579" s="508" t="str">
        <f t="shared" si="1659"/>
        <v/>
      </c>
      <c r="CN579" s="533" t="str">
        <f t="shared" si="1660"/>
        <v/>
      </c>
      <c r="CO579" s="534" t="str">
        <f t="shared" si="1660"/>
        <v/>
      </c>
      <c r="CP579" s="535" t="str">
        <f t="shared" si="1660"/>
        <v/>
      </c>
      <c r="CQ579" s="535" t="str">
        <f t="shared" si="1660"/>
        <v/>
      </c>
      <c r="CR579" s="535" t="str">
        <f t="shared" si="1660"/>
        <v/>
      </c>
      <c r="CS579" s="535" t="str">
        <f t="shared" si="1660"/>
        <v/>
      </c>
      <c r="CT579" s="535" t="str">
        <f t="shared" si="1660"/>
        <v/>
      </c>
      <c r="CU579" s="536" t="str">
        <f t="shared" si="1660"/>
        <v/>
      </c>
      <c r="CV579" s="536" t="str">
        <f t="shared" si="1660"/>
        <v/>
      </c>
      <c r="CW579" s="536" t="str">
        <f t="shared" si="1660"/>
        <v/>
      </c>
      <c r="CX579" s="535" t="str">
        <f t="shared" si="1660"/>
        <v/>
      </c>
      <c r="CY579" s="535" t="str">
        <f t="shared" si="1660"/>
        <v/>
      </c>
      <c r="CZ579" s="535" t="str">
        <f t="shared" si="1660"/>
        <v/>
      </c>
      <c r="DA579" s="535" t="str">
        <f t="shared" si="1660"/>
        <v/>
      </c>
      <c r="DB579" s="535" t="str">
        <f t="shared" si="1660"/>
        <v/>
      </c>
      <c r="DC579" s="534" t="str">
        <f t="shared" si="1660"/>
        <v/>
      </c>
      <c r="DD579" s="533" t="str">
        <f t="shared" si="1661"/>
        <v/>
      </c>
      <c r="DE579" s="866">
        <f t="shared" si="1631"/>
        <v>0</v>
      </c>
      <c r="DF579" s="822">
        <f t="shared" si="1632"/>
        <v>0</v>
      </c>
      <c r="DG579" s="822">
        <f t="shared" si="1633"/>
        <v>0</v>
      </c>
      <c r="DH579" s="822">
        <f t="shared" si="1634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1674">IF(C579="","",C575*C576*C579)</f>
        <v/>
      </c>
      <c r="D580" s="739" t="str">
        <f t="shared" si="1674"/>
        <v/>
      </c>
      <c r="E580" s="739" t="str">
        <f t="shared" si="1674"/>
        <v/>
      </c>
      <c r="F580" s="739" t="str">
        <f t="shared" si="1674"/>
        <v/>
      </c>
      <c r="G580" s="739" t="str">
        <f t="shared" si="1674"/>
        <v/>
      </c>
      <c r="H580" s="739" t="str">
        <f t="shared" si="1674"/>
        <v/>
      </c>
      <c r="I580" s="739" t="str">
        <f t="shared" si="1674"/>
        <v/>
      </c>
      <c r="J580" s="739" t="str">
        <f t="shared" si="1674"/>
        <v/>
      </c>
      <c r="K580" s="739" t="str">
        <f t="shared" si="1674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 t="shared" ref="T580:AC580" si="1675">IF(T579="","",T575*T576*T579)</f>
        <v/>
      </c>
      <c r="U580" s="739" t="str">
        <f t="shared" si="1675"/>
        <v/>
      </c>
      <c r="V580" s="739" t="str">
        <f t="shared" si="1675"/>
        <v/>
      </c>
      <c r="W580" s="739" t="str">
        <f t="shared" si="1675"/>
        <v/>
      </c>
      <c r="X580" s="739" t="str">
        <f t="shared" si="1675"/>
        <v/>
      </c>
      <c r="Y580" s="739" t="str">
        <f t="shared" si="1675"/>
        <v/>
      </c>
      <c r="Z580" s="739" t="str">
        <f t="shared" si="1675"/>
        <v/>
      </c>
      <c r="AA580" s="739" t="str">
        <f t="shared" si="1675"/>
        <v/>
      </c>
      <c r="AB580" s="739" t="str">
        <f t="shared" si="1675"/>
        <v/>
      </c>
      <c r="AC580" s="739" t="str">
        <f t="shared" si="1675"/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 t="shared" ref="AL580:AU580" si="1676">IF(AL579="","",AL575*AL576*AL579)</f>
        <v/>
      </c>
      <c r="AM580" s="739" t="str">
        <f t="shared" si="1676"/>
        <v/>
      </c>
      <c r="AN580" s="739" t="str">
        <f t="shared" si="1676"/>
        <v/>
      </c>
      <c r="AO580" s="739" t="str">
        <f t="shared" si="1676"/>
        <v/>
      </c>
      <c r="AP580" s="739" t="str">
        <f t="shared" si="1676"/>
        <v/>
      </c>
      <c r="AQ580" s="739" t="str">
        <f t="shared" si="1676"/>
        <v/>
      </c>
      <c r="AR580" s="739" t="str">
        <f t="shared" si="1676"/>
        <v/>
      </c>
      <c r="AS580" s="739" t="str">
        <f t="shared" si="1676"/>
        <v/>
      </c>
      <c r="AT580" s="739" t="str">
        <f t="shared" si="1676"/>
        <v/>
      </c>
      <c r="AU580" s="739" t="str">
        <f t="shared" si="1676"/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 t="shared" ref="BD580:BM580" si="1677">IF(BD579="","",BD575*BD576*BD579)</f>
        <v/>
      </c>
      <c r="BE580" s="739" t="str">
        <f t="shared" si="1677"/>
        <v/>
      </c>
      <c r="BF580" s="739" t="str">
        <f t="shared" si="1677"/>
        <v/>
      </c>
      <c r="BG580" s="739" t="str">
        <f t="shared" si="1677"/>
        <v/>
      </c>
      <c r="BH580" s="739" t="str">
        <f t="shared" si="1677"/>
        <v/>
      </c>
      <c r="BI580" s="739" t="str">
        <f t="shared" si="1677"/>
        <v/>
      </c>
      <c r="BJ580" s="739" t="str">
        <f t="shared" si="1677"/>
        <v/>
      </c>
      <c r="BK580" s="739" t="str">
        <f t="shared" si="1677"/>
        <v/>
      </c>
      <c r="BL580" s="739" t="str">
        <f t="shared" si="1677"/>
        <v/>
      </c>
      <c r="BM580" s="739" t="str">
        <f t="shared" si="1677"/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>IF(BV579="","",BV575*BV576*BV579)</f>
        <v>205.2</v>
      </c>
      <c r="BW580" s="739">
        <f>IF(BW579="","",BW575*BW576*BW579)</f>
        <v>205.2</v>
      </c>
      <c r="BX580" s="739">
        <f>IF(BX579="","",BX575*BX576*BX579)</f>
        <v>205.2</v>
      </c>
      <c r="BY580" s="739" t="str">
        <f>IF(BY579="","",BY575*BY576*BY579)</f>
        <v/>
      </c>
      <c r="BZ580" s="864" t="str">
        <f t="shared" si="1655"/>
        <v/>
      </c>
      <c r="CA580" s="864" t="str">
        <f t="shared" si="1656"/>
        <v/>
      </c>
      <c r="CB580" s="864" t="str">
        <f t="shared" si="1657"/>
        <v/>
      </c>
      <c r="CC580" s="865" t="str">
        <f t="shared" si="1658"/>
        <v/>
      </c>
      <c r="CD580" s="508" t="str">
        <f t="shared" si="1659"/>
        <v/>
      </c>
      <c r="CE580" s="81" t="str">
        <f t="shared" si="1659"/>
        <v/>
      </c>
      <c r="CF580" s="81" t="str">
        <f t="shared" si="1659"/>
        <v/>
      </c>
      <c r="CG580" s="81" t="str">
        <f t="shared" si="1659"/>
        <v/>
      </c>
      <c r="CH580" s="145" t="str">
        <f t="shared" si="1659"/>
        <v/>
      </c>
      <c r="CI580" s="145" t="str">
        <f t="shared" si="1659"/>
        <v/>
      </c>
      <c r="CJ580" s="81" t="str">
        <f t="shared" si="1659"/>
        <v/>
      </c>
      <c r="CK580" s="81" t="str">
        <f t="shared" si="1659"/>
        <v/>
      </c>
      <c r="CL580" s="81" t="str">
        <f t="shared" si="1659"/>
        <v/>
      </c>
      <c r="CM580" s="508" t="str">
        <f t="shared" si="1659"/>
        <v/>
      </c>
      <c r="CN580" s="533" t="str">
        <f t="shared" si="1660"/>
        <v/>
      </c>
      <c r="CO580" s="534" t="str">
        <f t="shared" si="1660"/>
        <v/>
      </c>
      <c r="CP580" s="535" t="str">
        <f t="shared" si="1660"/>
        <v/>
      </c>
      <c r="CQ580" s="535" t="str">
        <f t="shared" si="1660"/>
        <v/>
      </c>
      <c r="CR580" s="535" t="str">
        <f t="shared" si="1660"/>
        <v/>
      </c>
      <c r="CS580" s="535" t="str">
        <f t="shared" si="1660"/>
        <v/>
      </c>
      <c r="CT580" s="535" t="str">
        <f t="shared" si="1660"/>
        <v/>
      </c>
      <c r="CU580" s="536" t="str">
        <f t="shared" si="1660"/>
        <v/>
      </c>
      <c r="CV580" s="536" t="str">
        <f t="shared" si="1660"/>
        <v/>
      </c>
      <c r="CW580" s="536" t="str">
        <f t="shared" si="1660"/>
        <v/>
      </c>
      <c r="CX580" s="535" t="str">
        <f t="shared" si="1660"/>
        <v/>
      </c>
      <c r="CY580" s="535" t="str">
        <f t="shared" si="1660"/>
        <v/>
      </c>
      <c r="CZ580" s="535" t="str">
        <f t="shared" si="1660"/>
        <v/>
      </c>
      <c r="DA580" s="535" t="str">
        <f t="shared" si="1660"/>
        <v/>
      </c>
      <c r="DB580" s="535" t="str">
        <f t="shared" si="1660"/>
        <v/>
      </c>
      <c r="DC580" s="534" t="str">
        <f t="shared" si="1660"/>
        <v/>
      </c>
      <c r="DD580" s="533" t="str">
        <f t="shared" si="1661"/>
        <v/>
      </c>
      <c r="DE580" s="866">
        <f t="shared" si="1631"/>
        <v>0</v>
      </c>
      <c r="DF580" s="822">
        <f t="shared" si="1632"/>
        <v>0</v>
      </c>
      <c r="DG580" s="822">
        <f t="shared" si="1633"/>
        <v>0</v>
      </c>
      <c r="DH580" s="822">
        <f t="shared" si="1634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1659"/>
        <v/>
      </c>
      <c r="CE582" s="81" t="str">
        <f t="shared" si="1659"/>
        <v/>
      </c>
      <c r="CF582" s="81" t="str">
        <f t="shared" si="1659"/>
        <v/>
      </c>
      <c r="CG582" s="81" t="str">
        <f t="shared" si="1659"/>
        <v/>
      </c>
      <c r="CH582" s="145" t="str">
        <f t="shared" si="1659"/>
        <v/>
      </c>
      <c r="CI582" s="145" t="str">
        <f t="shared" si="1659"/>
        <v/>
      </c>
      <c r="CJ582" s="81" t="str">
        <f t="shared" si="1659"/>
        <v/>
      </c>
      <c r="CK582" s="81" t="str">
        <f t="shared" si="1659"/>
        <v/>
      </c>
      <c r="CL582" s="81" t="str">
        <f t="shared" si="1659"/>
        <v/>
      </c>
      <c r="CM582" s="508" t="str">
        <f t="shared" si="1659"/>
        <v/>
      </c>
      <c r="CN582" s="533" t="str">
        <f t="shared" si="1660"/>
        <v/>
      </c>
      <c r="CO582" s="534" t="str">
        <f t="shared" si="1660"/>
        <v/>
      </c>
      <c r="CP582" s="535" t="str">
        <f t="shared" si="1660"/>
        <v/>
      </c>
      <c r="CQ582" s="535" t="str">
        <f t="shared" si="1660"/>
        <v/>
      </c>
      <c r="CR582" s="535" t="str">
        <f t="shared" si="1660"/>
        <v/>
      </c>
      <c r="CS582" s="535" t="str">
        <f t="shared" si="1660"/>
        <v/>
      </c>
      <c r="CT582" s="535" t="str">
        <f t="shared" si="1660"/>
        <v/>
      </c>
      <c r="CU582" s="536" t="str">
        <f t="shared" si="1660"/>
        <v/>
      </c>
      <c r="CV582" s="536" t="str">
        <f t="shared" si="1660"/>
        <v/>
      </c>
      <c r="CW582" s="536" t="str">
        <f t="shared" si="1660"/>
        <v/>
      </c>
      <c r="CX582" s="535" t="str">
        <f t="shared" si="1660"/>
        <v/>
      </c>
      <c r="CY582" s="535" t="str">
        <f t="shared" si="1660"/>
        <v/>
      </c>
      <c r="CZ582" s="535" t="str">
        <f t="shared" si="1660"/>
        <v/>
      </c>
      <c r="DA582" s="535" t="str">
        <f t="shared" si="1660"/>
        <v/>
      </c>
      <c r="DB582" s="535" t="str">
        <f t="shared" si="1660"/>
        <v/>
      </c>
      <c r="DC582" s="534" t="str">
        <f t="shared" si="1660"/>
        <v/>
      </c>
      <c r="DD582" s="533" t="str">
        <f t="shared" si="1661"/>
        <v/>
      </c>
      <c r="DE582" s="866">
        <f t="shared" ref="DE582:DE592" si="1678">COUNT(B582:R582)</f>
        <v>0</v>
      </c>
      <c r="DF582" s="822">
        <f t="shared" ref="DF582:DF592" si="1679">COUNT(T582:AJ582)</f>
        <v>0</v>
      </c>
      <c r="DG582" s="822">
        <f t="shared" ref="DG582:DG592" si="1680">COUNT(AL582:BB582)</f>
        <v>0</v>
      </c>
      <c r="DH582" s="822">
        <f t="shared" ref="DH582:DH592" si="168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1682">2670*$K$1</f>
        <v>11178.755999999999</v>
      </c>
      <c r="D583" s="740">
        <f t="shared" si="1682"/>
        <v>11178.755999999999</v>
      </c>
      <c r="E583" s="740">
        <f t="shared" si="1682"/>
        <v>11178.755999999999</v>
      </c>
      <c r="F583" s="740">
        <f t="shared" si="1682"/>
        <v>11178.755999999999</v>
      </c>
      <c r="G583" s="740">
        <f t="shared" si="1682"/>
        <v>11178.755999999999</v>
      </c>
      <c r="H583" s="740">
        <f t="shared" si="1682"/>
        <v>11178.755999999999</v>
      </c>
      <c r="I583" s="740">
        <f t="shared" si="1682"/>
        <v>11178.755999999999</v>
      </c>
      <c r="J583" s="740">
        <f t="shared" si="1682"/>
        <v>11178.755999999999</v>
      </c>
      <c r="K583" s="740">
        <f t="shared" si="168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1683">2670*$K$1</f>
        <v>11178.755999999999</v>
      </c>
      <c r="V583" s="740">
        <f t="shared" si="1683"/>
        <v>11178.755999999999</v>
      </c>
      <c r="W583" s="740">
        <f t="shared" si="1683"/>
        <v>11178.755999999999</v>
      </c>
      <c r="X583" s="740">
        <f t="shared" si="1683"/>
        <v>11178.755999999999</v>
      </c>
      <c r="Y583" s="740">
        <f t="shared" si="1683"/>
        <v>11178.755999999999</v>
      </c>
      <c r="Z583" s="740">
        <f t="shared" si="1683"/>
        <v>11178.755999999999</v>
      </c>
      <c r="AA583" s="740">
        <f t="shared" si="1683"/>
        <v>11178.755999999999</v>
      </c>
      <c r="AB583" s="740">
        <f t="shared" si="1683"/>
        <v>11178.755999999999</v>
      </c>
      <c r="AC583" s="740">
        <f t="shared" si="168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1684">2670*$K$1</f>
        <v>11178.755999999999</v>
      </c>
      <c r="AN583" s="740">
        <f t="shared" si="1684"/>
        <v>11178.755999999999</v>
      </c>
      <c r="AO583" s="740">
        <f t="shared" si="1684"/>
        <v>11178.755999999999</v>
      </c>
      <c r="AP583" s="740">
        <f t="shared" si="1684"/>
        <v>11178.755999999999</v>
      </c>
      <c r="AQ583" s="740">
        <f t="shared" si="1684"/>
        <v>11178.755999999999</v>
      </c>
      <c r="AR583" s="740">
        <f t="shared" si="1684"/>
        <v>11178.755999999999</v>
      </c>
      <c r="AS583" s="740">
        <f t="shared" si="1684"/>
        <v>11178.755999999999</v>
      </c>
      <c r="AT583" s="740">
        <f t="shared" si="1684"/>
        <v>11178.755999999999</v>
      </c>
      <c r="AU583" s="740">
        <f t="shared" si="168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1685">2670*$K$1</f>
        <v>11178.755999999999</v>
      </c>
      <c r="BF583" s="1236">
        <f t="shared" si="1685"/>
        <v>11178.755999999999</v>
      </c>
      <c r="BG583" s="1236">
        <f t="shared" si="1685"/>
        <v>11178.755999999999</v>
      </c>
      <c r="BH583" s="1236">
        <f t="shared" si="1685"/>
        <v>11178.755999999999</v>
      </c>
      <c r="BI583" s="1236">
        <f t="shared" si="1685"/>
        <v>11178.755999999999</v>
      </c>
      <c r="BJ583" s="1236">
        <f t="shared" si="1685"/>
        <v>11178.755999999999</v>
      </c>
      <c r="BK583" s="1236">
        <f t="shared" si="1685"/>
        <v>11178.755999999999</v>
      </c>
      <c r="BL583" s="1236">
        <f t="shared" si="1685"/>
        <v>11178.755999999999</v>
      </c>
      <c r="BM583" s="1236">
        <f t="shared" si="168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>2670*$K$1</f>
        <v>11178.755999999999</v>
      </c>
      <c r="BW583" s="740">
        <f>2670*$K$1</f>
        <v>11178.755999999999</v>
      </c>
      <c r="BX583" s="740">
        <f>2670*$K$1</f>
        <v>11178.755999999999</v>
      </c>
      <c r="BY583" s="740">
        <f>2670*$K$1</f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1659"/>
        <v>11178.755999999999</v>
      </c>
      <c r="CE583" s="81">
        <f t="shared" si="1659"/>
        <v>11178.755999999999</v>
      </c>
      <c r="CF583" s="81">
        <f t="shared" si="1659"/>
        <v>11178.755999999999</v>
      </c>
      <c r="CG583" s="81">
        <f t="shared" si="1659"/>
        <v>11178.755999999999</v>
      </c>
      <c r="CH583" s="145">
        <f t="shared" si="1659"/>
        <v>11178.755999999999</v>
      </c>
      <c r="CI583" s="145">
        <f t="shared" si="1659"/>
        <v>11178.755999999999</v>
      </c>
      <c r="CJ583" s="81">
        <f t="shared" si="1659"/>
        <v>11178.755999999999</v>
      </c>
      <c r="CK583" s="81">
        <f t="shared" si="1659"/>
        <v>11178.755999999999</v>
      </c>
      <c r="CL583" s="81">
        <f t="shared" si="1659"/>
        <v>11178.755999999999</v>
      </c>
      <c r="CM583" s="508">
        <f t="shared" si="1659"/>
        <v>11178.755999999999</v>
      </c>
      <c r="CN583" s="533" t="str">
        <f t="shared" si="1660"/>
        <v/>
      </c>
      <c r="CO583" s="534" t="str">
        <f t="shared" si="1660"/>
        <v/>
      </c>
      <c r="CP583" s="535" t="str">
        <f t="shared" si="1660"/>
        <v/>
      </c>
      <c r="CQ583" s="535" t="str">
        <f t="shared" si="1660"/>
        <v/>
      </c>
      <c r="CR583" s="535">
        <f t="shared" si="1660"/>
        <v>11178.755999999999</v>
      </c>
      <c r="CS583" s="535">
        <f t="shared" si="1660"/>
        <v>11178.755999999999</v>
      </c>
      <c r="CT583" s="535">
        <f t="shared" si="1660"/>
        <v>11178.755999999999</v>
      </c>
      <c r="CU583" s="536">
        <f t="shared" si="1660"/>
        <v>11178.755999999999</v>
      </c>
      <c r="CV583" s="536">
        <f t="shared" si="1660"/>
        <v>11178.755999999999</v>
      </c>
      <c r="CW583" s="536">
        <f t="shared" si="1660"/>
        <v>11178.755999999999</v>
      </c>
      <c r="CX583" s="535">
        <f t="shared" si="1660"/>
        <v>11178.755999999999</v>
      </c>
      <c r="CY583" s="535">
        <f t="shared" si="1660"/>
        <v>11178.755999999999</v>
      </c>
      <c r="CZ583" s="535">
        <f t="shared" si="1660"/>
        <v>11178.755999999999</v>
      </c>
      <c r="DA583" s="535">
        <f t="shared" si="1660"/>
        <v>11178.755999999999</v>
      </c>
      <c r="DB583" s="535" t="str">
        <f t="shared" si="1660"/>
        <v/>
      </c>
      <c r="DC583" s="534" t="str">
        <f t="shared" si="1660"/>
        <v/>
      </c>
      <c r="DD583" s="533" t="str">
        <f t="shared" si="1661"/>
        <v/>
      </c>
      <c r="DE583" s="866">
        <f t="shared" si="1678"/>
        <v>10</v>
      </c>
      <c r="DF583" s="822">
        <f t="shared" si="1679"/>
        <v>10</v>
      </c>
      <c r="DG583" s="822">
        <f t="shared" si="1680"/>
        <v>10</v>
      </c>
      <c r="DH583" s="822">
        <f t="shared" si="168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 t="shared" ref="B584:K584" si="1686">IF(B582="","",B582*B583/B$46/365/$G$1)</f>
        <v/>
      </c>
      <c r="C584" s="742" t="str">
        <f t="shared" si="1686"/>
        <v/>
      </c>
      <c r="D584" s="742" t="str">
        <f t="shared" si="1686"/>
        <v/>
      </c>
      <c r="E584" s="742" t="str">
        <f t="shared" si="1686"/>
        <v/>
      </c>
      <c r="F584" s="742" t="str">
        <f t="shared" si="1686"/>
        <v/>
      </c>
      <c r="G584" s="742" t="str">
        <f t="shared" si="1686"/>
        <v/>
      </c>
      <c r="H584" s="742" t="str">
        <f t="shared" si="1686"/>
        <v/>
      </c>
      <c r="I584" s="742" t="str">
        <f t="shared" si="1686"/>
        <v/>
      </c>
      <c r="J584" s="742" t="str">
        <f t="shared" si="1686"/>
        <v/>
      </c>
      <c r="K584" s="742" t="str">
        <f t="shared" si="1686"/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 t="shared" ref="T584:AC584" si="1687">IF(T582="","",T582*T583/T$46/365/$G$1)</f>
        <v/>
      </c>
      <c r="U584" s="742" t="str">
        <f t="shared" si="1687"/>
        <v/>
      </c>
      <c r="V584" s="742" t="str">
        <f t="shared" si="1687"/>
        <v/>
      </c>
      <c r="W584" s="742" t="str">
        <f t="shared" si="1687"/>
        <v/>
      </c>
      <c r="X584" s="742" t="str">
        <f t="shared" si="1687"/>
        <v/>
      </c>
      <c r="Y584" s="742" t="str">
        <f t="shared" si="1687"/>
        <v/>
      </c>
      <c r="Z584" s="742" t="str">
        <f t="shared" si="1687"/>
        <v/>
      </c>
      <c r="AA584" s="742" t="str">
        <f t="shared" si="1687"/>
        <v/>
      </c>
      <c r="AB584" s="742" t="str">
        <f t="shared" si="1687"/>
        <v/>
      </c>
      <c r="AC584" s="742" t="str">
        <f t="shared" si="1687"/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 t="shared" ref="AL584:AU584" si="1688">IF(AL582="","",AL582*AL583/AL$46/365/$G$1)</f>
        <v/>
      </c>
      <c r="AM584" s="742" t="str">
        <f t="shared" si="1688"/>
        <v/>
      </c>
      <c r="AN584" s="742" t="str">
        <f t="shared" si="1688"/>
        <v/>
      </c>
      <c r="AO584" s="742" t="str">
        <f t="shared" si="1688"/>
        <v/>
      </c>
      <c r="AP584" s="742" t="str">
        <f t="shared" si="1688"/>
        <v/>
      </c>
      <c r="AQ584" s="742" t="str">
        <f t="shared" si="1688"/>
        <v/>
      </c>
      <c r="AR584" s="742" t="str">
        <f t="shared" si="1688"/>
        <v/>
      </c>
      <c r="AS584" s="742" t="str">
        <f t="shared" si="1688"/>
        <v/>
      </c>
      <c r="AT584" s="742" t="str">
        <f t="shared" si="1688"/>
        <v/>
      </c>
      <c r="AU584" s="742" t="str">
        <f t="shared" si="1688"/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1689">IF(BE582="","",BE582*BE583/BE$46/365/$G$1)</f>
        <v/>
      </c>
      <c r="BF584" s="1241" t="str">
        <f t="shared" si="1689"/>
        <v/>
      </c>
      <c r="BG584" s="1241" t="str">
        <f t="shared" si="1689"/>
        <v/>
      </c>
      <c r="BH584" s="1241" t="str">
        <f t="shared" si="1689"/>
        <v/>
      </c>
      <c r="BI584" s="1241" t="str">
        <f t="shared" si="1689"/>
        <v/>
      </c>
      <c r="BJ584" s="1241" t="str">
        <f t="shared" si="1689"/>
        <v/>
      </c>
      <c r="BK584" s="1241" t="str">
        <f t="shared" si="1689"/>
        <v/>
      </c>
      <c r="BL584" s="1241" t="str">
        <f t="shared" si="1689"/>
        <v/>
      </c>
      <c r="BM584" s="1241" t="str">
        <f t="shared" si="1689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>IF(BW581="","",BW581*BW582*BW583/BW$46/365/$G$1)</f>
        <v/>
      </c>
      <c r="BX584" s="742" t="str">
        <f>IF(BX581="","",BX581*BX582*BX583/BX$46/365/$G$1)</f>
        <v/>
      </c>
      <c r="BY584" s="742" t="str">
        <f>IF(BY581="","",BY581*BY582*BY583/BY$46/365/$G$1)</f>
        <v/>
      </c>
      <c r="BZ584" s="607" t="str">
        <f>IF(DE584&lt;3,"",(SUM(B584:R584)-MIN(B584:R584)-MAX(B584:R584))/(DE584-2))</f>
        <v/>
      </c>
      <c r="CA584" s="607" t="str">
        <f>IF(DF584&lt;3,"",(SUM(T584:AJ584)-MIN(T584:AJ584)-MAX(T584:AJ584))/(DF584-2))</f>
        <v/>
      </c>
      <c r="CB584" s="607" t="str">
        <f>IF(DG584&lt;3,"",(SUM(AL584:BB584)-MIN(AL584:BB584)-MAX(AL584:BB584))/(DG584-2))</f>
        <v/>
      </c>
      <c r="CC584" s="673" t="str">
        <f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16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1690"/>
        <v/>
      </c>
      <c r="CG584" s="992" t="str">
        <f t="shared" si="1690"/>
        <v/>
      </c>
      <c r="CH584" s="993" t="str">
        <f t="shared" si="1690"/>
        <v/>
      </c>
      <c r="CI584" s="993" t="str">
        <f t="shared" si="1690"/>
        <v/>
      </c>
      <c r="CJ584" s="992" t="str">
        <f t="shared" si="1690"/>
        <v/>
      </c>
      <c r="CK584" s="992" t="str">
        <f t="shared" si="1690"/>
        <v/>
      </c>
      <c r="CL584" s="992" t="str">
        <f t="shared" si="1690"/>
        <v/>
      </c>
      <c r="CM584" s="991" t="str">
        <f t="shared" si="1690"/>
        <v/>
      </c>
      <c r="CN584" s="521" t="str">
        <f t="shared" ref="CN584:DC595" si="16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1691"/>
        <v/>
      </c>
      <c r="CP584" s="523" t="str">
        <f t="shared" si="1691"/>
        <v/>
      </c>
      <c r="CQ584" s="523" t="str">
        <f t="shared" si="1691"/>
        <v/>
      </c>
      <c r="CR584" s="523" t="str">
        <f t="shared" si="1691"/>
        <v/>
      </c>
      <c r="CS584" s="523" t="str">
        <f t="shared" si="1691"/>
        <v/>
      </c>
      <c r="CT584" s="523" t="str">
        <f t="shared" si="1691"/>
        <v/>
      </c>
      <c r="CU584" s="524" t="str">
        <f t="shared" si="1691"/>
        <v/>
      </c>
      <c r="CV584" s="524" t="str">
        <f t="shared" si="1691"/>
        <v/>
      </c>
      <c r="CW584" s="524" t="str">
        <f t="shared" si="1691"/>
        <v/>
      </c>
      <c r="CX584" s="523" t="str">
        <f t="shared" si="1691"/>
        <v/>
      </c>
      <c r="CY584" s="523" t="str">
        <f t="shared" si="1691"/>
        <v/>
      </c>
      <c r="CZ584" s="523" t="str">
        <f t="shared" si="1691"/>
        <v/>
      </c>
      <c r="DA584" s="523" t="str">
        <f t="shared" si="1691"/>
        <v/>
      </c>
      <c r="DB584" s="523" t="str">
        <f t="shared" si="1691"/>
        <v/>
      </c>
      <c r="DC584" s="522" t="str">
        <f t="shared" si="1691"/>
        <v/>
      </c>
      <c r="DD584" s="521" t="str">
        <f t="shared" ref="DD584:DD590" si="169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1678"/>
        <v>0</v>
      </c>
      <c r="DF584" s="95">
        <f t="shared" si="1679"/>
        <v>0</v>
      </c>
      <c r="DG584" s="95">
        <f t="shared" si="1680"/>
        <v>0</v>
      </c>
      <c r="DH584" s="95">
        <f t="shared" si="168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1659"/>
        <v/>
      </c>
      <c r="CE585" s="81" t="str">
        <f t="shared" si="1690"/>
        <v/>
      </c>
      <c r="CF585" s="81" t="str">
        <f t="shared" si="1690"/>
        <v/>
      </c>
      <c r="CG585" s="81" t="str">
        <f t="shared" si="1690"/>
        <v/>
      </c>
      <c r="CH585" s="145" t="str">
        <f t="shared" si="1690"/>
        <v/>
      </c>
      <c r="CI585" s="145" t="str">
        <f t="shared" si="1690"/>
        <v/>
      </c>
      <c r="CJ585" s="81" t="str">
        <f t="shared" si="1690"/>
        <v/>
      </c>
      <c r="CK585" s="81" t="str">
        <f t="shared" si="1690"/>
        <v/>
      </c>
      <c r="CL585" s="81" t="str">
        <f t="shared" si="1690"/>
        <v/>
      </c>
      <c r="CM585" s="508" t="str">
        <f t="shared" si="1690"/>
        <v/>
      </c>
      <c r="CN585" s="533" t="str">
        <f t="shared" si="1660"/>
        <v/>
      </c>
      <c r="CO585" s="534" t="str">
        <f t="shared" si="1660"/>
        <v/>
      </c>
      <c r="CP585" s="535" t="str">
        <f t="shared" si="1660"/>
        <v/>
      </c>
      <c r="CQ585" s="535" t="str">
        <f t="shared" si="1660"/>
        <v/>
      </c>
      <c r="CR585" s="535" t="str">
        <f t="shared" si="1660"/>
        <v/>
      </c>
      <c r="CS585" s="535" t="str">
        <f t="shared" si="1660"/>
        <v/>
      </c>
      <c r="CT585" s="535" t="str">
        <f t="shared" si="1660"/>
        <v/>
      </c>
      <c r="CU585" s="536" t="str">
        <f t="shared" si="1660"/>
        <v/>
      </c>
      <c r="CV585" s="536" t="str">
        <f t="shared" si="1660"/>
        <v/>
      </c>
      <c r="CW585" s="536" t="str">
        <f t="shared" si="1660"/>
        <v/>
      </c>
      <c r="CX585" s="535" t="str">
        <f t="shared" si="1660"/>
        <v/>
      </c>
      <c r="CY585" s="535" t="str">
        <f t="shared" si="1660"/>
        <v/>
      </c>
      <c r="CZ585" s="535" t="str">
        <f t="shared" si="1660"/>
        <v/>
      </c>
      <c r="DA585" s="535" t="str">
        <f t="shared" si="1660"/>
        <v/>
      </c>
      <c r="DB585" s="535" t="str">
        <f t="shared" si="1660"/>
        <v/>
      </c>
      <c r="DC585" s="534" t="str">
        <f t="shared" si="1691"/>
        <v/>
      </c>
      <c r="DD585" s="533" t="str">
        <f t="shared" si="1661"/>
        <v/>
      </c>
      <c r="DE585" s="866">
        <f t="shared" si="1678"/>
        <v>0</v>
      </c>
      <c r="DF585" s="822">
        <f t="shared" si="1679"/>
        <v>0</v>
      </c>
      <c r="DG585" s="822">
        <f t="shared" si="1680"/>
        <v>0</v>
      </c>
      <c r="DH585" s="822">
        <f t="shared" si="168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 t="shared" ref="B586:K586" si="1693">IF(B585="","",B582*B585)</f>
        <v/>
      </c>
      <c r="C586" s="739" t="str">
        <f t="shared" si="1693"/>
        <v/>
      </c>
      <c r="D586" s="739" t="str">
        <f t="shared" si="1693"/>
        <v/>
      </c>
      <c r="E586" s="739" t="str">
        <f t="shared" si="1693"/>
        <v/>
      </c>
      <c r="F586" s="739" t="str">
        <f t="shared" si="1693"/>
        <v/>
      </c>
      <c r="G586" s="739" t="str">
        <f t="shared" si="1693"/>
        <v/>
      </c>
      <c r="H586" s="739" t="str">
        <f t="shared" si="1693"/>
        <v/>
      </c>
      <c r="I586" s="739" t="str">
        <f t="shared" si="1693"/>
        <v/>
      </c>
      <c r="J586" s="739" t="str">
        <f t="shared" si="1693"/>
        <v/>
      </c>
      <c r="K586" s="739" t="str">
        <f t="shared" si="1693"/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 t="shared" ref="T586:AC586" si="1694">IF(T585="","",T582*T585)</f>
        <v/>
      </c>
      <c r="U586" s="739" t="str">
        <f t="shared" si="1694"/>
        <v/>
      </c>
      <c r="V586" s="739" t="str">
        <f t="shared" si="1694"/>
        <v/>
      </c>
      <c r="W586" s="739" t="str">
        <f t="shared" si="1694"/>
        <v/>
      </c>
      <c r="X586" s="739" t="str">
        <f t="shared" si="1694"/>
        <v/>
      </c>
      <c r="Y586" s="739" t="str">
        <f t="shared" si="1694"/>
        <v/>
      </c>
      <c r="Z586" s="739" t="str">
        <f t="shared" si="1694"/>
        <v/>
      </c>
      <c r="AA586" s="739" t="str">
        <f t="shared" si="1694"/>
        <v/>
      </c>
      <c r="AB586" s="739" t="str">
        <f t="shared" si="1694"/>
        <v/>
      </c>
      <c r="AC586" s="739" t="str">
        <f t="shared" si="1694"/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 t="shared" ref="AL586:AU586" si="1695">IF(AL585="","",AL582*AL585)</f>
        <v/>
      </c>
      <c r="AM586" s="739" t="str">
        <f t="shared" si="1695"/>
        <v/>
      </c>
      <c r="AN586" s="739" t="str">
        <f t="shared" si="1695"/>
        <v/>
      </c>
      <c r="AO586" s="739" t="str">
        <f t="shared" si="1695"/>
        <v/>
      </c>
      <c r="AP586" s="739" t="str">
        <f t="shared" si="1695"/>
        <v/>
      </c>
      <c r="AQ586" s="739" t="str">
        <f t="shared" si="1695"/>
        <v/>
      </c>
      <c r="AR586" s="739" t="str">
        <f t="shared" si="1695"/>
        <v/>
      </c>
      <c r="AS586" s="739" t="str">
        <f t="shared" si="1695"/>
        <v/>
      </c>
      <c r="AT586" s="739" t="str">
        <f t="shared" si="1695"/>
        <v/>
      </c>
      <c r="AU586" s="739" t="str">
        <f t="shared" si="1695"/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1696">IF(BE585="","",BE582*BE585)</f>
        <v/>
      </c>
      <c r="BF586" s="1237" t="str">
        <f t="shared" si="1696"/>
        <v/>
      </c>
      <c r="BG586" s="1237" t="str">
        <f t="shared" si="1696"/>
        <v/>
      </c>
      <c r="BH586" s="1237" t="str">
        <f t="shared" si="1696"/>
        <v/>
      </c>
      <c r="BI586" s="1237" t="str">
        <f t="shared" si="1696"/>
        <v/>
      </c>
      <c r="BJ586" s="1237" t="str">
        <f t="shared" si="1696"/>
        <v/>
      </c>
      <c r="BK586" s="1237" t="str">
        <f t="shared" si="1696"/>
        <v/>
      </c>
      <c r="BL586" s="1237" t="str">
        <f t="shared" si="1696"/>
        <v/>
      </c>
      <c r="BM586" s="1237" t="str">
        <f t="shared" si="1696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>IF(BV585="","",BV582*BV585)</f>
        <v/>
      </c>
      <c r="BW586" s="739" t="str">
        <f>IF(BW585="","",BW582*BW585)</f>
        <v/>
      </c>
      <c r="BX586" s="739" t="str">
        <f>IF(BX585="","",BX582*BX585)</f>
        <v/>
      </c>
      <c r="BY586" s="739" t="str">
        <f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690"/>
        <v/>
      </c>
      <c r="CF586" s="81" t="str">
        <f t="shared" si="1690"/>
        <v/>
      </c>
      <c r="CG586" s="81" t="str">
        <f t="shared" si="1690"/>
        <v/>
      </c>
      <c r="CH586" s="145" t="str">
        <f t="shared" si="1690"/>
        <v/>
      </c>
      <c r="CI586" s="145" t="str">
        <f t="shared" si="1690"/>
        <v/>
      </c>
      <c r="CJ586" s="81" t="str">
        <f t="shared" si="1690"/>
        <v/>
      </c>
      <c r="CK586" s="81" t="str">
        <f t="shared" si="1690"/>
        <v/>
      </c>
      <c r="CL586" s="81" t="str">
        <f t="shared" si="1690"/>
        <v/>
      </c>
      <c r="CM586" s="508" t="str">
        <f t="shared" si="1690"/>
        <v/>
      </c>
      <c r="CN586" s="533" t="str">
        <f t="shared" ref="CN586:DB586" si="169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1697"/>
        <v/>
      </c>
      <c r="CP586" s="535" t="str">
        <f t="shared" si="1697"/>
        <v/>
      </c>
      <c r="CQ586" s="535" t="str">
        <f t="shared" si="1697"/>
        <v/>
      </c>
      <c r="CR586" s="535" t="str">
        <f t="shared" si="1697"/>
        <v/>
      </c>
      <c r="CS586" s="535" t="str">
        <f t="shared" si="1697"/>
        <v/>
      </c>
      <c r="CT586" s="535" t="str">
        <f t="shared" si="1697"/>
        <v/>
      </c>
      <c r="CU586" s="536" t="str">
        <f t="shared" si="1697"/>
        <v/>
      </c>
      <c r="CV586" s="536" t="str">
        <f t="shared" si="1697"/>
        <v/>
      </c>
      <c r="CW586" s="536" t="str">
        <f t="shared" si="1697"/>
        <v/>
      </c>
      <c r="CX586" s="535" t="str">
        <f t="shared" si="1697"/>
        <v/>
      </c>
      <c r="CY586" s="535" t="str">
        <f t="shared" si="1697"/>
        <v/>
      </c>
      <c r="CZ586" s="535" t="str">
        <f t="shared" si="1697"/>
        <v/>
      </c>
      <c r="DA586" s="535" t="str">
        <f t="shared" si="1697"/>
        <v/>
      </c>
      <c r="DB586" s="535" t="str">
        <f t="shared" si="1697"/>
        <v/>
      </c>
      <c r="DC586" s="534" t="str">
        <f t="shared" si="1691"/>
        <v/>
      </c>
      <c r="DD586" s="533" t="str">
        <f t="shared" si="1661"/>
        <v/>
      </c>
      <c r="DE586" s="866">
        <f t="shared" si="1678"/>
        <v>0</v>
      </c>
      <c r="DF586" s="822">
        <f t="shared" si="1679"/>
        <v>0</v>
      </c>
      <c r="DG586" s="822">
        <f t="shared" si="1680"/>
        <v>0</v>
      </c>
      <c r="DH586" s="822">
        <f t="shared" si="168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1691"/>
        <v/>
      </c>
      <c r="CO587" s="522" t="str">
        <f t="shared" si="1691"/>
        <v/>
      </c>
      <c r="CP587" s="523" t="str">
        <f t="shared" si="1691"/>
        <v/>
      </c>
      <c r="CQ587" s="523" t="str">
        <f t="shared" si="1691"/>
        <v/>
      </c>
      <c r="CR587" s="523" t="str">
        <f t="shared" si="1691"/>
        <v/>
      </c>
      <c r="CS587" s="523" t="str">
        <f t="shared" si="1691"/>
        <v/>
      </c>
      <c r="CT587" s="523" t="str">
        <f t="shared" si="1691"/>
        <v/>
      </c>
      <c r="CU587" s="524" t="str">
        <f t="shared" si="1691"/>
        <v/>
      </c>
      <c r="CV587" s="524" t="str">
        <f t="shared" si="1691"/>
        <v/>
      </c>
      <c r="CW587" s="524" t="str">
        <f t="shared" si="1691"/>
        <v/>
      </c>
      <c r="CX587" s="523" t="str">
        <f t="shared" si="1691"/>
        <v/>
      </c>
      <c r="CY587" s="523" t="str">
        <f t="shared" si="1691"/>
        <v/>
      </c>
      <c r="CZ587" s="523" t="str">
        <f t="shared" si="1691"/>
        <v/>
      </c>
      <c r="DA587" s="523" t="str">
        <f t="shared" si="1691"/>
        <v/>
      </c>
      <c r="DB587" s="523" t="str">
        <f t="shared" si="1691"/>
        <v/>
      </c>
      <c r="DC587" s="522" t="str">
        <f t="shared" si="1691"/>
        <v/>
      </c>
      <c r="DD587" s="521" t="str">
        <f t="shared" si="1692"/>
        <v/>
      </c>
      <c r="DE587" s="866">
        <f t="shared" si="1678"/>
        <v>0</v>
      </c>
      <c r="DF587" s="822">
        <f t="shared" si="1679"/>
        <v>0</v>
      </c>
      <c r="DG587" s="822">
        <f t="shared" si="1680"/>
        <v>0</v>
      </c>
      <c r="DH587" s="822">
        <f t="shared" si="168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1690"/>
        <v/>
      </c>
      <c r="CF588" s="81" t="str">
        <f t="shared" si="1690"/>
        <v/>
      </c>
      <c r="CG588" s="81" t="str">
        <f t="shared" si="1690"/>
        <v/>
      </c>
      <c r="CH588" s="145" t="str">
        <f t="shared" si="1690"/>
        <v/>
      </c>
      <c r="CI588" s="145" t="str">
        <f t="shared" si="1690"/>
        <v/>
      </c>
      <c r="CJ588" s="81" t="str">
        <f t="shared" si="1690"/>
        <v/>
      </c>
      <c r="CK588" s="81" t="str">
        <f t="shared" si="1690"/>
        <v/>
      </c>
      <c r="CL588" s="81" t="str">
        <f t="shared" si="1690"/>
        <v/>
      </c>
      <c r="CM588" s="508" t="str">
        <f t="shared" si="1690"/>
        <v/>
      </c>
      <c r="CN588" s="533" t="str">
        <f t="shared" si="1691"/>
        <v/>
      </c>
      <c r="CO588" s="534" t="str">
        <f t="shared" si="1691"/>
        <v/>
      </c>
      <c r="CP588" s="535" t="str">
        <f t="shared" si="1691"/>
        <v/>
      </c>
      <c r="CQ588" s="535" t="str">
        <f t="shared" si="1691"/>
        <v/>
      </c>
      <c r="CR588" s="535" t="str">
        <f t="shared" si="1691"/>
        <v/>
      </c>
      <c r="CS588" s="535" t="str">
        <f t="shared" si="1691"/>
        <v/>
      </c>
      <c r="CT588" s="535" t="str">
        <f t="shared" si="1691"/>
        <v/>
      </c>
      <c r="CU588" s="536" t="str">
        <f t="shared" si="1691"/>
        <v/>
      </c>
      <c r="CV588" s="536" t="str">
        <f t="shared" si="1691"/>
        <v/>
      </c>
      <c r="CW588" s="536" t="str">
        <f t="shared" si="1691"/>
        <v/>
      </c>
      <c r="CX588" s="535" t="str">
        <f t="shared" si="1691"/>
        <v/>
      </c>
      <c r="CY588" s="535" t="str">
        <f t="shared" si="1691"/>
        <v/>
      </c>
      <c r="CZ588" s="535" t="str">
        <f t="shared" si="1691"/>
        <v/>
      </c>
      <c r="DA588" s="535" t="str">
        <f t="shared" si="1691"/>
        <v/>
      </c>
      <c r="DB588" s="535" t="str">
        <f t="shared" si="1691"/>
        <v/>
      </c>
      <c r="DC588" s="534" t="str">
        <f t="shared" si="1691"/>
        <v/>
      </c>
      <c r="DD588" s="533" t="str">
        <f t="shared" si="1661"/>
        <v/>
      </c>
      <c r="DE588" s="866">
        <f t="shared" si="1678"/>
        <v>0</v>
      </c>
      <c r="DF588" s="822">
        <f t="shared" si="1679"/>
        <v>0</v>
      </c>
      <c r="DG588" s="822">
        <f t="shared" si="1680"/>
        <v>0</v>
      </c>
      <c r="DH588" s="822">
        <f t="shared" si="168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1698">3322*$K$1</f>
        <v>13908.5496</v>
      </c>
      <c r="D589" s="740">
        <f t="shared" si="1698"/>
        <v>13908.5496</v>
      </c>
      <c r="E589" s="740">
        <f t="shared" si="1698"/>
        <v>13908.5496</v>
      </c>
      <c r="F589" s="740">
        <f t="shared" si="1698"/>
        <v>13908.5496</v>
      </c>
      <c r="G589" s="740">
        <f t="shared" si="1698"/>
        <v>13908.5496</v>
      </c>
      <c r="H589" s="740">
        <f t="shared" si="1698"/>
        <v>13908.5496</v>
      </c>
      <c r="I589" s="740">
        <f t="shared" si="1698"/>
        <v>13908.5496</v>
      </c>
      <c r="J589" s="740">
        <f t="shared" si="1698"/>
        <v>13908.5496</v>
      </c>
      <c r="K589" s="740">
        <f t="shared" si="169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1699">3322*$K$1</f>
        <v>13908.5496</v>
      </c>
      <c r="V589" s="740">
        <f t="shared" si="1699"/>
        <v>13908.5496</v>
      </c>
      <c r="W589" s="740">
        <f t="shared" si="1699"/>
        <v>13908.5496</v>
      </c>
      <c r="X589" s="740">
        <f t="shared" si="1699"/>
        <v>13908.5496</v>
      </c>
      <c r="Y589" s="740">
        <f t="shared" si="1699"/>
        <v>13908.5496</v>
      </c>
      <c r="Z589" s="740">
        <f t="shared" si="1699"/>
        <v>13908.5496</v>
      </c>
      <c r="AA589" s="740">
        <f t="shared" si="1699"/>
        <v>13908.5496</v>
      </c>
      <c r="AB589" s="740">
        <f t="shared" si="1699"/>
        <v>13908.5496</v>
      </c>
      <c r="AC589" s="740">
        <f t="shared" si="169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1700">3322*$K$1</f>
        <v>13908.5496</v>
      </c>
      <c r="AN589" s="740">
        <f t="shared" si="1700"/>
        <v>13908.5496</v>
      </c>
      <c r="AO589" s="740">
        <f t="shared" si="1700"/>
        <v>13908.5496</v>
      </c>
      <c r="AP589" s="740">
        <f t="shared" si="1700"/>
        <v>13908.5496</v>
      </c>
      <c r="AQ589" s="740">
        <f t="shared" si="1700"/>
        <v>13908.5496</v>
      </c>
      <c r="AR589" s="740">
        <f t="shared" si="1700"/>
        <v>13908.5496</v>
      </c>
      <c r="AS589" s="740">
        <f t="shared" si="1700"/>
        <v>13908.5496</v>
      </c>
      <c r="AT589" s="740">
        <f t="shared" si="1700"/>
        <v>13908.5496</v>
      </c>
      <c r="AU589" s="740">
        <f t="shared" si="170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1701">3322*$K$1</f>
        <v>13908.5496</v>
      </c>
      <c r="BF589" s="1236">
        <f t="shared" si="1701"/>
        <v>13908.5496</v>
      </c>
      <c r="BG589" s="1236">
        <f t="shared" si="1701"/>
        <v>13908.5496</v>
      </c>
      <c r="BH589" s="1236">
        <f t="shared" si="1701"/>
        <v>13908.5496</v>
      </c>
      <c r="BI589" s="1236">
        <f t="shared" si="1701"/>
        <v>13908.5496</v>
      </c>
      <c r="BJ589" s="1236">
        <f t="shared" si="1701"/>
        <v>13908.5496</v>
      </c>
      <c r="BK589" s="1236">
        <f t="shared" si="1701"/>
        <v>13908.5496</v>
      </c>
      <c r="BL589" s="1236">
        <f t="shared" si="1701"/>
        <v>13908.5496</v>
      </c>
      <c r="BM589" s="1236">
        <f t="shared" si="170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>3322*$K$1</f>
        <v>13908.5496</v>
      </c>
      <c r="BW589" s="740">
        <f>3322*$K$1</f>
        <v>13908.5496</v>
      </c>
      <c r="BX589" s="740">
        <f>3322*$K$1</f>
        <v>13908.5496</v>
      </c>
      <c r="BY589" s="740">
        <f>3322*$K$1</f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13908.5496</v>
      </c>
      <c r="CE589" s="81">
        <f t="shared" si="1690"/>
        <v>13908.5496</v>
      </c>
      <c r="CF589" s="81">
        <f t="shared" si="1690"/>
        <v>13908.5496</v>
      </c>
      <c r="CG589" s="81">
        <f t="shared" si="1690"/>
        <v>13908.5496</v>
      </c>
      <c r="CH589" s="145">
        <f t="shared" si="1690"/>
        <v>13908.5496</v>
      </c>
      <c r="CI589" s="145">
        <f t="shared" si="1690"/>
        <v>13908.5496</v>
      </c>
      <c r="CJ589" s="81">
        <f t="shared" si="1690"/>
        <v>13908.5496</v>
      </c>
      <c r="CK589" s="81">
        <f t="shared" si="1690"/>
        <v>13908.5496</v>
      </c>
      <c r="CL589" s="81">
        <f t="shared" si="1690"/>
        <v>13908.5496</v>
      </c>
      <c r="CM589" s="508">
        <f t="shared" si="1690"/>
        <v>13908.5496</v>
      </c>
      <c r="CN589" s="533" t="str">
        <f t="shared" si="1691"/>
        <v/>
      </c>
      <c r="CO589" s="534" t="str">
        <f t="shared" si="1691"/>
        <v/>
      </c>
      <c r="CP589" s="535" t="str">
        <f t="shared" si="1691"/>
        <v/>
      </c>
      <c r="CQ589" s="535" t="str">
        <f t="shared" si="1691"/>
        <v/>
      </c>
      <c r="CR589" s="535">
        <f t="shared" si="1691"/>
        <v>13908.5496</v>
      </c>
      <c r="CS589" s="535">
        <f t="shared" si="1691"/>
        <v>13908.5496</v>
      </c>
      <c r="CT589" s="535">
        <f t="shared" si="1691"/>
        <v>13908.5496</v>
      </c>
      <c r="CU589" s="536">
        <f t="shared" si="1691"/>
        <v>13908.5496</v>
      </c>
      <c r="CV589" s="536">
        <f t="shared" si="1691"/>
        <v>13908.5496</v>
      </c>
      <c r="CW589" s="536">
        <f t="shared" si="1691"/>
        <v>13908.5496</v>
      </c>
      <c r="CX589" s="535">
        <f t="shared" si="1691"/>
        <v>13908.5496</v>
      </c>
      <c r="CY589" s="535">
        <f t="shared" si="1691"/>
        <v>13908.5496</v>
      </c>
      <c r="CZ589" s="535">
        <f t="shared" si="1691"/>
        <v>13908.5496</v>
      </c>
      <c r="DA589" s="535">
        <f t="shared" si="1691"/>
        <v>13908.5496</v>
      </c>
      <c r="DB589" s="535" t="str">
        <f t="shared" si="1691"/>
        <v/>
      </c>
      <c r="DC589" s="534" t="str">
        <f t="shared" si="1691"/>
        <v/>
      </c>
      <c r="DD589" s="533" t="str">
        <f t="shared" si="1661"/>
        <v/>
      </c>
      <c r="DE589" s="866">
        <f t="shared" si="1678"/>
        <v>10</v>
      </c>
      <c r="DF589" s="822">
        <f t="shared" si="1679"/>
        <v>10</v>
      </c>
      <c r="DG589" s="822">
        <f t="shared" si="1680"/>
        <v>10</v>
      </c>
      <c r="DH589" s="822">
        <f t="shared" si="168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 t="shared" ref="B590:K590" si="1702">IF(B588="","",B588*B589/B$46/365/$G$1)</f>
        <v/>
      </c>
      <c r="C590" s="742" t="str">
        <f t="shared" si="1702"/>
        <v/>
      </c>
      <c r="D590" s="742" t="str">
        <f t="shared" si="1702"/>
        <v/>
      </c>
      <c r="E590" s="742" t="str">
        <f t="shared" si="1702"/>
        <v/>
      </c>
      <c r="F590" s="742" t="str">
        <f t="shared" si="1702"/>
        <v/>
      </c>
      <c r="G590" s="742" t="str">
        <f t="shared" si="1702"/>
        <v/>
      </c>
      <c r="H590" s="742" t="str">
        <f t="shared" si="1702"/>
        <v/>
      </c>
      <c r="I590" s="742" t="str">
        <f t="shared" si="1702"/>
        <v/>
      </c>
      <c r="J590" s="742" t="str">
        <f t="shared" si="1702"/>
        <v/>
      </c>
      <c r="K590" s="742" t="str">
        <f t="shared" si="1702"/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 t="shared" ref="T590:AC590" si="1703">IF(T588="","",T588*T589/T$46/365/$G$1)</f>
        <v/>
      </c>
      <c r="U590" s="742" t="str">
        <f t="shared" si="1703"/>
        <v/>
      </c>
      <c r="V590" s="742" t="str">
        <f t="shared" si="1703"/>
        <v/>
      </c>
      <c r="W590" s="742" t="str">
        <f t="shared" si="1703"/>
        <v/>
      </c>
      <c r="X590" s="742" t="str">
        <f t="shared" si="1703"/>
        <v/>
      </c>
      <c r="Y590" s="742" t="str">
        <f t="shared" si="1703"/>
        <v/>
      </c>
      <c r="Z590" s="742" t="str">
        <f t="shared" si="1703"/>
        <v/>
      </c>
      <c r="AA590" s="742" t="str">
        <f t="shared" si="1703"/>
        <v/>
      </c>
      <c r="AB590" s="742" t="str">
        <f t="shared" si="1703"/>
        <v/>
      </c>
      <c r="AC590" s="742" t="str">
        <f t="shared" si="1703"/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 t="shared" ref="AL590:AU590" si="1704">IF(AL588="","",AL588*AL589/AL$46/365/$G$1)</f>
        <v/>
      </c>
      <c r="AM590" s="742" t="str">
        <f t="shared" si="1704"/>
        <v/>
      </c>
      <c r="AN590" s="742" t="str">
        <f t="shared" si="1704"/>
        <v/>
      </c>
      <c r="AO590" s="742" t="str">
        <f t="shared" si="1704"/>
        <v/>
      </c>
      <c r="AP590" s="742" t="str">
        <f t="shared" si="1704"/>
        <v/>
      </c>
      <c r="AQ590" s="742" t="str">
        <f t="shared" si="1704"/>
        <v/>
      </c>
      <c r="AR590" s="742" t="str">
        <f t="shared" si="1704"/>
        <v/>
      </c>
      <c r="AS590" s="742" t="str">
        <f t="shared" si="1704"/>
        <v/>
      </c>
      <c r="AT590" s="742" t="str">
        <f t="shared" si="1704"/>
        <v/>
      </c>
      <c r="AU590" s="742" t="str">
        <f t="shared" si="1704"/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1705">IF(BE588="","",BE588*BE589/BE$46/365/$G$1)</f>
        <v/>
      </c>
      <c r="BF590" s="1241" t="str">
        <f t="shared" si="1705"/>
        <v/>
      </c>
      <c r="BG590" s="1241" t="str">
        <f t="shared" si="1705"/>
        <v/>
      </c>
      <c r="BH590" s="1241" t="str">
        <f t="shared" si="1705"/>
        <v/>
      </c>
      <c r="BI590" s="1241" t="str">
        <f t="shared" si="1705"/>
        <v/>
      </c>
      <c r="BJ590" s="1241" t="str">
        <f t="shared" si="1705"/>
        <v/>
      </c>
      <c r="BK590" s="1241" t="str">
        <f t="shared" si="1705"/>
        <v/>
      </c>
      <c r="BL590" s="1241" t="str">
        <f t="shared" si="1705"/>
        <v/>
      </c>
      <c r="BM590" s="1241" t="str">
        <f t="shared" si="1705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>IF(BW587="","",BW587*BW588*BW589/BW$46/365/$G$1)</f>
        <v/>
      </c>
      <c r="BX590" s="742" t="str">
        <f>IF(BX587="","",BX587*BX588*BX589/BX$46/365/$G$1)</f>
        <v/>
      </c>
      <c r="BY590" s="742" t="str">
        <f>IF(BY587="","",BY587*BY588*BY589/BY$46/365/$G$1)</f>
        <v/>
      </c>
      <c r="BZ590" s="607" t="str">
        <f>IF(DE590&lt;3,"",(SUM(B590:R590)-MIN(B590:R590)-MAX(B590:R590))/(DE590-2))</f>
        <v/>
      </c>
      <c r="CA590" s="607" t="str">
        <f>IF(DF590&lt;3,"",(SUM(T590:AJ590)-MIN(T590:AJ590)-MAX(T590:AJ590))/(DF590-2))</f>
        <v/>
      </c>
      <c r="CB590" s="607" t="str">
        <f>IF(DG590&lt;3,"",(SUM(AL590:BB590)-MIN(AL590:BB590)-MAX(AL590:BB590))/(DG590-2))</f>
        <v/>
      </c>
      <c r="CC590" s="673" t="str">
        <f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1690"/>
        <v/>
      </c>
      <c r="CF590" s="992" t="str">
        <f t="shared" si="1690"/>
        <v/>
      </c>
      <c r="CG590" s="992" t="str">
        <f t="shared" si="1690"/>
        <v/>
      </c>
      <c r="CH590" s="993" t="str">
        <f t="shared" si="1690"/>
        <v/>
      </c>
      <c r="CI590" s="993" t="str">
        <f t="shared" si="1690"/>
        <v/>
      </c>
      <c r="CJ590" s="992" t="str">
        <f t="shared" si="1690"/>
        <v/>
      </c>
      <c r="CK590" s="992" t="str">
        <f t="shared" si="1690"/>
        <v/>
      </c>
      <c r="CL590" s="992" t="str">
        <f t="shared" si="1690"/>
        <v/>
      </c>
      <c r="CM590" s="991" t="str">
        <f t="shared" si="1690"/>
        <v/>
      </c>
      <c r="CN590" s="521" t="str">
        <f t="shared" si="1691"/>
        <v/>
      </c>
      <c r="CO590" s="522" t="str">
        <f t="shared" si="1691"/>
        <v/>
      </c>
      <c r="CP590" s="523" t="str">
        <f t="shared" si="1691"/>
        <v/>
      </c>
      <c r="CQ590" s="523" t="str">
        <f t="shared" si="1691"/>
        <v/>
      </c>
      <c r="CR590" s="523" t="str">
        <f t="shared" si="1691"/>
        <v/>
      </c>
      <c r="CS590" s="523" t="str">
        <f t="shared" si="1691"/>
        <v/>
      </c>
      <c r="CT590" s="523" t="str">
        <f t="shared" si="1691"/>
        <v/>
      </c>
      <c r="CU590" s="524" t="str">
        <f t="shared" si="1691"/>
        <v/>
      </c>
      <c r="CV590" s="524" t="str">
        <f t="shared" si="1691"/>
        <v/>
      </c>
      <c r="CW590" s="524" t="str">
        <f t="shared" si="1691"/>
        <v/>
      </c>
      <c r="CX590" s="523" t="str">
        <f t="shared" si="1691"/>
        <v/>
      </c>
      <c r="CY590" s="523" t="str">
        <f t="shared" si="1691"/>
        <v/>
      </c>
      <c r="CZ590" s="523" t="str">
        <f t="shared" si="1691"/>
        <v/>
      </c>
      <c r="DA590" s="523" t="str">
        <f t="shared" si="1691"/>
        <v/>
      </c>
      <c r="DB590" s="523" t="str">
        <f t="shared" si="1691"/>
        <v/>
      </c>
      <c r="DC590" s="522" t="str">
        <f t="shared" si="1691"/>
        <v/>
      </c>
      <c r="DD590" s="521" t="str">
        <f t="shared" si="1692"/>
        <v/>
      </c>
      <c r="DE590" s="635">
        <f t="shared" si="1678"/>
        <v>0</v>
      </c>
      <c r="DF590" s="95">
        <f t="shared" si="1679"/>
        <v>0</v>
      </c>
      <c r="DG590" s="95">
        <f t="shared" si="1680"/>
        <v>0</v>
      </c>
      <c r="DH590" s="95">
        <f t="shared" si="168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>IF(UPPER($CD$4)=UPPER($BZ$4),IF(OR(-FLOOR(((17-COUNT($B591:$R591))/2),1)+CD$7&lt;1,-FLOOR(((17-COUNT($B591:$R591))/2),1)+CD$7&gt;COUNT($B591:$R591)),"",LARGE($B591:$R591,-FLOOR(((17-COUNT($B591:$R591))/2),1)+CD$7)),IF(UPPER($CD$4)=UPPER($CA$4),IF(OR(-FLOOR(((17-COUNT($T591:$AJ591))/2),1)+CD$7&lt;1,-FLOOR(((17-COUNT($T591:$AJ591))/2),1)+CD$7&gt;COUNT($T591:$AJ591)),"",LARGE($T591:$AJ591,-FLOOR(((17-COUNT($T591:$AJ591))/2),1)+CD$7)),IF(UPPER($CD$4)=UPPER($CB$4),IF(OR(-FLOOR(((17-COUNT($AL591:$BB591))/2),1)+CD$7&lt;1,-FLOOR(((17-COUNT($AL591:$BB591))/2),1)+CD$7&gt;COUNT($AL591:$BB591)),"",LARGE($AL591:$BB591,-FLOOR(((17-COUNT($AL591:$BB591))/2),1)+CD$7)),IF(OR(-FLOOR(((17-COUNT($BD591:$BT591))/2),1)+CD$7&lt;1,-FLOOR(((17-COUNT($BD591:$BT591))/2),1)+CD$7&gt;COUNT($BD591:$BT591)),"",LARGE($BD591:$BT591,-FLOOR(((17-COUNT($BD591:$BT591))/2),1)+CD$7)))))</f>
        <v/>
      </c>
      <c r="CE591" s="81" t="str">
        <f t="shared" si="1690"/>
        <v/>
      </c>
      <c r="CF591" s="81" t="str">
        <f t="shared" si="1690"/>
        <v/>
      </c>
      <c r="CG591" s="81" t="str">
        <f t="shared" si="1690"/>
        <v/>
      </c>
      <c r="CH591" s="145" t="str">
        <f t="shared" si="1690"/>
        <v/>
      </c>
      <c r="CI591" s="145" t="str">
        <f t="shared" si="1690"/>
        <v/>
      </c>
      <c r="CJ591" s="81" t="str">
        <f t="shared" si="1690"/>
        <v/>
      </c>
      <c r="CK591" s="81" t="str">
        <f t="shared" si="1690"/>
        <v/>
      </c>
      <c r="CL591" s="81" t="str">
        <f t="shared" si="1690"/>
        <v/>
      </c>
      <c r="CM591" s="508" t="str">
        <f t="shared" si="1690"/>
        <v/>
      </c>
      <c r="CN591" s="533" t="str">
        <f t="shared" si="1691"/>
        <v/>
      </c>
      <c r="CO591" s="534" t="str">
        <f t="shared" si="1691"/>
        <v/>
      </c>
      <c r="CP591" s="535" t="str">
        <f t="shared" si="1691"/>
        <v/>
      </c>
      <c r="CQ591" s="535" t="str">
        <f t="shared" si="1691"/>
        <v/>
      </c>
      <c r="CR591" s="535" t="str">
        <f t="shared" si="1691"/>
        <v/>
      </c>
      <c r="CS591" s="535" t="str">
        <f t="shared" si="1691"/>
        <v/>
      </c>
      <c r="CT591" s="535" t="str">
        <f t="shared" si="1691"/>
        <v/>
      </c>
      <c r="CU591" s="536" t="str">
        <f t="shared" si="1691"/>
        <v/>
      </c>
      <c r="CV591" s="536" t="str">
        <f t="shared" si="1691"/>
        <v/>
      </c>
      <c r="CW591" s="536" t="str">
        <f t="shared" si="1691"/>
        <v/>
      </c>
      <c r="CX591" s="535" t="str">
        <f t="shared" si="1691"/>
        <v/>
      </c>
      <c r="CY591" s="535" t="str">
        <f t="shared" si="1691"/>
        <v/>
      </c>
      <c r="CZ591" s="535" t="str">
        <f t="shared" si="1691"/>
        <v/>
      </c>
      <c r="DA591" s="535" t="str">
        <f t="shared" si="1691"/>
        <v/>
      </c>
      <c r="DB591" s="535" t="str">
        <f t="shared" si="1691"/>
        <v/>
      </c>
      <c r="DC591" s="534" t="str">
        <f t="shared" si="1691"/>
        <v/>
      </c>
      <c r="DD591" s="533" t="str">
        <f t="shared" si="1661"/>
        <v/>
      </c>
      <c r="DE591" s="866">
        <f t="shared" si="1678"/>
        <v>0</v>
      </c>
      <c r="DF591" s="822">
        <f t="shared" si="1679"/>
        <v>0</v>
      </c>
      <c r="DG591" s="822">
        <f t="shared" si="1680"/>
        <v>0</v>
      </c>
      <c r="DH591" s="822">
        <f t="shared" si="168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 t="shared" ref="B592:K592" si="1706">IF(B591="","",B588*B591)</f>
        <v/>
      </c>
      <c r="C592" s="739" t="str">
        <f t="shared" si="1706"/>
        <v/>
      </c>
      <c r="D592" s="739" t="str">
        <f t="shared" si="1706"/>
        <v/>
      </c>
      <c r="E592" s="739" t="str">
        <f t="shared" si="1706"/>
        <v/>
      </c>
      <c r="F592" s="739" t="str">
        <f t="shared" si="1706"/>
        <v/>
      </c>
      <c r="G592" s="739" t="str">
        <f t="shared" si="1706"/>
        <v/>
      </c>
      <c r="H592" s="739" t="str">
        <f t="shared" si="1706"/>
        <v/>
      </c>
      <c r="I592" s="739" t="str">
        <f t="shared" si="1706"/>
        <v/>
      </c>
      <c r="J592" s="739" t="str">
        <f t="shared" si="1706"/>
        <v/>
      </c>
      <c r="K592" s="739" t="str">
        <f t="shared" si="1706"/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 t="shared" ref="T592:AC592" si="1707">IF(T591="","",T588*T591)</f>
        <v/>
      </c>
      <c r="U592" s="739" t="str">
        <f t="shared" si="1707"/>
        <v/>
      </c>
      <c r="V592" s="739" t="str">
        <f t="shared" si="1707"/>
        <v/>
      </c>
      <c r="W592" s="739" t="str">
        <f t="shared" si="1707"/>
        <v/>
      </c>
      <c r="X592" s="739" t="str">
        <f t="shared" si="1707"/>
        <v/>
      </c>
      <c r="Y592" s="739" t="str">
        <f t="shared" si="1707"/>
        <v/>
      </c>
      <c r="Z592" s="739" t="str">
        <f t="shared" si="1707"/>
        <v/>
      </c>
      <c r="AA592" s="739" t="str">
        <f t="shared" si="1707"/>
        <v/>
      </c>
      <c r="AB592" s="739" t="str">
        <f t="shared" si="1707"/>
        <v/>
      </c>
      <c r="AC592" s="739" t="str">
        <f t="shared" si="1707"/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 t="shared" ref="AL592:AU592" si="1708">IF(AL591="","",AL588*AL591)</f>
        <v/>
      </c>
      <c r="AM592" s="739" t="str">
        <f t="shared" si="1708"/>
        <v/>
      </c>
      <c r="AN592" s="739" t="str">
        <f t="shared" si="1708"/>
        <v/>
      </c>
      <c r="AO592" s="739" t="str">
        <f t="shared" si="1708"/>
        <v/>
      </c>
      <c r="AP592" s="739" t="str">
        <f t="shared" si="1708"/>
        <v/>
      </c>
      <c r="AQ592" s="739" t="str">
        <f t="shared" si="1708"/>
        <v/>
      </c>
      <c r="AR592" s="739" t="str">
        <f t="shared" si="1708"/>
        <v/>
      </c>
      <c r="AS592" s="739" t="str">
        <f t="shared" si="1708"/>
        <v/>
      </c>
      <c r="AT592" s="739" t="str">
        <f t="shared" si="1708"/>
        <v/>
      </c>
      <c r="AU592" s="739" t="str">
        <f t="shared" si="1708"/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1709">IF(BE591="","",BE588*BE591)</f>
        <v/>
      </c>
      <c r="BF592" s="1237" t="str">
        <f t="shared" si="1709"/>
        <v/>
      </c>
      <c r="BG592" s="1237" t="str">
        <f t="shared" si="1709"/>
        <v/>
      </c>
      <c r="BH592" s="1237" t="str">
        <f t="shared" si="1709"/>
        <v/>
      </c>
      <c r="BI592" s="1237" t="str">
        <f t="shared" si="1709"/>
        <v/>
      </c>
      <c r="BJ592" s="1237" t="str">
        <f t="shared" si="1709"/>
        <v/>
      </c>
      <c r="BK592" s="1237" t="str">
        <f t="shared" si="1709"/>
        <v/>
      </c>
      <c r="BL592" s="1237" t="str">
        <f t="shared" si="1709"/>
        <v/>
      </c>
      <c r="BM592" s="1237" t="str">
        <f t="shared" si="1709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>IF(BV591="","",BV588*BV591)</f>
        <v/>
      </c>
      <c r="BW592" s="739" t="str">
        <f>IF(BW591="","",BW588*BW591)</f>
        <v/>
      </c>
      <c r="BX592" s="739" t="str">
        <f>IF(BX591="","",BX588*BX591)</f>
        <v/>
      </c>
      <c r="BY592" s="739" t="str">
        <f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>IF(UPPER($CD$4)=UPPER($BZ$4),IF(OR(-FLOOR(((17-COUNT($B592:$R592))/2),1)+CD$7&lt;1,-FLOOR(((17-COUNT($B592:$R592))/2),1)+CD$7&gt;COUNT($B592:$R592)),"",LARGE($B592:$R592,-FLOOR(((17-COUNT($B592:$R592))/2),1)+CD$7)),IF(UPPER($CD$4)=UPPER($CA$4),IF(OR(-FLOOR(((17-COUNT($T592:$AJ592))/2),1)+CD$7&lt;1,-FLOOR(((17-COUNT($T592:$AJ592))/2),1)+CD$7&gt;COUNT($T592:$AJ592)),"",LARGE($T592:$AJ592,-FLOOR(((17-COUNT($T592:$AJ592))/2),1)+CD$7)),IF(UPPER($CD$4)=UPPER($CB$4),IF(OR(-FLOOR(((17-COUNT($AL592:$BB592))/2),1)+CD$7&lt;1,-FLOOR(((17-COUNT($AL592:$BB592))/2),1)+CD$7&gt;COUNT($AL592:$BB592)),"",LARGE($AL592:$BB592,-FLOOR(((17-COUNT($AL592:$BB592))/2),1)+CD$7)),IF(OR(-FLOOR(((17-COUNT($BD592:$BT592))/2),1)+CD$7&lt;1,-FLOOR(((17-COUNT($BD592:$BT592))/2),1)+CD$7&gt;COUNT($BD592:$BT592)),"",LARGE($BD592:$BT592,-FLOOR(((17-COUNT($BD592:$BT592))/2),1)+CD$7)))))</f>
        <v/>
      </c>
      <c r="CE592" s="81" t="str">
        <f t="shared" si="1690"/>
        <v/>
      </c>
      <c r="CF592" s="81" t="str">
        <f t="shared" si="1690"/>
        <v/>
      </c>
      <c r="CG592" s="81" t="str">
        <f t="shared" si="1690"/>
        <v/>
      </c>
      <c r="CH592" s="145" t="str">
        <f t="shared" ref="CH592:CM592" si="171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1710"/>
        <v/>
      </c>
      <c r="CJ592" s="81" t="str">
        <f t="shared" si="1710"/>
        <v/>
      </c>
      <c r="CK592" s="81" t="str">
        <f t="shared" si="1710"/>
        <v/>
      </c>
      <c r="CL592" s="81" t="str">
        <f t="shared" si="1710"/>
        <v/>
      </c>
      <c r="CM592" s="508" t="str">
        <f t="shared" si="1710"/>
        <v/>
      </c>
      <c r="CN592" s="533" t="str">
        <f t="shared" si="1691"/>
        <v/>
      </c>
      <c r="CO592" s="534" t="str">
        <f t="shared" si="1691"/>
        <v/>
      </c>
      <c r="CP592" s="535" t="str">
        <f t="shared" si="1691"/>
        <v/>
      </c>
      <c r="CQ592" s="535" t="str">
        <f t="shared" si="1691"/>
        <v/>
      </c>
      <c r="CR592" s="535" t="str">
        <f t="shared" si="1691"/>
        <v/>
      </c>
      <c r="CS592" s="535" t="str">
        <f t="shared" si="1691"/>
        <v/>
      </c>
      <c r="CT592" s="535" t="str">
        <f t="shared" si="1691"/>
        <v/>
      </c>
      <c r="CU592" s="536" t="str">
        <f t="shared" si="1691"/>
        <v/>
      </c>
      <c r="CV592" s="536" t="str">
        <f t="shared" si="1691"/>
        <v/>
      </c>
      <c r="CW592" s="536" t="str">
        <f t="shared" si="1691"/>
        <v/>
      </c>
      <c r="CX592" s="535" t="str">
        <f t="shared" si="1691"/>
        <v/>
      </c>
      <c r="CY592" s="535" t="str">
        <f t="shared" si="1691"/>
        <v/>
      </c>
      <c r="CZ592" s="535" t="str">
        <f t="shared" si="1691"/>
        <v/>
      </c>
      <c r="DA592" s="535" t="str">
        <f t="shared" si="1691"/>
        <v/>
      </c>
      <c r="DB592" s="535" t="str">
        <f t="shared" si="1691"/>
        <v/>
      </c>
      <c r="DC592" s="534" t="str">
        <f t="shared" si="1691"/>
        <v/>
      </c>
      <c r="DD592" s="533" t="str">
        <f t="shared" si="1661"/>
        <v/>
      </c>
      <c r="DE592" s="866">
        <f t="shared" si="1678"/>
        <v>0</v>
      </c>
      <c r="DF592" s="822">
        <f t="shared" si="1679"/>
        <v>0</v>
      </c>
      <c r="DG592" s="822">
        <f t="shared" si="1680"/>
        <v>0</v>
      </c>
      <c r="DH592" s="822">
        <f t="shared" si="168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 t="shared" ref="BZ594:BZ599" si="1711">IF(DE594&lt;3,"",(SUM(B594:R594)-MIN(B594:R594)-MAX(B594:R594))/(DE594-2))</f>
        <v/>
      </c>
      <c r="CA594" s="864" t="str">
        <f t="shared" ref="CA594:CA599" si="1712">IF(DF594&lt;3,"",(SUM(T594:AJ594)-MIN(T594:AJ594)-MAX(T594:AJ594))/(DF594-2))</f>
        <v/>
      </c>
      <c r="CB594" s="864" t="str">
        <f t="shared" ref="CB594:CB599" si="1713">IF(DG594&lt;3,"",(SUM(AL594:BB594)-MIN(AL594:BB594)-MAX(AL594:BB594))/(DG594-2))</f>
        <v/>
      </c>
      <c r="CC594" s="865" t="str">
        <f t="shared" ref="CC594:CC599" si="1714">IF(DH594&lt;3,"",(SUM(BD594:BT594)-MIN(BD594:BT594)-MAX(BD594:BT594))/(DH594-2))</f>
        <v/>
      </c>
      <c r="CD594" s="508" t="str">
        <f t="shared" ref="CD594:CM596" si="171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715"/>
        <v/>
      </c>
      <c r="CF594" s="81" t="str">
        <f t="shared" si="1715"/>
        <v/>
      </c>
      <c r="CG594" s="81" t="str">
        <f t="shared" si="1715"/>
        <v/>
      </c>
      <c r="CH594" s="145" t="str">
        <f t="shared" si="1715"/>
        <v/>
      </c>
      <c r="CI594" s="145" t="str">
        <f t="shared" si="1715"/>
        <v/>
      </c>
      <c r="CJ594" s="81" t="str">
        <f t="shared" si="1715"/>
        <v/>
      </c>
      <c r="CK594" s="81" t="str">
        <f t="shared" si="1715"/>
        <v/>
      </c>
      <c r="CL594" s="81" t="str">
        <f t="shared" si="1715"/>
        <v/>
      </c>
      <c r="CM594" s="508" t="str">
        <f t="shared" si="1715"/>
        <v/>
      </c>
      <c r="CN594" s="533" t="str">
        <f t="shared" si="1691"/>
        <v/>
      </c>
      <c r="CO594" s="534" t="str">
        <f t="shared" si="1691"/>
        <v/>
      </c>
      <c r="CP594" s="535" t="str">
        <f t="shared" si="1691"/>
        <v/>
      </c>
      <c r="CQ594" s="535" t="str">
        <f t="shared" si="1691"/>
        <v/>
      </c>
      <c r="CR594" s="535" t="str">
        <f t="shared" si="1691"/>
        <v/>
      </c>
      <c r="CS594" s="535" t="str">
        <f t="shared" si="1691"/>
        <v/>
      </c>
      <c r="CT594" s="535" t="str">
        <f t="shared" si="1691"/>
        <v/>
      </c>
      <c r="CU594" s="536" t="str">
        <f t="shared" si="1691"/>
        <v/>
      </c>
      <c r="CV594" s="536" t="str">
        <f t="shared" si="1691"/>
        <v/>
      </c>
      <c r="CW594" s="536" t="str">
        <f t="shared" si="1691"/>
        <v/>
      </c>
      <c r="CX594" s="535" t="str">
        <f t="shared" si="1691"/>
        <v/>
      </c>
      <c r="CY594" s="535" t="str">
        <f t="shared" si="1691"/>
        <v/>
      </c>
      <c r="CZ594" s="535" t="str">
        <f t="shared" si="1691"/>
        <v/>
      </c>
      <c r="DA594" s="535" t="str">
        <f t="shared" si="1691"/>
        <v/>
      </c>
      <c r="DB594" s="535" t="str">
        <f t="shared" si="1691"/>
        <v/>
      </c>
      <c r="DC594" s="534" t="str">
        <f t="shared" si="1691"/>
        <v/>
      </c>
      <c r="DD594" s="533" t="str">
        <f t="shared" si="1661"/>
        <v/>
      </c>
      <c r="DE594" s="866">
        <f t="shared" ref="DE594:DE599" si="1716">COUNT(B594:R594)</f>
        <v>0</v>
      </c>
      <c r="DF594" s="822">
        <f t="shared" ref="DF594:DF599" si="1717">COUNT(T594:AJ594)</f>
        <v>0</v>
      </c>
      <c r="DG594" s="822">
        <f t="shared" ref="DG594:DG599" si="1718">COUNT(AL594:BB594)</f>
        <v>0</v>
      </c>
      <c r="DH594" s="822">
        <f t="shared" ref="DH594:DH599" si="1719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 t="shared" si="1711"/>
        <v/>
      </c>
      <c r="CA595" s="864" t="str">
        <f t="shared" si="1712"/>
        <v/>
      </c>
      <c r="CB595" s="864" t="str">
        <f t="shared" si="1713"/>
        <v/>
      </c>
      <c r="CC595" s="865" t="str">
        <f t="shared" si="1714"/>
        <v/>
      </c>
      <c r="CD595" s="508" t="str">
        <f t="shared" si="1715"/>
        <v/>
      </c>
      <c r="CE595" s="81" t="str">
        <f t="shared" si="1715"/>
        <v/>
      </c>
      <c r="CF595" s="81" t="str">
        <f t="shared" si="1715"/>
        <v/>
      </c>
      <c r="CG595" s="81" t="str">
        <f t="shared" si="1715"/>
        <v/>
      </c>
      <c r="CH595" s="145" t="str">
        <f t="shared" si="1715"/>
        <v/>
      </c>
      <c r="CI595" s="145" t="str">
        <f t="shared" si="1715"/>
        <v/>
      </c>
      <c r="CJ595" s="81" t="str">
        <f t="shared" si="1715"/>
        <v/>
      </c>
      <c r="CK595" s="81" t="str">
        <f t="shared" si="1715"/>
        <v/>
      </c>
      <c r="CL595" s="81" t="str">
        <f t="shared" si="1715"/>
        <v/>
      </c>
      <c r="CM595" s="508" t="str">
        <f t="shared" si="1715"/>
        <v/>
      </c>
      <c r="CN595" s="533" t="str">
        <f t="shared" si="1691"/>
        <v/>
      </c>
      <c r="CO595" s="534" t="str">
        <f t="shared" si="1691"/>
        <v/>
      </c>
      <c r="CP595" s="535" t="str">
        <f t="shared" si="1691"/>
        <v/>
      </c>
      <c r="CQ595" s="535" t="str">
        <f t="shared" si="1691"/>
        <v/>
      </c>
      <c r="CR595" s="535" t="str">
        <f t="shared" si="1691"/>
        <v/>
      </c>
      <c r="CS595" s="535" t="str">
        <f t="shared" si="1691"/>
        <v/>
      </c>
      <c r="CT595" s="535" t="str">
        <f t="shared" si="1691"/>
        <v/>
      </c>
      <c r="CU595" s="536" t="str">
        <f t="shared" si="1691"/>
        <v/>
      </c>
      <c r="CV595" s="536" t="str">
        <f t="shared" si="1691"/>
        <v/>
      </c>
      <c r="CW595" s="536" t="str">
        <f t="shared" si="1691"/>
        <v/>
      </c>
      <c r="CX595" s="535" t="str">
        <f t="shared" si="1691"/>
        <v/>
      </c>
      <c r="CY595" s="535" t="str">
        <f t="shared" si="1691"/>
        <v/>
      </c>
      <c r="CZ595" s="535" t="str">
        <f t="shared" si="1691"/>
        <v/>
      </c>
      <c r="DA595" s="535" t="str">
        <f t="shared" ref="CN595:DC596" si="172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1720"/>
        <v/>
      </c>
      <c r="DC595" s="534" t="str">
        <f t="shared" si="1720"/>
        <v/>
      </c>
      <c r="DD595" s="533" t="str">
        <f t="shared" si="1661"/>
        <v/>
      </c>
      <c r="DE595" s="866">
        <f t="shared" si="1716"/>
        <v>0</v>
      </c>
      <c r="DF595" s="822">
        <f t="shared" si="1717"/>
        <v>0</v>
      </c>
      <c r="DG595" s="822">
        <f t="shared" si="1718"/>
        <v>0</v>
      </c>
      <c r="DH595" s="822">
        <f t="shared" si="1719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1721">330*$K$1</f>
        <v>1381.644</v>
      </c>
      <c r="D596" s="740">
        <f t="shared" si="1721"/>
        <v>1381.644</v>
      </c>
      <c r="E596" s="740">
        <f t="shared" si="1721"/>
        <v>1381.644</v>
      </c>
      <c r="F596" s="740">
        <f t="shared" si="1721"/>
        <v>1381.644</v>
      </c>
      <c r="G596" s="740">
        <f t="shared" si="1721"/>
        <v>1381.644</v>
      </c>
      <c r="H596" s="740">
        <f t="shared" si="1721"/>
        <v>1381.644</v>
      </c>
      <c r="I596" s="740">
        <f t="shared" si="1721"/>
        <v>1381.644</v>
      </c>
      <c r="J596" s="740">
        <f t="shared" si="1721"/>
        <v>1381.644</v>
      </c>
      <c r="K596" s="740">
        <f t="shared" si="1721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1722">330*$K$1</f>
        <v>1381.644</v>
      </c>
      <c r="V596" s="740">
        <f t="shared" si="1722"/>
        <v>1381.644</v>
      </c>
      <c r="W596" s="740">
        <f t="shared" si="1722"/>
        <v>1381.644</v>
      </c>
      <c r="X596" s="740">
        <f t="shared" si="1722"/>
        <v>1381.644</v>
      </c>
      <c r="Y596" s="740">
        <f t="shared" si="1722"/>
        <v>1381.644</v>
      </c>
      <c r="Z596" s="740">
        <f t="shared" si="1722"/>
        <v>1381.644</v>
      </c>
      <c r="AA596" s="740">
        <f t="shared" si="1722"/>
        <v>1381.644</v>
      </c>
      <c r="AB596" s="740">
        <f t="shared" si="1722"/>
        <v>1381.644</v>
      </c>
      <c r="AC596" s="740">
        <f t="shared" si="1722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1723">330*$K$1</f>
        <v>1381.644</v>
      </c>
      <c r="AN596" s="740">
        <f t="shared" si="1723"/>
        <v>1381.644</v>
      </c>
      <c r="AO596" s="740">
        <f t="shared" si="1723"/>
        <v>1381.644</v>
      </c>
      <c r="AP596" s="740">
        <f t="shared" si="1723"/>
        <v>1381.644</v>
      </c>
      <c r="AQ596" s="740">
        <f t="shared" si="1723"/>
        <v>1381.644</v>
      </c>
      <c r="AR596" s="740">
        <f t="shared" si="1723"/>
        <v>1381.644</v>
      </c>
      <c r="AS596" s="740">
        <f t="shared" si="1723"/>
        <v>1381.644</v>
      </c>
      <c r="AT596" s="740">
        <f t="shared" si="1723"/>
        <v>1381.644</v>
      </c>
      <c r="AU596" s="740">
        <f t="shared" si="1723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1724">330*$K$1</f>
        <v>1381.644</v>
      </c>
      <c r="BF596" s="1236">
        <f t="shared" si="1724"/>
        <v>1381.644</v>
      </c>
      <c r="BG596" s="1236">
        <f t="shared" si="1724"/>
        <v>1381.644</v>
      </c>
      <c r="BH596" s="1236">
        <f t="shared" si="1724"/>
        <v>1381.644</v>
      </c>
      <c r="BI596" s="1236">
        <f t="shared" si="1724"/>
        <v>1381.644</v>
      </c>
      <c r="BJ596" s="1236">
        <f t="shared" si="1724"/>
        <v>1381.644</v>
      </c>
      <c r="BK596" s="1236">
        <f t="shared" si="1724"/>
        <v>1381.644</v>
      </c>
      <c r="BL596" s="1236">
        <f t="shared" si="1724"/>
        <v>1381.644</v>
      </c>
      <c r="BM596" s="1236">
        <f t="shared" si="1724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>330*$K$1</f>
        <v>1381.644</v>
      </c>
      <c r="BW596" s="740">
        <f>330*$K$1</f>
        <v>1381.644</v>
      </c>
      <c r="BX596" s="740">
        <f>330*$K$1</f>
        <v>1381.644</v>
      </c>
      <c r="BY596" s="740">
        <f>330*$K$1</f>
        <v>1381.644</v>
      </c>
      <c r="BZ596" s="864">
        <f t="shared" si="1711"/>
        <v>1381.644</v>
      </c>
      <c r="CA596" s="864">
        <f t="shared" si="1712"/>
        <v>1381.644</v>
      </c>
      <c r="CB596" s="864">
        <f t="shared" si="1713"/>
        <v>1381.644</v>
      </c>
      <c r="CC596" s="865">
        <f t="shared" si="1714"/>
        <v>1381.644</v>
      </c>
      <c r="CD596" s="508">
        <f t="shared" si="1715"/>
        <v>1381.644</v>
      </c>
      <c r="CE596" s="81">
        <f t="shared" si="1715"/>
        <v>1381.644</v>
      </c>
      <c r="CF596" s="81">
        <f t="shared" si="1715"/>
        <v>1381.644</v>
      </c>
      <c r="CG596" s="81">
        <f t="shared" si="1715"/>
        <v>1381.644</v>
      </c>
      <c r="CH596" s="145">
        <f t="shared" si="1715"/>
        <v>1381.644</v>
      </c>
      <c r="CI596" s="145">
        <f t="shared" si="1715"/>
        <v>1381.644</v>
      </c>
      <c r="CJ596" s="81">
        <f t="shared" si="1715"/>
        <v>1381.644</v>
      </c>
      <c r="CK596" s="81">
        <f t="shared" si="1715"/>
        <v>1381.644</v>
      </c>
      <c r="CL596" s="81">
        <f t="shared" si="1715"/>
        <v>1381.644</v>
      </c>
      <c r="CM596" s="508">
        <f t="shared" si="1715"/>
        <v>1381.644</v>
      </c>
      <c r="CN596" s="533" t="str">
        <f t="shared" si="1720"/>
        <v/>
      </c>
      <c r="CO596" s="534" t="str">
        <f t="shared" si="1720"/>
        <v/>
      </c>
      <c r="CP596" s="535" t="str">
        <f t="shared" si="1720"/>
        <v/>
      </c>
      <c r="CQ596" s="535" t="str">
        <f t="shared" si="1720"/>
        <v/>
      </c>
      <c r="CR596" s="535">
        <f t="shared" si="1720"/>
        <v>1381.644</v>
      </c>
      <c r="CS596" s="535">
        <f t="shared" si="1720"/>
        <v>1381.644</v>
      </c>
      <c r="CT596" s="535">
        <f t="shared" si="1720"/>
        <v>1381.644</v>
      </c>
      <c r="CU596" s="536">
        <f t="shared" si="1720"/>
        <v>1381.644</v>
      </c>
      <c r="CV596" s="536">
        <f t="shared" si="1720"/>
        <v>1381.644</v>
      </c>
      <c r="CW596" s="536">
        <f t="shared" si="1720"/>
        <v>1381.644</v>
      </c>
      <c r="CX596" s="535">
        <f t="shared" si="1720"/>
        <v>1381.644</v>
      </c>
      <c r="CY596" s="535">
        <f t="shared" si="1720"/>
        <v>1381.644</v>
      </c>
      <c r="CZ596" s="535">
        <f t="shared" si="1720"/>
        <v>1381.644</v>
      </c>
      <c r="DA596" s="535">
        <f t="shared" si="1720"/>
        <v>1381.644</v>
      </c>
      <c r="DB596" s="535" t="str">
        <f t="shared" si="1720"/>
        <v/>
      </c>
      <c r="DC596" s="534" t="str">
        <f t="shared" si="1720"/>
        <v/>
      </c>
      <c r="DD596" s="533" t="str">
        <f t="shared" si="1661"/>
        <v/>
      </c>
      <c r="DE596" s="866">
        <f t="shared" si="1716"/>
        <v>10</v>
      </c>
      <c r="DF596" s="822">
        <f t="shared" si="1717"/>
        <v>10</v>
      </c>
      <c r="DG596" s="822">
        <f t="shared" si="1718"/>
        <v>10</v>
      </c>
      <c r="DH596" s="822">
        <f t="shared" si="1719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1725">IF(B594="","",B594*B595*B596/B$46/365/$G$1)</f>
        <v/>
      </c>
      <c r="C597" s="615" t="str">
        <f t="shared" si="1725"/>
        <v/>
      </c>
      <c r="D597" s="615" t="str">
        <f t="shared" si="1725"/>
        <v/>
      </c>
      <c r="E597" s="615" t="str">
        <f t="shared" si="1725"/>
        <v/>
      </c>
      <c r="F597" s="615" t="str">
        <f t="shared" si="1725"/>
        <v/>
      </c>
      <c r="G597" s="615" t="str">
        <f t="shared" si="1725"/>
        <v/>
      </c>
      <c r="H597" s="615" t="str">
        <f t="shared" si="1725"/>
        <v/>
      </c>
      <c r="I597" s="615" t="str">
        <f t="shared" si="1725"/>
        <v/>
      </c>
      <c r="J597" s="615" t="str">
        <f t="shared" si="1725"/>
        <v/>
      </c>
      <c r="K597" s="615" t="str">
        <f t="shared" si="1725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1726">IF(T594="","",T594*T595*T596/T$46/365/$G$1)</f>
        <v/>
      </c>
      <c r="U597" s="615" t="str">
        <f t="shared" si="1726"/>
        <v/>
      </c>
      <c r="V597" s="615" t="str">
        <f t="shared" si="1726"/>
        <v/>
      </c>
      <c r="W597" s="615" t="str">
        <f t="shared" si="1726"/>
        <v/>
      </c>
      <c r="X597" s="615" t="str">
        <f t="shared" si="1726"/>
        <v/>
      </c>
      <c r="Y597" s="615" t="str">
        <f t="shared" si="1726"/>
        <v/>
      </c>
      <c r="Z597" s="615" t="str">
        <f t="shared" si="1726"/>
        <v/>
      </c>
      <c r="AA597" s="615" t="str">
        <f t="shared" si="1726"/>
        <v/>
      </c>
      <c r="AB597" s="615" t="str">
        <f t="shared" si="1726"/>
        <v/>
      </c>
      <c r="AC597" s="615" t="str">
        <f t="shared" si="1726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1727">IF(AL594="","",AL594*AL595*AL596/AL$46/365/$G$1)</f>
        <v/>
      </c>
      <c r="AM597" s="615" t="str">
        <f t="shared" si="1727"/>
        <v/>
      </c>
      <c r="AN597" s="615" t="str">
        <f t="shared" si="1727"/>
        <v/>
      </c>
      <c r="AO597" s="615" t="str">
        <f t="shared" si="1727"/>
        <v/>
      </c>
      <c r="AP597" s="615" t="str">
        <f t="shared" si="1727"/>
        <v/>
      </c>
      <c r="AQ597" s="615" t="str">
        <f t="shared" si="1727"/>
        <v/>
      </c>
      <c r="AR597" s="615" t="str">
        <f t="shared" si="1727"/>
        <v/>
      </c>
      <c r="AS597" s="615" t="str">
        <f t="shared" si="1727"/>
        <v/>
      </c>
      <c r="AT597" s="615" t="str">
        <f t="shared" si="1727"/>
        <v/>
      </c>
      <c r="AU597" s="615" t="str">
        <f t="shared" si="1727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1728">IF(BD594="","",BD594*BD595*BD596/BD$46/365/$G$1)</f>
        <v/>
      </c>
      <c r="BE597" s="1202" t="str">
        <f t="shared" si="1728"/>
        <v/>
      </c>
      <c r="BF597" s="1202" t="str">
        <f t="shared" si="1728"/>
        <v/>
      </c>
      <c r="BG597" s="1202" t="str">
        <f t="shared" si="1728"/>
        <v/>
      </c>
      <c r="BH597" s="1202" t="str">
        <f t="shared" si="1728"/>
        <v/>
      </c>
      <c r="BI597" s="1202" t="str">
        <f t="shared" si="1728"/>
        <v/>
      </c>
      <c r="BJ597" s="1202" t="str">
        <f t="shared" si="1728"/>
        <v/>
      </c>
      <c r="BK597" s="1202" t="str">
        <f t="shared" si="1728"/>
        <v/>
      </c>
      <c r="BL597" s="1202" t="str">
        <f t="shared" si="1728"/>
        <v/>
      </c>
      <c r="BM597" s="1202" t="str">
        <f t="shared" si="1728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si="1711"/>
        <v/>
      </c>
      <c r="CA597" s="607" t="str">
        <f t="shared" si="1712"/>
        <v/>
      </c>
      <c r="CB597" s="607" t="str">
        <f t="shared" si="1713"/>
        <v/>
      </c>
      <c r="CC597" s="673" t="str">
        <f t="shared" si="1714"/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17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1729"/>
        <v/>
      </c>
      <c r="CG597" s="992" t="str">
        <f t="shared" si="1729"/>
        <v/>
      </c>
      <c r="CH597" s="993" t="str">
        <f t="shared" si="1729"/>
        <v/>
      </c>
      <c r="CI597" s="993" t="str">
        <f t="shared" si="1729"/>
        <v/>
      </c>
      <c r="CJ597" s="992" t="str">
        <f t="shared" si="1729"/>
        <v/>
      </c>
      <c r="CK597" s="992" t="str">
        <f t="shared" si="1729"/>
        <v/>
      </c>
      <c r="CL597" s="992" t="str">
        <f t="shared" si="1729"/>
        <v/>
      </c>
      <c r="CM597" s="991" t="str">
        <f t="shared" si="1729"/>
        <v/>
      </c>
      <c r="CN597" s="521" t="str">
        <f t="shared" ref="CN597:DD597" si="1730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si="1730"/>
        <v/>
      </c>
      <c r="CP597" s="523" t="str">
        <f t="shared" si="1730"/>
        <v/>
      </c>
      <c r="CQ597" s="523" t="str">
        <f t="shared" si="1730"/>
        <v/>
      </c>
      <c r="CR597" s="523" t="str">
        <f t="shared" si="1730"/>
        <v/>
      </c>
      <c r="CS597" s="523" t="str">
        <f t="shared" si="1730"/>
        <v/>
      </c>
      <c r="CT597" s="523" t="str">
        <f t="shared" si="1730"/>
        <v/>
      </c>
      <c r="CU597" s="524" t="str">
        <f t="shared" si="1730"/>
        <v/>
      </c>
      <c r="CV597" s="524" t="str">
        <f t="shared" si="1730"/>
        <v/>
      </c>
      <c r="CW597" s="524" t="str">
        <f t="shared" si="1730"/>
        <v/>
      </c>
      <c r="CX597" s="523" t="str">
        <f t="shared" si="1730"/>
        <v/>
      </c>
      <c r="CY597" s="523" t="str">
        <f t="shared" si="1730"/>
        <v/>
      </c>
      <c r="CZ597" s="523" t="str">
        <f t="shared" si="1730"/>
        <v/>
      </c>
      <c r="DA597" s="523" t="str">
        <f t="shared" si="1730"/>
        <v/>
      </c>
      <c r="DB597" s="523" t="str">
        <f t="shared" si="1730"/>
        <v/>
      </c>
      <c r="DC597" s="522" t="str">
        <f t="shared" si="1730"/>
        <v/>
      </c>
      <c r="DD597" s="521" t="str">
        <f t="shared" si="1730"/>
        <v/>
      </c>
      <c r="DE597" s="635">
        <f t="shared" si="1716"/>
        <v>0</v>
      </c>
      <c r="DF597" s="95">
        <f t="shared" si="1717"/>
        <v>0</v>
      </c>
      <c r="DG597" s="95">
        <f t="shared" si="1718"/>
        <v>0</v>
      </c>
      <c r="DH597" s="95">
        <f t="shared" si="1719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 t="shared" si="1711"/>
        <v/>
      </c>
      <c r="CA598" s="864" t="str">
        <f t="shared" si="1712"/>
        <v/>
      </c>
      <c r="CB598" s="864" t="str">
        <f t="shared" si="1713"/>
        <v/>
      </c>
      <c r="CC598" s="865" t="str">
        <f t="shared" si="1714"/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ref="CS598:DD599" si="1731">IF($CD$4=$BZ$4,IF(OR(-FLOOR(((17-COUNT($T598:$AJ598))/2),1)+CS$7&lt;1,-FLOOR(((17-COUNT($T598:$AJ598))/2),1)+CS$7&gt;COUNT($T598:$AJ598)),"",LARGE($T598:$AJ598,-FLOOR(((17-COUNT($T598:$AJ598))/2),1)+CS$7)),IF(OR(-FLOOR(((17-COUNT($BD598:$BT598))/2),1)+CS$7&lt;1,-FLOOR(((17-COUNT($BD598:$BT598))/2),1)+CS$7&gt;COUNT($BD598:$BT598)),"",LARGE($BD598:$BT598,-FLOOR(((17-COUNT($BD598:$BT598))/2),1)+CS$7)))</f>
        <v/>
      </c>
      <c r="CT598" s="535" t="str">
        <f t="shared" si="1731"/>
        <v/>
      </c>
      <c r="CU598" s="536" t="str">
        <f t="shared" si="1731"/>
        <v/>
      </c>
      <c r="CV598" s="536" t="str">
        <f t="shared" si="1731"/>
        <v/>
      </c>
      <c r="CW598" s="536" t="str">
        <f t="shared" si="1731"/>
        <v/>
      </c>
      <c r="CX598" s="535" t="str">
        <f t="shared" si="1731"/>
        <v/>
      </c>
      <c r="CY598" s="535" t="str">
        <f t="shared" si="1731"/>
        <v/>
      </c>
      <c r="CZ598" s="535" t="str">
        <f t="shared" si="1731"/>
        <v/>
      </c>
      <c r="DA598" s="535" t="str">
        <f t="shared" si="1731"/>
        <v/>
      </c>
      <c r="DB598" s="535" t="str">
        <f t="shared" si="1731"/>
        <v/>
      </c>
      <c r="DC598" s="534" t="str">
        <f t="shared" si="1731"/>
        <v/>
      </c>
      <c r="DD598" s="533" t="str">
        <f t="shared" si="1731"/>
        <v/>
      </c>
      <c r="DE598" s="635">
        <f t="shared" si="1716"/>
        <v>0</v>
      </c>
      <c r="DF598" s="95">
        <f t="shared" si="1717"/>
        <v>0</v>
      </c>
      <c r="DG598" s="95">
        <f t="shared" si="1718"/>
        <v>0</v>
      </c>
      <c r="DH598" s="95">
        <f t="shared" si="1719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1732">IF(B598="","",B594*B595*B598)</f>
        <v/>
      </c>
      <c r="C599" s="612" t="str">
        <f t="shared" si="1732"/>
        <v/>
      </c>
      <c r="D599" s="612" t="str">
        <f t="shared" si="1732"/>
        <v/>
      </c>
      <c r="E599" s="612" t="str">
        <f t="shared" si="1732"/>
        <v/>
      </c>
      <c r="F599" s="612" t="str">
        <f t="shared" si="1732"/>
        <v/>
      </c>
      <c r="G599" s="612" t="str">
        <f t="shared" si="1732"/>
        <v/>
      </c>
      <c r="H599" s="612" t="str">
        <f t="shared" si="1732"/>
        <v/>
      </c>
      <c r="I599" s="612" t="str">
        <f t="shared" si="1732"/>
        <v/>
      </c>
      <c r="J599" s="612" t="str">
        <f t="shared" si="1732"/>
        <v/>
      </c>
      <c r="K599" s="612" t="str">
        <f t="shared" si="1732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1733">IF(T598="","",T594*T595*T598)</f>
        <v/>
      </c>
      <c r="U599" s="612" t="str">
        <f t="shared" si="1733"/>
        <v/>
      </c>
      <c r="V599" s="612" t="str">
        <f t="shared" si="1733"/>
        <v/>
      </c>
      <c r="W599" s="612" t="str">
        <f t="shared" si="1733"/>
        <v/>
      </c>
      <c r="X599" s="612" t="str">
        <f t="shared" si="1733"/>
        <v/>
      </c>
      <c r="Y599" s="612" t="str">
        <f t="shared" si="1733"/>
        <v/>
      </c>
      <c r="Z599" s="612" t="str">
        <f t="shared" si="1733"/>
        <v/>
      </c>
      <c r="AA599" s="612" t="str">
        <f t="shared" si="1733"/>
        <v/>
      </c>
      <c r="AB599" s="612" t="str">
        <f t="shared" si="1733"/>
        <v/>
      </c>
      <c r="AC599" s="612" t="str">
        <f t="shared" si="1733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1734">IF(AL598="","",AL594*AL595*AL598)</f>
        <v/>
      </c>
      <c r="AM599" s="612" t="str">
        <f t="shared" si="1734"/>
        <v/>
      </c>
      <c r="AN599" s="612" t="str">
        <f t="shared" si="1734"/>
        <v/>
      </c>
      <c r="AO599" s="612" t="str">
        <f t="shared" si="1734"/>
        <v/>
      </c>
      <c r="AP599" s="612" t="str">
        <f t="shared" si="1734"/>
        <v/>
      </c>
      <c r="AQ599" s="612" t="str">
        <f t="shared" si="1734"/>
        <v/>
      </c>
      <c r="AR599" s="612" t="str">
        <f t="shared" si="1734"/>
        <v/>
      </c>
      <c r="AS599" s="612" t="str">
        <f t="shared" si="1734"/>
        <v/>
      </c>
      <c r="AT599" s="612" t="str">
        <f t="shared" si="1734"/>
        <v/>
      </c>
      <c r="AU599" s="612" t="str">
        <f t="shared" si="1734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1735">IF(BD598="","",BD594*BD595*BD598)</f>
        <v/>
      </c>
      <c r="BE599" s="1201" t="str">
        <f t="shared" si="1735"/>
        <v/>
      </c>
      <c r="BF599" s="1201" t="str">
        <f t="shared" si="1735"/>
        <v/>
      </c>
      <c r="BG599" s="1201" t="str">
        <f t="shared" si="1735"/>
        <v/>
      </c>
      <c r="BH599" s="1201" t="str">
        <f t="shared" si="1735"/>
        <v/>
      </c>
      <c r="BI599" s="1201" t="str">
        <f t="shared" si="1735"/>
        <v/>
      </c>
      <c r="BJ599" s="1201" t="str">
        <f t="shared" si="1735"/>
        <v/>
      </c>
      <c r="BK599" s="1201" t="str">
        <f t="shared" si="1735"/>
        <v/>
      </c>
      <c r="BL599" s="1201" t="str">
        <f t="shared" si="1735"/>
        <v/>
      </c>
      <c r="BM599" s="1201" t="str">
        <f t="shared" si="1735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 t="shared" si="1711"/>
        <v/>
      </c>
      <c r="CA599" s="864" t="str">
        <f t="shared" si="1712"/>
        <v/>
      </c>
      <c r="CB599" s="864" t="str">
        <f t="shared" si="1713"/>
        <v/>
      </c>
      <c r="CC599" s="865" t="str">
        <f t="shared" si="1714"/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1731"/>
        <v/>
      </c>
      <c r="CT599" s="535" t="str">
        <f t="shared" si="1731"/>
        <v/>
      </c>
      <c r="CU599" s="536" t="str">
        <f t="shared" si="1731"/>
        <v/>
      </c>
      <c r="CV599" s="536" t="str">
        <f t="shared" si="1731"/>
        <v/>
      </c>
      <c r="CW599" s="536" t="str">
        <f t="shared" si="1731"/>
        <v/>
      </c>
      <c r="CX599" s="535" t="str">
        <f t="shared" si="1731"/>
        <v/>
      </c>
      <c r="CY599" s="535" t="str">
        <f t="shared" si="1731"/>
        <v/>
      </c>
      <c r="CZ599" s="535" t="str">
        <f t="shared" si="1731"/>
        <v/>
      </c>
      <c r="DA599" s="535" t="str">
        <f t="shared" si="1731"/>
        <v/>
      </c>
      <c r="DB599" s="535" t="str">
        <f t="shared" si="1731"/>
        <v/>
      </c>
      <c r="DC599" s="534" t="str">
        <f t="shared" si="1731"/>
        <v/>
      </c>
      <c r="DD599" s="533" t="str">
        <f t="shared" si="1731"/>
        <v/>
      </c>
      <c r="DE599" s="635">
        <f t="shared" si="1716"/>
        <v>0</v>
      </c>
      <c r="DF599" s="95">
        <f t="shared" si="1717"/>
        <v>0</v>
      </c>
      <c r="DG599" s="95">
        <f t="shared" si="1718"/>
        <v>0</v>
      </c>
      <c r="DH599" s="95">
        <f t="shared" si="1719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173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736"/>
        <v/>
      </c>
      <c r="CF601" s="81" t="str">
        <f t="shared" si="1736"/>
        <v/>
      </c>
      <c r="CG601" s="81" t="str">
        <f t="shared" si="1736"/>
        <v/>
      </c>
      <c r="CH601" s="145" t="str">
        <f t="shared" si="1736"/>
        <v/>
      </c>
      <c r="CI601" s="145" t="str">
        <f t="shared" si="1736"/>
        <v/>
      </c>
      <c r="CJ601" s="81" t="str">
        <f t="shared" si="1736"/>
        <v/>
      </c>
      <c r="CK601" s="81" t="str">
        <f t="shared" si="1736"/>
        <v/>
      </c>
      <c r="CL601" s="81" t="str">
        <f t="shared" si="1736"/>
        <v/>
      </c>
      <c r="CM601" s="508" t="str">
        <f t="shared" si="1736"/>
        <v/>
      </c>
      <c r="CN601" s="533" t="str">
        <f t="shared" ref="CN601:DD605" si="1737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1737"/>
        <v/>
      </c>
      <c r="CP601" s="535" t="str">
        <f t="shared" si="1737"/>
        <v/>
      </c>
      <c r="CQ601" s="535" t="str">
        <f t="shared" si="1737"/>
        <v/>
      </c>
      <c r="CR601" s="535" t="str">
        <f t="shared" si="1737"/>
        <v/>
      </c>
      <c r="CS601" s="535" t="str">
        <f t="shared" si="1737"/>
        <v/>
      </c>
      <c r="CT601" s="535" t="str">
        <f t="shared" si="1737"/>
        <v/>
      </c>
      <c r="CU601" s="536" t="str">
        <f t="shared" si="1737"/>
        <v/>
      </c>
      <c r="CV601" s="536" t="str">
        <f t="shared" si="1737"/>
        <v/>
      </c>
      <c r="CW601" s="536" t="str">
        <f t="shared" si="1737"/>
        <v/>
      </c>
      <c r="CX601" s="535" t="str">
        <f t="shared" si="1737"/>
        <v/>
      </c>
      <c r="CY601" s="535" t="str">
        <f t="shared" si="1737"/>
        <v/>
      </c>
      <c r="CZ601" s="535" t="str">
        <f t="shared" si="1737"/>
        <v/>
      </c>
      <c r="DA601" s="535" t="str">
        <f t="shared" si="1737"/>
        <v/>
      </c>
      <c r="DB601" s="535" t="str">
        <f t="shared" si="1737"/>
        <v/>
      </c>
      <c r="DC601" s="534" t="str">
        <f t="shared" si="1737"/>
        <v/>
      </c>
      <c r="DD601" s="533" t="str">
        <f t="shared" si="1737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1738">2166*$K$1</f>
        <v>9068.6088</v>
      </c>
      <c r="D602" s="595">
        <f t="shared" si="1738"/>
        <v>9068.6088</v>
      </c>
      <c r="E602" s="595">
        <f t="shared" si="1738"/>
        <v>9068.6088</v>
      </c>
      <c r="F602" s="595">
        <f t="shared" si="1738"/>
        <v>9068.6088</v>
      </c>
      <c r="G602" s="595">
        <f t="shared" si="1738"/>
        <v>9068.6088</v>
      </c>
      <c r="H602" s="595">
        <f t="shared" si="1738"/>
        <v>9068.6088</v>
      </c>
      <c r="I602" s="595">
        <f t="shared" si="1738"/>
        <v>9068.6088</v>
      </c>
      <c r="J602" s="595">
        <f t="shared" si="1738"/>
        <v>9068.6088</v>
      </c>
      <c r="K602" s="595">
        <f t="shared" si="1738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1739">2166*$K$1</f>
        <v>9068.6088</v>
      </c>
      <c r="V602" s="595">
        <f t="shared" si="1739"/>
        <v>9068.6088</v>
      </c>
      <c r="W602" s="595">
        <f t="shared" si="1739"/>
        <v>9068.6088</v>
      </c>
      <c r="X602" s="595">
        <f t="shared" si="1739"/>
        <v>9068.6088</v>
      </c>
      <c r="Y602" s="595">
        <f t="shared" si="1739"/>
        <v>9068.6088</v>
      </c>
      <c r="Z602" s="595">
        <f t="shared" si="1739"/>
        <v>9068.6088</v>
      </c>
      <c r="AA602" s="595">
        <f t="shared" si="1739"/>
        <v>9068.6088</v>
      </c>
      <c r="AB602" s="595">
        <f t="shared" si="1739"/>
        <v>9068.6088</v>
      </c>
      <c r="AC602" s="595">
        <f t="shared" si="1739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1740">2166*$K$1</f>
        <v>9068.6088</v>
      </c>
      <c r="AN602" s="595">
        <f t="shared" si="1740"/>
        <v>9068.6088</v>
      </c>
      <c r="AO602" s="595">
        <f t="shared" si="1740"/>
        <v>9068.6088</v>
      </c>
      <c r="AP602" s="595">
        <f t="shared" si="1740"/>
        <v>9068.6088</v>
      </c>
      <c r="AQ602" s="595">
        <f t="shared" si="1740"/>
        <v>9068.6088</v>
      </c>
      <c r="AR602" s="595">
        <f t="shared" si="1740"/>
        <v>9068.6088</v>
      </c>
      <c r="AS602" s="595">
        <f t="shared" si="1740"/>
        <v>9068.6088</v>
      </c>
      <c r="AT602" s="595">
        <f t="shared" si="1740"/>
        <v>9068.6088</v>
      </c>
      <c r="AU602" s="595">
        <f t="shared" si="1740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1741">2166*$K$1</f>
        <v>9068.6088</v>
      </c>
      <c r="BF602" s="1196">
        <f t="shared" si="1741"/>
        <v>9068.6088</v>
      </c>
      <c r="BG602" s="1196">
        <f t="shared" si="1741"/>
        <v>9068.6088</v>
      </c>
      <c r="BH602" s="1196">
        <f t="shared" si="1741"/>
        <v>9068.6088</v>
      </c>
      <c r="BI602" s="1196">
        <f t="shared" si="1741"/>
        <v>9068.6088</v>
      </c>
      <c r="BJ602" s="1196">
        <f t="shared" si="1741"/>
        <v>9068.6088</v>
      </c>
      <c r="BK602" s="1196">
        <f t="shared" si="1741"/>
        <v>9068.6088</v>
      </c>
      <c r="BL602" s="1196">
        <f t="shared" si="1741"/>
        <v>9068.6088</v>
      </c>
      <c r="BM602" s="1196">
        <f t="shared" si="1741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>2166*$K$1</f>
        <v>9068.6088</v>
      </c>
      <c r="BW602" s="595">
        <f>2166*$K$1</f>
        <v>9068.6088</v>
      </c>
      <c r="BX602" s="595">
        <f>2166*$K$1</f>
        <v>9068.6088</v>
      </c>
      <c r="BY602" s="595">
        <f>2166*$K$1</f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1736"/>
        <v>9068.6088</v>
      </c>
      <c r="CE602" s="81">
        <f t="shared" si="1736"/>
        <v>9068.6088</v>
      </c>
      <c r="CF602" s="81">
        <f t="shared" si="1736"/>
        <v>9068.6088</v>
      </c>
      <c r="CG602" s="81">
        <f t="shared" si="1736"/>
        <v>9068.6088</v>
      </c>
      <c r="CH602" s="145">
        <f t="shared" si="1736"/>
        <v>9068.6088</v>
      </c>
      <c r="CI602" s="145">
        <f t="shared" si="1736"/>
        <v>9068.6088</v>
      </c>
      <c r="CJ602" s="81">
        <f t="shared" si="1736"/>
        <v>9068.6088</v>
      </c>
      <c r="CK602" s="81">
        <f t="shared" si="1736"/>
        <v>9068.6088</v>
      </c>
      <c r="CL602" s="81">
        <f t="shared" si="1736"/>
        <v>9068.6088</v>
      </c>
      <c r="CM602" s="508">
        <f t="shared" si="1736"/>
        <v>9068.6088</v>
      </c>
      <c r="CN602" s="533" t="str">
        <f t="shared" si="1737"/>
        <v/>
      </c>
      <c r="CO602" s="534" t="str">
        <f t="shared" si="1737"/>
        <v/>
      </c>
      <c r="CP602" s="535" t="str">
        <f t="shared" si="1737"/>
        <v/>
      </c>
      <c r="CQ602" s="535" t="str">
        <f t="shared" si="1737"/>
        <v/>
      </c>
      <c r="CR602" s="535">
        <f t="shared" si="1737"/>
        <v>9068.6088</v>
      </c>
      <c r="CS602" s="535">
        <f t="shared" si="1737"/>
        <v>9068.6088</v>
      </c>
      <c r="CT602" s="535">
        <f t="shared" si="1737"/>
        <v>9068.6088</v>
      </c>
      <c r="CU602" s="536">
        <f t="shared" si="1737"/>
        <v>9068.6088</v>
      </c>
      <c r="CV602" s="536">
        <f t="shared" si="1737"/>
        <v>9068.6088</v>
      </c>
      <c r="CW602" s="536">
        <f t="shared" si="1737"/>
        <v>9068.6088</v>
      </c>
      <c r="CX602" s="535">
        <f t="shared" si="1737"/>
        <v>9068.6088</v>
      </c>
      <c r="CY602" s="535">
        <f t="shared" si="1737"/>
        <v>9068.6088</v>
      </c>
      <c r="CZ602" s="535">
        <f t="shared" si="1737"/>
        <v>9068.6088</v>
      </c>
      <c r="DA602" s="535">
        <f t="shared" si="1737"/>
        <v>9068.6088</v>
      </c>
      <c r="DB602" s="535" t="str">
        <f t="shared" si="1737"/>
        <v/>
      </c>
      <c r="DC602" s="534" t="str">
        <f t="shared" si="1737"/>
        <v/>
      </c>
      <c r="DD602" s="533" t="str">
        <f t="shared" si="1737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1742">IF(B601="","",B601*B602/B$46/365/$G$1)</f>
        <v/>
      </c>
      <c r="C603" s="615" t="str">
        <f t="shared" si="1742"/>
        <v/>
      </c>
      <c r="D603" s="615" t="str">
        <f t="shared" si="1742"/>
        <v/>
      </c>
      <c r="E603" s="615" t="str">
        <f t="shared" si="1742"/>
        <v/>
      </c>
      <c r="F603" s="615" t="str">
        <f t="shared" si="1742"/>
        <v/>
      </c>
      <c r="G603" s="615" t="str">
        <f t="shared" si="1742"/>
        <v/>
      </c>
      <c r="H603" s="615" t="str">
        <f t="shared" si="1742"/>
        <v/>
      </c>
      <c r="I603" s="615" t="str">
        <f t="shared" si="1742"/>
        <v/>
      </c>
      <c r="J603" s="615" t="str">
        <f t="shared" si="1742"/>
        <v/>
      </c>
      <c r="K603" s="615" t="str">
        <f t="shared" si="1742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1743">IF(T601="","",T601*T602/T$46/365/$G$1)</f>
        <v/>
      </c>
      <c r="U603" s="615" t="str">
        <f t="shared" si="1743"/>
        <v/>
      </c>
      <c r="V603" s="615" t="str">
        <f t="shared" si="1743"/>
        <v/>
      </c>
      <c r="W603" s="615" t="str">
        <f t="shared" si="1743"/>
        <v/>
      </c>
      <c r="X603" s="615" t="str">
        <f t="shared" si="1743"/>
        <v/>
      </c>
      <c r="Y603" s="615" t="str">
        <f t="shared" si="1743"/>
        <v/>
      </c>
      <c r="Z603" s="615" t="str">
        <f t="shared" si="1743"/>
        <v/>
      </c>
      <c r="AA603" s="615" t="str">
        <f t="shared" si="1743"/>
        <v/>
      </c>
      <c r="AB603" s="615" t="str">
        <f t="shared" si="1743"/>
        <v/>
      </c>
      <c r="AC603" s="615" t="str">
        <f t="shared" si="1743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1744">IF(AL601="","",AL601*AL602/AL$46/365/$G$1)</f>
        <v/>
      </c>
      <c r="AM603" s="615" t="str">
        <f t="shared" si="1744"/>
        <v/>
      </c>
      <c r="AN603" s="615" t="str">
        <f t="shared" si="1744"/>
        <v/>
      </c>
      <c r="AO603" s="615" t="str">
        <f t="shared" si="1744"/>
        <v/>
      </c>
      <c r="AP603" s="615" t="str">
        <f t="shared" si="1744"/>
        <v/>
      </c>
      <c r="AQ603" s="615" t="str">
        <f t="shared" si="1744"/>
        <v/>
      </c>
      <c r="AR603" s="615" t="str">
        <f t="shared" si="1744"/>
        <v/>
      </c>
      <c r="AS603" s="615" t="str">
        <f t="shared" si="1744"/>
        <v/>
      </c>
      <c r="AT603" s="615" t="str">
        <f t="shared" si="1744"/>
        <v/>
      </c>
      <c r="AU603" s="615" t="str">
        <f t="shared" si="1744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1745">IF(BD601="","",BD601*BD602/BD$46/365/$G$1)</f>
        <v/>
      </c>
      <c r="BE603" s="1202" t="str">
        <f t="shared" si="1745"/>
        <v/>
      </c>
      <c r="BF603" s="1202" t="str">
        <f t="shared" si="1745"/>
        <v/>
      </c>
      <c r="BG603" s="1202" t="str">
        <f t="shared" si="1745"/>
        <v/>
      </c>
      <c r="BH603" s="1202" t="str">
        <f t="shared" si="1745"/>
        <v/>
      </c>
      <c r="BI603" s="1202" t="str">
        <f t="shared" si="1745"/>
        <v/>
      </c>
      <c r="BJ603" s="1202" t="str">
        <f t="shared" si="1745"/>
        <v/>
      </c>
      <c r="BK603" s="1202" t="str">
        <f t="shared" si="1745"/>
        <v/>
      </c>
      <c r="BL603" s="1202" t="str">
        <f t="shared" si="1745"/>
        <v/>
      </c>
      <c r="BM603" s="1202" t="str">
        <f t="shared" si="1745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>IF(DE603&lt;3,"",(SUM(B603:R603)-MIN(B603:R603)-MAX(B603:R603))/(DE603-2))</f>
        <v/>
      </c>
      <c r="CA603" s="607" t="str">
        <f>IF(DF603&lt;3,"",(SUM(T603:AJ603)-MIN(T603:AJ603)-MAX(T603:AJ603))/(DF603-2))</f>
        <v/>
      </c>
      <c r="CB603" s="607" t="str">
        <f>IF(DG603&lt;3,"",(SUM(AL603:BB603)-MIN(AL603:BB603)-MAX(AL603:BB603))/(DG603-2))</f>
        <v/>
      </c>
      <c r="CC603" s="673" t="str">
        <f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174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1746"/>
        <v/>
      </c>
      <c r="CG603" s="992" t="str">
        <f t="shared" si="1746"/>
        <v/>
      </c>
      <c r="CH603" s="993" t="str">
        <f t="shared" si="1746"/>
        <v/>
      </c>
      <c r="CI603" s="993" t="str">
        <f t="shared" si="1746"/>
        <v/>
      </c>
      <c r="CJ603" s="992" t="str">
        <f t="shared" si="1746"/>
        <v/>
      </c>
      <c r="CK603" s="992" t="str">
        <f t="shared" si="1746"/>
        <v/>
      </c>
      <c r="CL603" s="992" t="str">
        <f t="shared" si="1746"/>
        <v/>
      </c>
      <c r="CM603" s="991" t="str">
        <f t="shared" si="1746"/>
        <v/>
      </c>
      <c r="CN603" s="521" t="str">
        <f t="shared" ref="CN603:CW603" si="1747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1747"/>
        <v/>
      </c>
      <c r="CP603" s="523" t="str">
        <f t="shared" si="1747"/>
        <v/>
      </c>
      <c r="CQ603" s="523" t="str">
        <f t="shared" si="1747"/>
        <v/>
      </c>
      <c r="CR603" s="523" t="str">
        <f t="shared" si="1747"/>
        <v/>
      </c>
      <c r="CS603" s="523" t="str">
        <f t="shared" si="1747"/>
        <v/>
      </c>
      <c r="CT603" s="523" t="str">
        <f t="shared" si="1747"/>
        <v/>
      </c>
      <c r="CU603" s="524" t="str">
        <f t="shared" si="1747"/>
        <v/>
      </c>
      <c r="CV603" s="524" t="str">
        <f t="shared" si="1747"/>
        <v/>
      </c>
      <c r="CW603" s="524" t="str">
        <f t="shared" si="1747"/>
        <v/>
      </c>
      <c r="CX603" s="523" t="str">
        <f t="shared" ref="CX603:DD603" si="174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1748"/>
        <v/>
      </c>
      <c r="CZ603" s="523" t="str">
        <f t="shared" si="1748"/>
        <v/>
      </c>
      <c r="DA603" s="523" t="str">
        <f t="shared" si="1748"/>
        <v/>
      </c>
      <c r="DB603" s="523" t="str">
        <f t="shared" si="1748"/>
        <v/>
      </c>
      <c r="DC603" s="522" t="str">
        <f t="shared" si="1748"/>
        <v/>
      </c>
      <c r="DD603" s="521" t="str">
        <f t="shared" si="1748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1736"/>
        <v/>
      </c>
      <c r="CE604" s="81" t="str">
        <f t="shared" si="1736"/>
        <v/>
      </c>
      <c r="CF604" s="81" t="str">
        <f t="shared" si="1736"/>
        <v/>
      </c>
      <c r="CG604" s="81" t="str">
        <f t="shared" si="1736"/>
        <v/>
      </c>
      <c r="CH604" s="145" t="str">
        <f t="shared" si="1736"/>
        <v/>
      </c>
      <c r="CI604" s="145" t="str">
        <f t="shared" si="1736"/>
        <v/>
      </c>
      <c r="CJ604" s="81" t="str">
        <f t="shared" si="1736"/>
        <v/>
      </c>
      <c r="CK604" s="81" t="str">
        <f t="shared" si="1736"/>
        <v/>
      </c>
      <c r="CL604" s="81" t="str">
        <f t="shared" si="1736"/>
        <v/>
      </c>
      <c r="CM604" s="508" t="str">
        <f t="shared" si="1736"/>
        <v/>
      </c>
      <c r="CN604" s="533" t="str">
        <f t="shared" si="1737"/>
        <v/>
      </c>
      <c r="CO604" s="534" t="str">
        <f t="shared" si="1737"/>
        <v/>
      </c>
      <c r="CP604" s="535" t="str">
        <f t="shared" si="1737"/>
        <v/>
      </c>
      <c r="CQ604" s="535" t="str">
        <f t="shared" si="1737"/>
        <v/>
      </c>
      <c r="CR604" s="535" t="str">
        <f t="shared" si="1737"/>
        <v/>
      </c>
      <c r="CS604" s="535" t="str">
        <f t="shared" si="1737"/>
        <v/>
      </c>
      <c r="CT604" s="535" t="str">
        <f t="shared" si="1737"/>
        <v/>
      </c>
      <c r="CU604" s="536" t="str">
        <f t="shared" si="1737"/>
        <v/>
      </c>
      <c r="CV604" s="536" t="str">
        <f t="shared" si="1737"/>
        <v/>
      </c>
      <c r="CW604" s="536" t="str">
        <f t="shared" si="1737"/>
        <v/>
      </c>
      <c r="CX604" s="535" t="str">
        <f t="shared" si="1737"/>
        <v/>
      </c>
      <c r="CY604" s="535" t="str">
        <f t="shared" si="1737"/>
        <v/>
      </c>
      <c r="CZ604" s="535" t="str">
        <f t="shared" si="1737"/>
        <v/>
      </c>
      <c r="DA604" s="535" t="str">
        <f t="shared" si="1737"/>
        <v/>
      </c>
      <c r="DB604" s="535" t="str">
        <f t="shared" si="1737"/>
        <v/>
      </c>
      <c r="DC604" s="534" t="str">
        <f t="shared" si="1737"/>
        <v/>
      </c>
      <c r="DD604" s="533" t="str">
        <f t="shared" si="1737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1749">IF(B604="","",B601*B604)</f>
        <v/>
      </c>
      <c r="C605" s="612" t="str">
        <f t="shared" si="1749"/>
        <v/>
      </c>
      <c r="D605" s="612" t="str">
        <f t="shared" si="1749"/>
        <v/>
      </c>
      <c r="E605" s="612" t="str">
        <f t="shared" si="1749"/>
        <v/>
      </c>
      <c r="F605" s="612" t="str">
        <f t="shared" si="1749"/>
        <v/>
      </c>
      <c r="G605" s="612" t="str">
        <f t="shared" si="1749"/>
        <v/>
      </c>
      <c r="H605" s="612" t="str">
        <f t="shared" si="1749"/>
        <v/>
      </c>
      <c r="I605" s="612" t="str">
        <f t="shared" si="1749"/>
        <v/>
      </c>
      <c r="J605" s="612" t="str">
        <f t="shared" si="1749"/>
        <v/>
      </c>
      <c r="K605" s="612" t="str">
        <f t="shared" si="1749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1750">IF(T604="","",T601*T604)</f>
        <v/>
      </c>
      <c r="U605" s="612" t="str">
        <f t="shared" si="1750"/>
        <v/>
      </c>
      <c r="V605" s="612" t="str">
        <f t="shared" si="1750"/>
        <v/>
      </c>
      <c r="W605" s="612" t="str">
        <f t="shared" si="1750"/>
        <v/>
      </c>
      <c r="X605" s="612" t="str">
        <f t="shared" si="1750"/>
        <v/>
      </c>
      <c r="Y605" s="612" t="str">
        <f t="shared" si="1750"/>
        <v/>
      </c>
      <c r="Z605" s="612" t="str">
        <f t="shared" si="1750"/>
        <v/>
      </c>
      <c r="AA605" s="612" t="str">
        <f t="shared" si="1750"/>
        <v/>
      </c>
      <c r="AB605" s="612" t="str">
        <f t="shared" si="1750"/>
        <v/>
      </c>
      <c r="AC605" s="612" t="str">
        <f t="shared" si="1750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1751">IF(AL604="","",AL601*AL604)</f>
        <v/>
      </c>
      <c r="AM605" s="612" t="str">
        <f t="shared" si="1751"/>
        <v/>
      </c>
      <c r="AN605" s="612" t="str">
        <f t="shared" si="1751"/>
        <v/>
      </c>
      <c r="AO605" s="612" t="str">
        <f t="shared" si="1751"/>
        <v/>
      </c>
      <c r="AP605" s="612" t="str">
        <f t="shared" si="1751"/>
        <v/>
      </c>
      <c r="AQ605" s="612" t="str">
        <f t="shared" si="1751"/>
        <v/>
      </c>
      <c r="AR605" s="612" t="str">
        <f t="shared" si="1751"/>
        <v/>
      </c>
      <c r="AS605" s="612" t="str">
        <f t="shared" si="1751"/>
        <v/>
      </c>
      <c r="AT605" s="612" t="str">
        <f t="shared" si="1751"/>
        <v/>
      </c>
      <c r="AU605" s="612" t="str">
        <f t="shared" si="1751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1752">IF(BD604="","",BD601*BD604)</f>
        <v/>
      </c>
      <c r="BE605" s="1201" t="str">
        <f t="shared" si="1752"/>
        <v/>
      </c>
      <c r="BF605" s="1201" t="str">
        <f t="shared" si="1752"/>
        <v/>
      </c>
      <c r="BG605" s="1201" t="str">
        <f t="shared" si="1752"/>
        <v/>
      </c>
      <c r="BH605" s="1201" t="str">
        <f t="shared" si="1752"/>
        <v/>
      </c>
      <c r="BI605" s="1201" t="str">
        <f t="shared" si="1752"/>
        <v/>
      </c>
      <c r="BJ605" s="1201" t="str">
        <f t="shared" si="1752"/>
        <v/>
      </c>
      <c r="BK605" s="1201" t="str">
        <f t="shared" si="1752"/>
        <v/>
      </c>
      <c r="BL605" s="1201" t="str">
        <f t="shared" si="1752"/>
        <v/>
      </c>
      <c r="BM605" s="1201" t="str">
        <f t="shared" si="1752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1736"/>
        <v/>
      </c>
      <c r="CE605" s="81" t="str">
        <f t="shared" si="1736"/>
        <v/>
      </c>
      <c r="CF605" s="81" t="str">
        <f t="shared" si="1736"/>
        <v/>
      </c>
      <c r="CG605" s="81" t="str">
        <f t="shared" si="1736"/>
        <v/>
      </c>
      <c r="CH605" s="145" t="str">
        <f t="shared" si="1736"/>
        <v/>
      </c>
      <c r="CI605" s="145" t="str">
        <f t="shared" si="1736"/>
        <v/>
      </c>
      <c r="CJ605" s="81" t="str">
        <f t="shared" si="1736"/>
        <v/>
      </c>
      <c r="CK605" s="81" t="str">
        <f t="shared" si="1736"/>
        <v/>
      </c>
      <c r="CL605" s="81" t="str">
        <f t="shared" si="1736"/>
        <v/>
      </c>
      <c r="CM605" s="508" t="str">
        <f t="shared" si="1736"/>
        <v/>
      </c>
      <c r="CN605" s="533" t="str">
        <f t="shared" si="1737"/>
        <v/>
      </c>
      <c r="CO605" s="534" t="str">
        <f t="shared" si="1737"/>
        <v/>
      </c>
      <c r="CP605" s="535" t="str">
        <f t="shared" si="1737"/>
        <v/>
      </c>
      <c r="CQ605" s="535" t="str">
        <f t="shared" si="1737"/>
        <v/>
      </c>
      <c r="CR605" s="535" t="str">
        <f t="shared" si="1737"/>
        <v/>
      </c>
      <c r="CS605" s="535" t="str">
        <f t="shared" si="1737"/>
        <v/>
      </c>
      <c r="CT605" s="535" t="str">
        <f t="shared" si="1737"/>
        <v/>
      </c>
      <c r="CU605" s="536" t="str">
        <f t="shared" si="1737"/>
        <v/>
      </c>
      <c r="CV605" s="536" t="str">
        <f t="shared" si="1737"/>
        <v/>
      </c>
      <c r="CW605" s="536" t="str">
        <f t="shared" si="1737"/>
        <v/>
      </c>
      <c r="CX605" s="535" t="str">
        <f t="shared" si="1737"/>
        <v/>
      </c>
      <c r="CY605" s="535" t="str">
        <f t="shared" si="1737"/>
        <v/>
      </c>
      <c r="CZ605" s="535" t="str">
        <f t="shared" si="1737"/>
        <v/>
      </c>
      <c r="DA605" s="535" t="str">
        <f t="shared" si="1737"/>
        <v/>
      </c>
      <c r="DB605" s="535" t="str">
        <f t="shared" si="1737"/>
        <v/>
      </c>
      <c r="DC605" s="534" t="str">
        <f t="shared" si="1737"/>
        <v/>
      </c>
      <c r="DD605" s="533" t="str">
        <f t="shared" si="1737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989" t="str">
        <f t="shared" ref="CE607:CM609" si="175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1753"/>
        <v/>
      </c>
      <c r="CG607" s="989" t="str">
        <f t="shared" si="1753"/>
        <v/>
      </c>
      <c r="CH607" s="990" t="str">
        <f t="shared" si="1753"/>
        <v/>
      </c>
      <c r="CI607" s="990" t="str">
        <f t="shared" si="1753"/>
        <v/>
      </c>
      <c r="CJ607" s="989" t="str">
        <f t="shared" si="1753"/>
        <v/>
      </c>
      <c r="CK607" s="989" t="str">
        <f t="shared" si="1753"/>
        <v/>
      </c>
      <c r="CL607" s="989" t="str">
        <f t="shared" si="1753"/>
        <v/>
      </c>
      <c r="CM607" s="988" t="str">
        <f t="shared" si="1753"/>
        <v/>
      </c>
      <c r="CN607" s="533" t="str">
        <f t="shared" ref="CN607:CW611" si="1754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1754"/>
        <v/>
      </c>
      <c r="CP607" s="535" t="str">
        <f t="shared" si="1754"/>
        <v/>
      </c>
      <c r="CQ607" s="535" t="str">
        <f t="shared" si="1754"/>
        <v/>
      </c>
      <c r="CR607" s="535" t="str">
        <f t="shared" si="1754"/>
        <v/>
      </c>
      <c r="CS607" s="535" t="str">
        <f t="shared" si="1754"/>
        <v/>
      </c>
      <c r="CT607" s="535" t="str">
        <f t="shared" si="1754"/>
        <v/>
      </c>
      <c r="CU607" s="536" t="str">
        <f t="shared" si="1754"/>
        <v/>
      </c>
      <c r="CV607" s="536" t="str">
        <f t="shared" si="1754"/>
        <v/>
      </c>
      <c r="CW607" s="536" t="str">
        <f t="shared" si="1754"/>
        <v/>
      </c>
      <c r="CX607" s="535" t="str">
        <f t="shared" ref="CX607:DD611" si="1755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1755"/>
        <v/>
      </c>
      <c r="CZ607" s="535" t="str">
        <f t="shared" si="1755"/>
        <v/>
      </c>
      <c r="DA607" s="535" t="str">
        <f t="shared" si="1755"/>
        <v/>
      </c>
      <c r="DB607" s="535" t="str">
        <f t="shared" si="1755"/>
        <v/>
      </c>
      <c r="DC607" s="534" t="str">
        <f t="shared" si="1755"/>
        <v/>
      </c>
      <c r="DD607" s="533" t="str">
        <f t="shared" si="1755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1756">5470*$K$1</f>
        <v>22901.795999999998</v>
      </c>
      <c r="D608" s="595">
        <f t="shared" si="1756"/>
        <v>22901.795999999998</v>
      </c>
      <c r="E608" s="595">
        <f t="shared" si="1756"/>
        <v>22901.795999999998</v>
      </c>
      <c r="F608" s="595">
        <f t="shared" si="1756"/>
        <v>22901.795999999998</v>
      </c>
      <c r="G608" s="595">
        <f t="shared" si="1756"/>
        <v>22901.795999999998</v>
      </c>
      <c r="H608" s="595">
        <f t="shared" si="1756"/>
        <v>22901.795999999998</v>
      </c>
      <c r="I608" s="595">
        <f t="shared" si="1756"/>
        <v>22901.795999999998</v>
      </c>
      <c r="J608" s="595">
        <f t="shared" si="1756"/>
        <v>22901.795999999998</v>
      </c>
      <c r="K608" s="595">
        <f t="shared" si="1756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1757">5470*$K$1</f>
        <v>22901.795999999998</v>
      </c>
      <c r="V608" s="595">
        <f t="shared" si="1757"/>
        <v>22901.795999999998</v>
      </c>
      <c r="W608" s="595">
        <f t="shared" si="1757"/>
        <v>22901.795999999998</v>
      </c>
      <c r="X608" s="595">
        <f t="shared" si="1757"/>
        <v>22901.795999999998</v>
      </c>
      <c r="Y608" s="595">
        <f t="shared" si="1757"/>
        <v>22901.795999999998</v>
      </c>
      <c r="Z608" s="595">
        <f t="shared" si="1757"/>
        <v>22901.795999999998</v>
      </c>
      <c r="AA608" s="595">
        <f t="shared" si="1757"/>
        <v>22901.795999999998</v>
      </c>
      <c r="AB608" s="595">
        <f t="shared" si="1757"/>
        <v>22901.795999999998</v>
      </c>
      <c r="AC608" s="595">
        <f t="shared" si="1757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1758">5470*$K$1</f>
        <v>22901.795999999998</v>
      </c>
      <c r="AN608" s="595">
        <f t="shared" si="1758"/>
        <v>22901.795999999998</v>
      </c>
      <c r="AO608" s="595">
        <f t="shared" si="1758"/>
        <v>22901.795999999998</v>
      </c>
      <c r="AP608" s="595">
        <f t="shared" si="1758"/>
        <v>22901.795999999998</v>
      </c>
      <c r="AQ608" s="595">
        <f t="shared" si="1758"/>
        <v>22901.795999999998</v>
      </c>
      <c r="AR608" s="595">
        <f t="shared" si="1758"/>
        <v>22901.795999999998</v>
      </c>
      <c r="AS608" s="595">
        <f t="shared" si="1758"/>
        <v>22901.795999999998</v>
      </c>
      <c r="AT608" s="595">
        <f t="shared" si="1758"/>
        <v>22901.795999999998</v>
      </c>
      <c r="AU608" s="595">
        <f t="shared" si="1758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1759">5470*$K$1</f>
        <v>22901.795999999998</v>
      </c>
      <c r="BF608" s="1196">
        <f t="shared" si="1759"/>
        <v>22901.795999999998</v>
      </c>
      <c r="BG608" s="1196">
        <f t="shared" si="1759"/>
        <v>22901.795999999998</v>
      </c>
      <c r="BH608" s="1196">
        <f t="shared" si="1759"/>
        <v>22901.795999999998</v>
      </c>
      <c r="BI608" s="1196">
        <f t="shared" si="1759"/>
        <v>22901.795999999998</v>
      </c>
      <c r="BJ608" s="1196">
        <f t="shared" si="1759"/>
        <v>22901.795999999998</v>
      </c>
      <c r="BK608" s="1196">
        <f t="shared" si="1759"/>
        <v>22901.795999999998</v>
      </c>
      <c r="BL608" s="1196">
        <f t="shared" si="1759"/>
        <v>22901.795999999998</v>
      </c>
      <c r="BM608" s="1196">
        <f t="shared" si="1759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>5470*$K$1</f>
        <v>22901.795999999998</v>
      </c>
      <c r="BW608" s="595">
        <f>5470*$K$1</f>
        <v>22901.795999999998</v>
      </c>
      <c r="BX608" s="595">
        <f>5470*$K$1</f>
        <v>22901.795999999998</v>
      </c>
      <c r="BY608" s="595">
        <f>5470*$K$1</f>
        <v>22901.795999999998</v>
      </c>
      <c r="BZ608" s="582"/>
      <c r="CA608" s="582"/>
      <c r="CB608" s="582"/>
      <c r="CC608" s="670"/>
      <c r="CD608" s="98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989">
        <f t="shared" si="1753"/>
        <v>22901.795999999998</v>
      </c>
      <c r="CF608" s="989">
        <f t="shared" si="1753"/>
        <v>22901.795999999998</v>
      </c>
      <c r="CG608" s="989">
        <f t="shared" si="1753"/>
        <v>22901.795999999998</v>
      </c>
      <c r="CH608" s="990">
        <f t="shared" si="1753"/>
        <v>22901.795999999998</v>
      </c>
      <c r="CI608" s="990">
        <f t="shared" si="1753"/>
        <v>22901.795999999998</v>
      </c>
      <c r="CJ608" s="989">
        <f t="shared" si="1753"/>
        <v>22901.795999999998</v>
      </c>
      <c r="CK608" s="989">
        <f t="shared" si="1753"/>
        <v>22901.795999999998</v>
      </c>
      <c r="CL608" s="989">
        <f t="shared" si="1753"/>
        <v>22901.795999999998</v>
      </c>
      <c r="CM608" s="988">
        <f t="shared" si="1753"/>
        <v>22901.795999999998</v>
      </c>
      <c r="CN608" s="533" t="str">
        <f t="shared" si="1754"/>
        <v/>
      </c>
      <c r="CO608" s="534" t="str">
        <f t="shared" si="1754"/>
        <v/>
      </c>
      <c r="CP608" s="535" t="str">
        <f t="shared" si="1754"/>
        <v/>
      </c>
      <c r="CQ608" s="535" t="str">
        <f t="shared" si="1754"/>
        <v/>
      </c>
      <c r="CR608" s="535">
        <f t="shared" si="1754"/>
        <v>22901.795999999998</v>
      </c>
      <c r="CS608" s="535">
        <f t="shared" si="1754"/>
        <v>22901.795999999998</v>
      </c>
      <c r="CT608" s="535">
        <f t="shared" si="1754"/>
        <v>22901.795999999998</v>
      </c>
      <c r="CU608" s="536">
        <f t="shared" si="1754"/>
        <v>22901.795999999998</v>
      </c>
      <c r="CV608" s="536">
        <f t="shared" si="1754"/>
        <v>22901.795999999998</v>
      </c>
      <c r="CW608" s="536">
        <f t="shared" si="1754"/>
        <v>22901.795999999998</v>
      </c>
      <c r="CX608" s="535">
        <f t="shared" si="1755"/>
        <v>22901.795999999998</v>
      </c>
      <c r="CY608" s="535">
        <f t="shared" si="1755"/>
        <v>22901.795999999998</v>
      </c>
      <c r="CZ608" s="535">
        <f t="shared" si="1755"/>
        <v>22901.795999999998</v>
      </c>
      <c r="DA608" s="535">
        <f t="shared" si="1755"/>
        <v>22901.795999999998</v>
      </c>
      <c r="DB608" s="535" t="str">
        <f t="shared" si="1755"/>
        <v/>
      </c>
      <c r="DC608" s="534" t="str">
        <f t="shared" si="1755"/>
        <v/>
      </c>
      <c r="DD608" s="533" t="str">
        <f t="shared" si="1755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1760">IF(B607="","",B607*B608/B$46/365/$G$1)</f>
        <v/>
      </c>
      <c r="C609" s="615" t="str">
        <f t="shared" si="1760"/>
        <v/>
      </c>
      <c r="D609" s="615" t="str">
        <f t="shared" si="1760"/>
        <v/>
      </c>
      <c r="E609" s="615" t="str">
        <f t="shared" si="1760"/>
        <v/>
      </c>
      <c r="F609" s="615" t="str">
        <f t="shared" si="1760"/>
        <v/>
      </c>
      <c r="G609" s="615" t="str">
        <f t="shared" si="1760"/>
        <v/>
      </c>
      <c r="H609" s="615" t="str">
        <f t="shared" si="1760"/>
        <v/>
      </c>
      <c r="I609" s="615" t="str">
        <f t="shared" si="1760"/>
        <v/>
      </c>
      <c r="J609" s="615" t="str">
        <f t="shared" si="1760"/>
        <v/>
      </c>
      <c r="K609" s="615" t="str">
        <f t="shared" si="1760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1761">IF(T607="","",T607*T608/T$46/365/$G$1)</f>
        <v/>
      </c>
      <c r="U609" s="615" t="str">
        <f t="shared" si="1761"/>
        <v/>
      </c>
      <c r="V609" s="615" t="str">
        <f t="shared" si="1761"/>
        <v/>
      </c>
      <c r="W609" s="615" t="str">
        <f t="shared" si="1761"/>
        <v/>
      </c>
      <c r="X609" s="615" t="str">
        <f t="shared" si="1761"/>
        <v/>
      </c>
      <c r="Y609" s="615" t="str">
        <f t="shared" si="1761"/>
        <v/>
      </c>
      <c r="Z609" s="615" t="str">
        <f t="shared" si="1761"/>
        <v/>
      </c>
      <c r="AA609" s="615" t="str">
        <f t="shared" si="1761"/>
        <v/>
      </c>
      <c r="AB609" s="615" t="str">
        <f t="shared" si="1761"/>
        <v/>
      </c>
      <c r="AC609" s="615" t="str">
        <f t="shared" si="1761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1762">IF(AL607="","",AL607*AL608/AL$46/365/$G$1)</f>
        <v/>
      </c>
      <c r="AM609" s="615" t="str">
        <f t="shared" si="1762"/>
        <v/>
      </c>
      <c r="AN609" s="615" t="str">
        <f t="shared" si="1762"/>
        <v/>
      </c>
      <c r="AO609" s="615" t="str">
        <f t="shared" si="1762"/>
        <v/>
      </c>
      <c r="AP609" s="615" t="str">
        <f t="shared" si="1762"/>
        <v/>
      </c>
      <c r="AQ609" s="615" t="str">
        <f t="shared" si="1762"/>
        <v/>
      </c>
      <c r="AR609" s="615" t="str">
        <f t="shared" si="1762"/>
        <v/>
      </c>
      <c r="AS609" s="615" t="str">
        <f t="shared" si="1762"/>
        <v/>
      </c>
      <c r="AT609" s="615" t="str">
        <f t="shared" si="1762"/>
        <v/>
      </c>
      <c r="AU609" s="615" t="str">
        <f t="shared" si="1762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1763">IF(BD607="","",BD607*BD608/BD$46/365/$G$1)</f>
        <v/>
      </c>
      <c r="BE609" s="1202" t="str">
        <f t="shared" si="1763"/>
        <v/>
      </c>
      <c r="BF609" s="1202" t="str">
        <f t="shared" si="1763"/>
        <v/>
      </c>
      <c r="BG609" s="1202" t="str">
        <f t="shared" si="1763"/>
        <v/>
      </c>
      <c r="BH609" s="1202" t="str">
        <f t="shared" si="1763"/>
        <v/>
      </c>
      <c r="BI609" s="1202" t="str">
        <f t="shared" si="1763"/>
        <v/>
      </c>
      <c r="BJ609" s="1202" t="str">
        <f t="shared" si="1763"/>
        <v/>
      </c>
      <c r="BK609" s="1202" t="str">
        <f t="shared" si="1763"/>
        <v/>
      </c>
      <c r="BL609" s="1202" t="str">
        <f t="shared" si="1763"/>
        <v/>
      </c>
      <c r="BM609" s="1202" t="str">
        <f t="shared" si="1763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>IF(DE609&lt;3,"",(SUM(B609:R609)-MIN(B609:R609)-MAX(B609:R609))/(DE609-2))</f>
        <v/>
      </c>
      <c r="CA609" s="607" t="str">
        <f>IF(DF609&lt;3,"",(SUM(T609:AJ609)-MIN(T609:AJ609)-MAX(T609:AJ609))/(DF609-2))</f>
        <v/>
      </c>
      <c r="CB609" s="607" t="str">
        <f>IF(DG609&lt;3,"",(SUM(AL609:BB609)-MIN(AL609:BB609)-MAX(AL609:BB609))/(DG609-2))</f>
        <v/>
      </c>
      <c r="CC609" s="673" t="str">
        <f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1753"/>
        <v/>
      </c>
      <c r="CF609" s="992" t="str">
        <f t="shared" si="1753"/>
        <v/>
      </c>
      <c r="CG609" s="992" t="str">
        <f t="shared" si="1753"/>
        <v/>
      </c>
      <c r="CH609" s="993" t="str">
        <f t="shared" si="1753"/>
        <v/>
      </c>
      <c r="CI609" s="993" t="str">
        <f t="shared" si="1753"/>
        <v/>
      </c>
      <c r="CJ609" s="992" t="str">
        <f t="shared" si="1753"/>
        <v/>
      </c>
      <c r="CK609" s="992" t="str">
        <f t="shared" si="1753"/>
        <v/>
      </c>
      <c r="CL609" s="992" t="str">
        <f t="shared" si="1753"/>
        <v/>
      </c>
      <c r="CM609" s="991" t="str">
        <f t="shared" si="1753"/>
        <v/>
      </c>
      <c r="CN609" s="521" t="str">
        <f t="shared" si="1754"/>
        <v/>
      </c>
      <c r="CO609" s="522" t="str">
        <f t="shared" si="1754"/>
        <v/>
      </c>
      <c r="CP609" s="523" t="str">
        <f t="shared" si="1754"/>
        <v/>
      </c>
      <c r="CQ609" s="523" t="str">
        <f t="shared" si="1754"/>
        <v/>
      </c>
      <c r="CR609" s="523" t="str">
        <f t="shared" si="1754"/>
        <v/>
      </c>
      <c r="CS609" s="523" t="str">
        <f t="shared" si="1754"/>
        <v/>
      </c>
      <c r="CT609" s="523" t="str">
        <f t="shared" si="1754"/>
        <v/>
      </c>
      <c r="CU609" s="524" t="str">
        <f t="shared" si="1754"/>
        <v/>
      </c>
      <c r="CV609" s="524" t="str">
        <f t="shared" si="1754"/>
        <v/>
      </c>
      <c r="CW609" s="524" t="str">
        <f t="shared" si="1754"/>
        <v/>
      </c>
      <c r="CX609" s="523" t="str">
        <f t="shared" si="1755"/>
        <v/>
      </c>
      <c r="CY609" s="523" t="str">
        <f t="shared" si="1755"/>
        <v/>
      </c>
      <c r="CZ609" s="523" t="str">
        <f t="shared" si="1755"/>
        <v/>
      </c>
      <c r="DA609" s="523" t="str">
        <f t="shared" si="1755"/>
        <v/>
      </c>
      <c r="DB609" s="523" t="str">
        <f t="shared" si="1755"/>
        <v/>
      </c>
      <c r="DC609" s="522" t="str">
        <f t="shared" si="1755"/>
        <v/>
      </c>
      <c r="DD609" s="521" t="str">
        <f t="shared" si="1755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176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1764"/>
        <v/>
      </c>
      <c r="CF610" s="989" t="str">
        <f t="shared" si="1764"/>
        <v/>
      </c>
      <c r="CG610" s="989" t="str">
        <f t="shared" si="1764"/>
        <v/>
      </c>
      <c r="CH610" s="990" t="str">
        <f t="shared" si="1764"/>
        <v/>
      </c>
      <c r="CI610" s="990" t="str">
        <f t="shared" si="1764"/>
        <v/>
      </c>
      <c r="CJ610" s="989" t="str">
        <f t="shared" si="1764"/>
        <v/>
      </c>
      <c r="CK610" s="989" t="str">
        <f t="shared" si="1764"/>
        <v/>
      </c>
      <c r="CL610" s="989" t="str">
        <f t="shared" si="1764"/>
        <v/>
      </c>
      <c r="CM610" s="988" t="str">
        <f t="shared" si="1764"/>
        <v/>
      </c>
      <c r="CN610" s="533" t="str">
        <f t="shared" si="1754"/>
        <v/>
      </c>
      <c r="CO610" s="534" t="str">
        <f t="shared" si="1754"/>
        <v/>
      </c>
      <c r="CP610" s="535" t="str">
        <f t="shared" si="1754"/>
        <v/>
      </c>
      <c r="CQ610" s="535" t="str">
        <f t="shared" si="1754"/>
        <v/>
      </c>
      <c r="CR610" s="535" t="str">
        <f t="shared" si="1754"/>
        <v/>
      </c>
      <c r="CS610" s="535" t="str">
        <f t="shared" si="1754"/>
        <v/>
      </c>
      <c r="CT610" s="535" t="str">
        <f t="shared" si="1754"/>
        <v/>
      </c>
      <c r="CU610" s="536" t="str">
        <f t="shared" si="1754"/>
        <v/>
      </c>
      <c r="CV610" s="536" t="str">
        <f t="shared" si="1754"/>
        <v/>
      </c>
      <c r="CW610" s="536" t="str">
        <f t="shared" si="1754"/>
        <v/>
      </c>
      <c r="CX610" s="535" t="str">
        <f t="shared" si="1755"/>
        <v/>
      </c>
      <c r="CY610" s="535" t="str">
        <f t="shared" si="1755"/>
        <v/>
      </c>
      <c r="CZ610" s="535" t="str">
        <f t="shared" si="1755"/>
        <v/>
      </c>
      <c r="DA610" s="535" t="str">
        <f t="shared" si="1755"/>
        <v/>
      </c>
      <c r="DB610" s="535" t="str">
        <f t="shared" si="1755"/>
        <v/>
      </c>
      <c r="DC610" s="534" t="str">
        <f t="shared" si="1755"/>
        <v/>
      </c>
      <c r="DD610" s="533" t="str">
        <f t="shared" si="1755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1765">IF(B610="","",B607*B610)</f>
        <v/>
      </c>
      <c r="C611" s="612" t="str">
        <f t="shared" si="1765"/>
        <v/>
      </c>
      <c r="D611" s="612" t="str">
        <f t="shared" si="1765"/>
        <v/>
      </c>
      <c r="E611" s="612" t="str">
        <f t="shared" si="1765"/>
        <v/>
      </c>
      <c r="F611" s="612" t="str">
        <f t="shared" si="1765"/>
        <v/>
      </c>
      <c r="G611" s="612" t="str">
        <f t="shared" si="1765"/>
        <v/>
      </c>
      <c r="H611" s="612" t="str">
        <f t="shared" si="1765"/>
        <v/>
      </c>
      <c r="I611" s="612" t="str">
        <f t="shared" si="1765"/>
        <v/>
      </c>
      <c r="J611" s="612" t="str">
        <f t="shared" si="1765"/>
        <v/>
      </c>
      <c r="K611" s="612" t="str">
        <f t="shared" si="1765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1766">IF(T610="","",T607*T610)</f>
        <v/>
      </c>
      <c r="U611" s="612" t="str">
        <f t="shared" si="1766"/>
        <v/>
      </c>
      <c r="V611" s="612" t="str">
        <f t="shared" si="1766"/>
        <v/>
      </c>
      <c r="W611" s="612" t="str">
        <f t="shared" si="1766"/>
        <v/>
      </c>
      <c r="X611" s="612" t="str">
        <f t="shared" si="1766"/>
        <v/>
      </c>
      <c r="Y611" s="612" t="str">
        <f t="shared" si="1766"/>
        <v/>
      </c>
      <c r="Z611" s="612" t="str">
        <f t="shared" si="1766"/>
        <v/>
      </c>
      <c r="AA611" s="612" t="str">
        <f t="shared" si="1766"/>
        <v/>
      </c>
      <c r="AB611" s="612" t="str">
        <f t="shared" si="1766"/>
        <v/>
      </c>
      <c r="AC611" s="612" t="str">
        <f t="shared" si="1766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1767">IF(AL610="","",AL607*AL610)</f>
        <v/>
      </c>
      <c r="AM611" s="612" t="str">
        <f t="shared" si="1767"/>
        <v/>
      </c>
      <c r="AN611" s="612" t="str">
        <f t="shared" si="1767"/>
        <v/>
      </c>
      <c r="AO611" s="612" t="str">
        <f t="shared" si="1767"/>
        <v/>
      </c>
      <c r="AP611" s="612" t="str">
        <f t="shared" si="1767"/>
        <v/>
      </c>
      <c r="AQ611" s="612" t="str">
        <f t="shared" si="1767"/>
        <v/>
      </c>
      <c r="AR611" s="612" t="str">
        <f t="shared" si="1767"/>
        <v/>
      </c>
      <c r="AS611" s="612" t="str">
        <f t="shared" si="1767"/>
        <v/>
      </c>
      <c r="AT611" s="612" t="str">
        <f t="shared" si="1767"/>
        <v/>
      </c>
      <c r="AU611" s="612" t="str">
        <f t="shared" si="1767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1768">IF(BD610="","",BD607*BD610)</f>
        <v/>
      </c>
      <c r="BE611" s="1201" t="str">
        <f t="shared" si="1768"/>
        <v/>
      </c>
      <c r="BF611" s="1201" t="str">
        <f t="shared" si="1768"/>
        <v/>
      </c>
      <c r="BG611" s="1201" t="str">
        <f t="shared" si="1768"/>
        <v/>
      </c>
      <c r="BH611" s="1201" t="str">
        <f t="shared" si="1768"/>
        <v/>
      </c>
      <c r="BI611" s="1201" t="str">
        <f t="shared" si="1768"/>
        <v/>
      </c>
      <c r="BJ611" s="1201" t="str">
        <f t="shared" si="1768"/>
        <v/>
      </c>
      <c r="BK611" s="1201" t="str">
        <f t="shared" si="1768"/>
        <v/>
      </c>
      <c r="BL611" s="1201" t="str">
        <f t="shared" si="1768"/>
        <v/>
      </c>
      <c r="BM611" s="1201" t="str">
        <f t="shared" si="1768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1764"/>
        <v/>
      </c>
      <c r="CE611" s="989" t="str">
        <f t="shared" ref="CE611:CM611" si="176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1769"/>
        <v/>
      </c>
      <c r="CG611" s="989" t="str">
        <f t="shared" si="1769"/>
        <v/>
      </c>
      <c r="CH611" s="990" t="str">
        <f t="shared" si="1769"/>
        <v/>
      </c>
      <c r="CI611" s="990" t="str">
        <f t="shared" si="1769"/>
        <v/>
      </c>
      <c r="CJ611" s="989" t="str">
        <f t="shared" si="1769"/>
        <v/>
      </c>
      <c r="CK611" s="989" t="str">
        <f t="shared" si="1769"/>
        <v/>
      </c>
      <c r="CL611" s="989" t="str">
        <f t="shared" si="1769"/>
        <v/>
      </c>
      <c r="CM611" s="988" t="str">
        <f t="shared" si="1769"/>
        <v/>
      </c>
      <c r="CN611" s="533" t="str">
        <f t="shared" si="1754"/>
        <v/>
      </c>
      <c r="CO611" s="534" t="str">
        <f t="shared" si="1754"/>
        <v/>
      </c>
      <c r="CP611" s="535" t="str">
        <f t="shared" si="1754"/>
        <v/>
      </c>
      <c r="CQ611" s="535" t="str">
        <f t="shared" si="1754"/>
        <v/>
      </c>
      <c r="CR611" s="535" t="str">
        <f t="shared" si="1754"/>
        <v/>
      </c>
      <c r="CS611" s="535" t="str">
        <f t="shared" si="1754"/>
        <v/>
      </c>
      <c r="CT611" s="535" t="str">
        <f t="shared" si="1754"/>
        <v/>
      </c>
      <c r="CU611" s="536" t="str">
        <f t="shared" si="1754"/>
        <v/>
      </c>
      <c r="CV611" s="536" t="str">
        <f t="shared" si="1754"/>
        <v/>
      </c>
      <c r="CW611" s="536" t="str">
        <f t="shared" si="1754"/>
        <v/>
      </c>
      <c r="CX611" s="535" t="str">
        <f t="shared" si="1755"/>
        <v/>
      </c>
      <c r="CY611" s="535" t="str">
        <f t="shared" si="1755"/>
        <v/>
      </c>
      <c r="CZ611" s="535" t="str">
        <f t="shared" si="1755"/>
        <v/>
      </c>
      <c r="DA611" s="535" t="str">
        <f t="shared" si="1755"/>
        <v/>
      </c>
      <c r="DB611" s="535" t="str">
        <f t="shared" si="1755"/>
        <v/>
      </c>
      <c r="DC611" s="534" t="str">
        <f t="shared" si="1755"/>
        <v/>
      </c>
      <c r="DD611" s="533" t="str">
        <f t="shared" si="1755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177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1770"/>
        <v/>
      </c>
      <c r="CF613" s="989" t="str">
        <f t="shared" si="1770"/>
        <v/>
      </c>
      <c r="CG613" s="989" t="str">
        <f t="shared" si="1770"/>
        <v/>
      </c>
      <c r="CH613" s="990" t="str">
        <f t="shared" si="1770"/>
        <v/>
      </c>
      <c r="CI613" s="990" t="str">
        <f t="shared" si="1770"/>
        <v/>
      </c>
      <c r="CJ613" s="989" t="str">
        <f t="shared" si="1770"/>
        <v/>
      </c>
      <c r="CK613" s="989" t="str">
        <f t="shared" si="1770"/>
        <v/>
      </c>
      <c r="CL613" s="989" t="str">
        <f t="shared" si="1770"/>
        <v/>
      </c>
      <c r="CM613" s="988" t="str">
        <f t="shared" si="1770"/>
        <v/>
      </c>
      <c r="CN613" s="533" t="str">
        <f t="shared" ref="CN613:CW617" si="1771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1771"/>
        <v/>
      </c>
      <c r="CP613" s="535" t="str">
        <f t="shared" si="1771"/>
        <v/>
      </c>
      <c r="CQ613" s="535" t="str">
        <f t="shared" si="1771"/>
        <v/>
      </c>
      <c r="CR613" s="535" t="str">
        <f t="shared" si="1771"/>
        <v/>
      </c>
      <c r="CS613" s="535" t="str">
        <f t="shared" si="1771"/>
        <v/>
      </c>
      <c r="CT613" s="535" t="str">
        <f t="shared" si="1771"/>
        <v/>
      </c>
      <c r="CU613" s="536" t="str">
        <f t="shared" si="1771"/>
        <v/>
      </c>
      <c r="CV613" s="536" t="str">
        <f t="shared" si="1771"/>
        <v/>
      </c>
      <c r="CW613" s="536" t="str">
        <f t="shared" si="1771"/>
        <v/>
      </c>
      <c r="CX613" s="535" t="str">
        <f t="shared" ref="CX613:DD617" si="177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1772"/>
        <v/>
      </c>
      <c r="CZ613" s="535" t="str">
        <f t="shared" si="1772"/>
        <v/>
      </c>
      <c r="DA613" s="535" t="str">
        <f t="shared" si="1772"/>
        <v/>
      </c>
      <c r="DB613" s="535" t="str">
        <f t="shared" si="1772"/>
        <v/>
      </c>
      <c r="DC613" s="534" t="str">
        <f t="shared" si="1772"/>
        <v/>
      </c>
      <c r="DD613" s="533" t="str">
        <f t="shared" si="1772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1773">530*$K$1</f>
        <v>2219.0039999999999</v>
      </c>
      <c r="D614" s="595">
        <f t="shared" si="1773"/>
        <v>2219.0039999999999</v>
      </c>
      <c r="E614" s="595">
        <f t="shared" si="1773"/>
        <v>2219.0039999999999</v>
      </c>
      <c r="F614" s="595">
        <f t="shared" si="1773"/>
        <v>2219.0039999999999</v>
      </c>
      <c r="G614" s="595">
        <f t="shared" si="1773"/>
        <v>2219.0039999999999</v>
      </c>
      <c r="H614" s="595">
        <f t="shared" si="1773"/>
        <v>2219.0039999999999</v>
      </c>
      <c r="I614" s="595">
        <f t="shared" si="1773"/>
        <v>2219.0039999999999</v>
      </c>
      <c r="J614" s="595">
        <f t="shared" si="1773"/>
        <v>2219.0039999999999</v>
      </c>
      <c r="K614" s="595">
        <f t="shared" si="1773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1774">530*$K$1</f>
        <v>2219.0039999999999</v>
      </c>
      <c r="V614" s="595">
        <f t="shared" si="1774"/>
        <v>2219.0039999999999</v>
      </c>
      <c r="W614" s="595">
        <f t="shared" si="1774"/>
        <v>2219.0039999999999</v>
      </c>
      <c r="X614" s="595">
        <f t="shared" si="1774"/>
        <v>2219.0039999999999</v>
      </c>
      <c r="Y614" s="595">
        <f t="shared" si="1774"/>
        <v>2219.0039999999999</v>
      </c>
      <c r="Z614" s="595">
        <f t="shared" si="1774"/>
        <v>2219.0039999999999</v>
      </c>
      <c r="AA614" s="595">
        <f t="shared" si="1774"/>
        <v>2219.0039999999999</v>
      </c>
      <c r="AB614" s="595">
        <f t="shared" si="1774"/>
        <v>2219.0039999999999</v>
      </c>
      <c r="AC614" s="595">
        <f t="shared" si="1774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1775">530*$K$1</f>
        <v>2219.0039999999999</v>
      </c>
      <c r="AN614" s="595">
        <f t="shared" si="1775"/>
        <v>2219.0039999999999</v>
      </c>
      <c r="AO614" s="595">
        <f t="shared" si="1775"/>
        <v>2219.0039999999999</v>
      </c>
      <c r="AP614" s="595">
        <f t="shared" si="1775"/>
        <v>2219.0039999999999</v>
      </c>
      <c r="AQ614" s="595">
        <f t="shared" si="1775"/>
        <v>2219.0039999999999</v>
      </c>
      <c r="AR614" s="595">
        <f t="shared" si="1775"/>
        <v>2219.0039999999999</v>
      </c>
      <c r="AS614" s="595">
        <f t="shared" si="1775"/>
        <v>2219.0039999999999</v>
      </c>
      <c r="AT614" s="595">
        <f t="shared" si="1775"/>
        <v>2219.0039999999999</v>
      </c>
      <c r="AU614" s="595">
        <f t="shared" si="1775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1776">530*$K$1</f>
        <v>2219.0039999999999</v>
      </c>
      <c r="BF614" s="1196">
        <f t="shared" si="1776"/>
        <v>2219.0039999999999</v>
      </c>
      <c r="BG614" s="1196">
        <f t="shared" si="1776"/>
        <v>2219.0039999999999</v>
      </c>
      <c r="BH614" s="1196">
        <f t="shared" si="1776"/>
        <v>2219.0039999999999</v>
      </c>
      <c r="BI614" s="1196">
        <f t="shared" si="1776"/>
        <v>2219.0039999999999</v>
      </c>
      <c r="BJ614" s="1196">
        <f t="shared" si="1776"/>
        <v>2219.0039999999999</v>
      </c>
      <c r="BK614" s="1196">
        <f t="shared" si="1776"/>
        <v>2219.0039999999999</v>
      </c>
      <c r="BL614" s="1196">
        <f t="shared" si="1776"/>
        <v>2219.0039999999999</v>
      </c>
      <c r="BM614" s="1196">
        <f t="shared" si="1776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>530*$K$1</f>
        <v>2219.0039999999999</v>
      </c>
      <c r="BW614" s="595">
        <f>530*$K$1</f>
        <v>2219.0039999999999</v>
      </c>
      <c r="BX614" s="595">
        <f>530*$K$1</f>
        <v>2219.0039999999999</v>
      </c>
      <c r="BY614" s="595">
        <f>530*$K$1</f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1770"/>
        <v>2219.0039999999999</v>
      </c>
      <c r="CE614" s="989">
        <f t="shared" ref="CE614:CM615" si="177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1777"/>
        <v>2219.0039999999999</v>
      </c>
      <c r="CG614" s="989">
        <f t="shared" si="1777"/>
        <v>2219.0039999999999</v>
      </c>
      <c r="CH614" s="990">
        <f t="shared" si="1777"/>
        <v>2219.0039999999999</v>
      </c>
      <c r="CI614" s="990">
        <f t="shared" si="1777"/>
        <v>2219.0039999999999</v>
      </c>
      <c r="CJ614" s="989">
        <f t="shared" si="1777"/>
        <v>2219.0039999999999</v>
      </c>
      <c r="CK614" s="989">
        <f t="shared" si="1777"/>
        <v>2219.0039999999999</v>
      </c>
      <c r="CL614" s="989">
        <f t="shared" si="1777"/>
        <v>2219.0039999999999</v>
      </c>
      <c r="CM614" s="988">
        <f t="shared" si="1777"/>
        <v>2219.0039999999999</v>
      </c>
      <c r="CN614" s="533" t="str">
        <f t="shared" si="1771"/>
        <v/>
      </c>
      <c r="CO614" s="534" t="str">
        <f t="shared" si="1771"/>
        <v/>
      </c>
      <c r="CP614" s="535" t="str">
        <f t="shared" si="1771"/>
        <v/>
      </c>
      <c r="CQ614" s="535" t="str">
        <f t="shared" si="1771"/>
        <v/>
      </c>
      <c r="CR614" s="535">
        <f t="shared" si="1771"/>
        <v>2219.0039999999999</v>
      </c>
      <c r="CS614" s="535">
        <f t="shared" si="1771"/>
        <v>2219.0039999999999</v>
      </c>
      <c r="CT614" s="535">
        <f t="shared" si="1771"/>
        <v>2219.0039999999999</v>
      </c>
      <c r="CU614" s="536">
        <f t="shared" si="1771"/>
        <v>2219.0039999999999</v>
      </c>
      <c r="CV614" s="536">
        <f t="shared" si="1771"/>
        <v>2219.0039999999999</v>
      </c>
      <c r="CW614" s="536">
        <f t="shared" si="1771"/>
        <v>2219.0039999999999</v>
      </c>
      <c r="CX614" s="535">
        <f t="shared" si="1772"/>
        <v>2219.0039999999999</v>
      </c>
      <c r="CY614" s="535">
        <f t="shared" si="1772"/>
        <v>2219.0039999999999</v>
      </c>
      <c r="CZ614" s="535">
        <f t="shared" si="1772"/>
        <v>2219.0039999999999</v>
      </c>
      <c r="DA614" s="535">
        <f t="shared" si="1772"/>
        <v>2219.0039999999999</v>
      </c>
      <c r="DB614" s="535" t="str">
        <f t="shared" si="1772"/>
        <v/>
      </c>
      <c r="DC614" s="534" t="str">
        <f t="shared" si="1772"/>
        <v/>
      </c>
      <c r="DD614" s="533" t="str">
        <f t="shared" si="1772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1778">IF(B613="","",B613*B614/B$46/365/$G$1)</f>
        <v/>
      </c>
      <c r="C615" s="615" t="str">
        <f t="shared" si="1778"/>
        <v/>
      </c>
      <c r="D615" s="615" t="str">
        <f t="shared" si="1778"/>
        <v/>
      </c>
      <c r="E615" s="615" t="str">
        <f t="shared" si="1778"/>
        <v/>
      </c>
      <c r="F615" s="615" t="str">
        <f t="shared" si="1778"/>
        <v/>
      </c>
      <c r="G615" s="615" t="str">
        <f t="shared" si="1778"/>
        <v/>
      </c>
      <c r="H615" s="615" t="str">
        <f t="shared" si="1778"/>
        <v/>
      </c>
      <c r="I615" s="615" t="str">
        <f t="shared" si="1778"/>
        <v/>
      </c>
      <c r="J615" s="615" t="str">
        <f t="shared" si="1778"/>
        <v/>
      </c>
      <c r="K615" s="615" t="str">
        <f t="shared" si="1778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1779">IF(T613="","",T613*T614/T$46/365/$G$1)</f>
        <v/>
      </c>
      <c r="U615" s="615" t="str">
        <f t="shared" si="1779"/>
        <v/>
      </c>
      <c r="V615" s="615" t="str">
        <f t="shared" si="1779"/>
        <v/>
      </c>
      <c r="W615" s="615" t="str">
        <f t="shared" si="1779"/>
        <v/>
      </c>
      <c r="X615" s="615" t="str">
        <f t="shared" si="1779"/>
        <v/>
      </c>
      <c r="Y615" s="615" t="str">
        <f t="shared" si="1779"/>
        <v/>
      </c>
      <c r="Z615" s="615" t="str">
        <f t="shared" si="1779"/>
        <v/>
      </c>
      <c r="AA615" s="615" t="str">
        <f t="shared" si="1779"/>
        <v/>
      </c>
      <c r="AB615" s="615" t="str">
        <f t="shared" si="1779"/>
        <v/>
      </c>
      <c r="AC615" s="615" t="str">
        <f t="shared" si="1779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1780">IF(AL613="","",AL613*AL614/AL$46/365/$G$1)</f>
        <v/>
      </c>
      <c r="AM615" s="615" t="str">
        <f t="shared" si="1780"/>
        <v/>
      </c>
      <c r="AN615" s="615" t="str">
        <f t="shared" si="1780"/>
        <v/>
      </c>
      <c r="AO615" s="615" t="str">
        <f t="shared" si="1780"/>
        <v/>
      </c>
      <c r="AP615" s="615" t="str">
        <f t="shared" si="1780"/>
        <v/>
      </c>
      <c r="AQ615" s="615" t="str">
        <f t="shared" si="1780"/>
        <v/>
      </c>
      <c r="AR615" s="615" t="str">
        <f t="shared" si="1780"/>
        <v/>
      </c>
      <c r="AS615" s="615" t="str">
        <f t="shared" si="1780"/>
        <v/>
      </c>
      <c r="AT615" s="615" t="str">
        <f t="shared" si="1780"/>
        <v/>
      </c>
      <c r="AU615" s="615" t="str">
        <f t="shared" si="1780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1781">IF(BD613="","",BD613*BD614/BD$46/365/$G$1)</f>
        <v/>
      </c>
      <c r="BE615" s="1202" t="str">
        <f t="shared" si="1781"/>
        <v/>
      </c>
      <c r="BF615" s="1202" t="str">
        <f t="shared" si="1781"/>
        <v/>
      </c>
      <c r="BG615" s="1202" t="str">
        <f t="shared" si="1781"/>
        <v/>
      </c>
      <c r="BH615" s="1202" t="str">
        <f t="shared" si="1781"/>
        <v/>
      </c>
      <c r="BI615" s="1202" t="str">
        <f t="shared" si="1781"/>
        <v/>
      </c>
      <c r="BJ615" s="1202" t="str">
        <f t="shared" si="1781"/>
        <v/>
      </c>
      <c r="BK615" s="1202" t="str">
        <f t="shared" si="1781"/>
        <v/>
      </c>
      <c r="BL615" s="1202" t="str">
        <f t="shared" si="1781"/>
        <v/>
      </c>
      <c r="BM615" s="1202" t="str">
        <f t="shared" si="1781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>IF(DE615&lt;3,"",(SUM(B615:R615)-MIN(B615:R615)-MAX(B615:R615))/(DE615-2))</f>
        <v/>
      </c>
      <c r="CA615" s="607" t="str">
        <f>IF(DF615&lt;3,"",(SUM(T615:AJ615)-MIN(T615:AJ615)-MAX(T615:AJ615))/(DF615-2))</f>
        <v/>
      </c>
      <c r="CB615" s="607" t="str">
        <f>IF(DG615&lt;3,"",(SUM(AL615:BB615)-MIN(AL615:BB615)-MAX(AL615:BB615))/(DG615-2))</f>
        <v/>
      </c>
      <c r="CC615" s="673" t="str">
        <f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1777"/>
        <v/>
      </c>
      <c r="CF615" s="992" t="str">
        <f t="shared" si="1777"/>
        <v/>
      </c>
      <c r="CG615" s="992" t="str">
        <f t="shared" si="1777"/>
        <v/>
      </c>
      <c r="CH615" s="993" t="str">
        <f t="shared" si="1777"/>
        <v/>
      </c>
      <c r="CI615" s="993" t="str">
        <f t="shared" si="1777"/>
        <v/>
      </c>
      <c r="CJ615" s="992" t="str">
        <f t="shared" si="1777"/>
        <v/>
      </c>
      <c r="CK615" s="992" t="str">
        <f t="shared" si="1777"/>
        <v/>
      </c>
      <c r="CL615" s="992" t="str">
        <f t="shared" si="1777"/>
        <v/>
      </c>
      <c r="CM615" s="991" t="str">
        <f t="shared" si="1777"/>
        <v/>
      </c>
      <c r="CN615" s="521" t="str">
        <f t="shared" si="1771"/>
        <v/>
      </c>
      <c r="CO615" s="522" t="str">
        <f t="shared" si="1771"/>
        <v/>
      </c>
      <c r="CP615" s="523" t="str">
        <f t="shared" si="1771"/>
        <v/>
      </c>
      <c r="CQ615" s="523" t="str">
        <f t="shared" si="1771"/>
        <v/>
      </c>
      <c r="CR615" s="523" t="str">
        <f t="shared" si="1771"/>
        <v/>
      </c>
      <c r="CS615" s="523" t="str">
        <f t="shared" si="1771"/>
        <v/>
      </c>
      <c r="CT615" s="523" t="str">
        <f t="shared" si="1771"/>
        <v/>
      </c>
      <c r="CU615" s="524" t="str">
        <f t="shared" si="1771"/>
        <v/>
      </c>
      <c r="CV615" s="524" t="str">
        <f t="shared" si="1771"/>
        <v/>
      </c>
      <c r="CW615" s="524" t="str">
        <f t="shared" si="1771"/>
        <v/>
      </c>
      <c r="CX615" s="523" t="str">
        <f t="shared" si="1772"/>
        <v/>
      </c>
      <c r="CY615" s="523" t="str">
        <f t="shared" si="1772"/>
        <v/>
      </c>
      <c r="CZ615" s="523" t="str">
        <f t="shared" si="1772"/>
        <v/>
      </c>
      <c r="DA615" s="523" t="str">
        <f t="shared" si="1772"/>
        <v/>
      </c>
      <c r="DB615" s="523" t="str">
        <f t="shared" si="1772"/>
        <v/>
      </c>
      <c r="DC615" s="522" t="str">
        <f t="shared" si="1772"/>
        <v/>
      </c>
      <c r="DD615" s="521" t="str">
        <f t="shared" si="1772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178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1782"/>
        <v/>
      </c>
      <c r="CF616" s="989" t="str">
        <f t="shared" si="1782"/>
        <v/>
      </c>
      <c r="CG616" s="989" t="str">
        <f t="shared" si="1782"/>
        <v/>
      </c>
      <c r="CH616" s="990" t="str">
        <f t="shared" si="1782"/>
        <v/>
      </c>
      <c r="CI616" s="990" t="str">
        <f t="shared" si="1782"/>
        <v/>
      </c>
      <c r="CJ616" s="989" t="str">
        <f t="shared" si="1782"/>
        <v/>
      </c>
      <c r="CK616" s="989" t="str">
        <f t="shared" si="1782"/>
        <v/>
      </c>
      <c r="CL616" s="989" t="str">
        <f t="shared" si="1782"/>
        <v/>
      </c>
      <c r="CM616" s="988" t="str">
        <f t="shared" si="1782"/>
        <v/>
      </c>
      <c r="CN616" s="533" t="str">
        <f t="shared" si="1771"/>
        <v/>
      </c>
      <c r="CO616" s="534" t="str">
        <f t="shared" si="1771"/>
        <v/>
      </c>
      <c r="CP616" s="535" t="str">
        <f t="shared" si="1771"/>
        <v/>
      </c>
      <c r="CQ616" s="535" t="str">
        <f t="shared" si="1771"/>
        <v/>
      </c>
      <c r="CR616" s="535" t="str">
        <f t="shared" si="1771"/>
        <v/>
      </c>
      <c r="CS616" s="535" t="str">
        <f t="shared" si="1771"/>
        <v/>
      </c>
      <c r="CT616" s="535" t="str">
        <f t="shared" si="1771"/>
        <v/>
      </c>
      <c r="CU616" s="536" t="str">
        <f t="shared" si="1771"/>
        <v/>
      </c>
      <c r="CV616" s="536" t="str">
        <f t="shared" si="1771"/>
        <v/>
      </c>
      <c r="CW616" s="536" t="str">
        <f t="shared" si="1771"/>
        <v/>
      </c>
      <c r="CX616" s="535" t="str">
        <f t="shared" si="1772"/>
        <v/>
      </c>
      <c r="CY616" s="535" t="str">
        <f t="shared" si="1772"/>
        <v/>
      </c>
      <c r="CZ616" s="535" t="str">
        <f t="shared" si="1772"/>
        <v/>
      </c>
      <c r="DA616" s="535" t="str">
        <f t="shared" si="1772"/>
        <v/>
      </c>
      <c r="DB616" s="535" t="str">
        <f t="shared" si="1772"/>
        <v/>
      </c>
      <c r="DC616" s="534" t="str">
        <f t="shared" si="1772"/>
        <v/>
      </c>
      <c r="DD616" s="533" t="str">
        <f t="shared" si="1772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1783">IF(B616="","",B613*B616)</f>
        <v/>
      </c>
      <c r="C617" s="612" t="str">
        <f t="shared" si="1783"/>
        <v/>
      </c>
      <c r="D617" s="612" t="str">
        <f t="shared" si="1783"/>
        <v/>
      </c>
      <c r="E617" s="612" t="str">
        <f t="shared" si="1783"/>
        <v/>
      </c>
      <c r="F617" s="612" t="str">
        <f t="shared" si="1783"/>
        <v/>
      </c>
      <c r="G617" s="612" t="str">
        <f t="shared" si="1783"/>
        <v/>
      </c>
      <c r="H617" s="612" t="str">
        <f t="shared" si="1783"/>
        <v/>
      </c>
      <c r="I617" s="612" t="str">
        <f t="shared" si="1783"/>
        <v/>
      </c>
      <c r="J617" s="612" t="str">
        <f t="shared" si="1783"/>
        <v/>
      </c>
      <c r="K617" s="612" t="str">
        <f t="shared" si="1783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1784">IF(T616="","",T613*T616)</f>
        <v/>
      </c>
      <c r="U617" s="612" t="str">
        <f t="shared" si="1784"/>
        <v/>
      </c>
      <c r="V617" s="612" t="str">
        <f t="shared" si="1784"/>
        <v/>
      </c>
      <c r="W617" s="612" t="str">
        <f t="shared" si="1784"/>
        <v/>
      </c>
      <c r="X617" s="612" t="str">
        <f t="shared" si="1784"/>
        <v/>
      </c>
      <c r="Y617" s="612" t="str">
        <f t="shared" si="1784"/>
        <v/>
      </c>
      <c r="Z617" s="612" t="str">
        <f t="shared" si="1784"/>
        <v/>
      </c>
      <c r="AA617" s="612" t="str">
        <f t="shared" si="1784"/>
        <v/>
      </c>
      <c r="AB617" s="612" t="str">
        <f t="shared" si="1784"/>
        <v/>
      </c>
      <c r="AC617" s="612" t="str">
        <f t="shared" si="1784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1785">IF(AL616="","",AL613*AL616)</f>
        <v/>
      </c>
      <c r="AM617" s="612" t="str">
        <f t="shared" si="1785"/>
        <v/>
      </c>
      <c r="AN617" s="612" t="str">
        <f t="shared" si="1785"/>
        <v/>
      </c>
      <c r="AO617" s="612" t="str">
        <f t="shared" si="1785"/>
        <v/>
      </c>
      <c r="AP617" s="612" t="str">
        <f t="shared" si="1785"/>
        <v/>
      </c>
      <c r="AQ617" s="612" t="str">
        <f t="shared" si="1785"/>
        <v/>
      </c>
      <c r="AR617" s="612" t="str">
        <f t="shared" si="1785"/>
        <v/>
      </c>
      <c r="AS617" s="612" t="str">
        <f t="shared" si="1785"/>
        <v/>
      </c>
      <c r="AT617" s="612" t="str">
        <f t="shared" si="1785"/>
        <v/>
      </c>
      <c r="AU617" s="612" t="str">
        <f t="shared" si="1785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1786">IF(BD616="","",BD613*BD616)</f>
        <v/>
      </c>
      <c r="BE617" s="1201" t="str">
        <f t="shared" si="1786"/>
        <v/>
      </c>
      <c r="BF617" s="1201" t="str">
        <f t="shared" si="1786"/>
        <v/>
      </c>
      <c r="BG617" s="1201" t="str">
        <f t="shared" si="1786"/>
        <v/>
      </c>
      <c r="BH617" s="1201" t="str">
        <f t="shared" si="1786"/>
        <v/>
      </c>
      <c r="BI617" s="1201" t="str">
        <f t="shared" si="1786"/>
        <v/>
      </c>
      <c r="BJ617" s="1201" t="str">
        <f t="shared" si="1786"/>
        <v/>
      </c>
      <c r="BK617" s="1201" t="str">
        <f t="shared" si="1786"/>
        <v/>
      </c>
      <c r="BL617" s="1201" t="str">
        <f t="shared" si="1786"/>
        <v/>
      </c>
      <c r="BM617" s="1201" t="str">
        <f t="shared" si="1786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1782"/>
        <v/>
      </c>
      <c r="CE617" s="989" t="str">
        <f t="shared" ref="CE617:CM617" si="178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1787"/>
        <v/>
      </c>
      <c r="CG617" s="989" t="str">
        <f t="shared" si="1787"/>
        <v/>
      </c>
      <c r="CH617" s="990" t="str">
        <f t="shared" si="1787"/>
        <v/>
      </c>
      <c r="CI617" s="990" t="str">
        <f t="shared" si="1787"/>
        <v/>
      </c>
      <c r="CJ617" s="989" t="str">
        <f t="shared" si="1787"/>
        <v/>
      </c>
      <c r="CK617" s="989" t="str">
        <f t="shared" si="1787"/>
        <v/>
      </c>
      <c r="CL617" s="989" t="str">
        <f t="shared" si="1787"/>
        <v/>
      </c>
      <c r="CM617" s="988" t="str">
        <f t="shared" si="1787"/>
        <v/>
      </c>
      <c r="CN617" s="533" t="str">
        <f t="shared" si="1771"/>
        <v/>
      </c>
      <c r="CO617" s="534" t="str">
        <f t="shared" si="1771"/>
        <v/>
      </c>
      <c r="CP617" s="535" t="str">
        <f t="shared" si="1771"/>
        <v/>
      </c>
      <c r="CQ617" s="535" t="str">
        <f t="shared" si="1771"/>
        <v/>
      </c>
      <c r="CR617" s="535" t="str">
        <f t="shared" si="1771"/>
        <v/>
      </c>
      <c r="CS617" s="535" t="str">
        <f t="shared" si="1771"/>
        <v/>
      </c>
      <c r="CT617" s="535" t="str">
        <f t="shared" si="1771"/>
        <v/>
      </c>
      <c r="CU617" s="536" t="str">
        <f t="shared" si="1771"/>
        <v/>
      </c>
      <c r="CV617" s="536" t="str">
        <f t="shared" si="1771"/>
        <v/>
      </c>
      <c r="CW617" s="536" t="str">
        <f t="shared" si="1771"/>
        <v/>
      </c>
      <c r="CX617" s="535" t="str">
        <f t="shared" si="1772"/>
        <v/>
      </c>
      <c r="CY617" s="535" t="str">
        <f t="shared" si="1772"/>
        <v/>
      </c>
      <c r="CZ617" s="535" t="str">
        <f t="shared" si="1772"/>
        <v/>
      </c>
      <c r="DA617" s="535" t="str">
        <f t="shared" si="1772"/>
        <v/>
      </c>
      <c r="DB617" s="535" t="str">
        <f t="shared" si="1772"/>
        <v/>
      </c>
      <c r="DC617" s="534" t="str">
        <f t="shared" si="1772"/>
        <v/>
      </c>
      <c r="DD617" s="533" t="str">
        <f t="shared" si="1772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178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1788"/>
        <v/>
      </c>
      <c r="CF619" s="989" t="str">
        <f t="shared" si="1788"/>
        <v/>
      </c>
      <c r="CG619" s="989" t="str">
        <f t="shared" si="1788"/>
        <v/>
      </c>
      <c r="CH619" s="990" t="str">
        <f t="shared" si="1788"/>
        <v/>
      </c>
      <c r="CI619" s="990" t="str">
        <f t="shared" si="1788"/>
        <v/>
      </c>
      <c r="CJ619" s="989" t="str">
        <f t="shared" si="1788"/>
        <v/>
      </c>
      <c r="CK619" s="989" t="str">
        <f t="shared" si="1788"/>
        <v/>
      </c>
      <c r="CL619" s="989" t="str">
        <f t="shared" si="1788"/>
        <v/>
      </c>
      <c r="CM619" s="988" t="str">
        <f t="shared" si="1788"/>
        <v/>
      </c>
      <c r="CN619" s="533" t="str">
        <f t="shared" ref="CN619:CW623" si="1789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1789"/>
        <v/>
      </c>
      <c r="CP619" s="535" t="str">
        <f t="shared" si="1789"/>
        <v/>
      </c>
      <c r="CQ619" s="535" t="str">
        <f t="shared" si="1789"/>
        <v/>
      </c>
      <c r="CR619" s="535" t="str">
        <f t="shared" si="1789"/>
        <v/>
      </c>
      <c r="CS619" s="535" t="str">
        <f t="shared" si="1789"/>
        <v/>
      </c>
      <c r="CT619" s="535" t="str">
        <f t="shared" si="1789"/>
        <v/>
      </c>
      <c r="CU619" s="536" t="str">
        <f t="shared" si="1789"/>
        <v/>
      </c>
      <c r="CV619" s="536" t="str">
        <f t="shared" si="1789"/>
        <v/>
      </c>
      <c r="CW619" s="536" t="str">
        <f t="shared" si="1789"/>
        <v/>
      </c>
      <c r="CX619" s="535" t="str">
        <f t="shared" ref="CX619:DD623" si="179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1790"/>
        <v/>
      </c>
      <c r="CZ619" s="535" t="str">
        <f t="shared" si="1790"/>
        <v/>
      </c>
      <c r="DA619" s="535" t="str">
        <f t="shared" si="1790"/>
        <v/>
      </c>
      <c r="DB619" s="535" t="str">
        <f t="shared" si="1790"/>
        <v/>
      </c>
      <c r="DC619" s="534" t="str">
        <f t="shared" si="1790"/>
        <v/>
      </c>
      <c r="DD619" s="533" t="str">
        <f t="shared" si="1790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1791">430*$K$1</f>
        <v>1800.3239999999998</v>
      </c>
      <c r="D620" s="595">
        <f t="shared" si="1791"/>
        <v>1800.3239999999998</v>
      </c>
      <c r="E620" s="595">
        <f t="shared" si="1791"/>
        <v>1800.3239999999998</v>
      </c>
      <c r="F620" s="595">
        <f t="shared" si="1791"/>
        <v>1800.3239999999998</v>
      </c>
      <c r="G620" s="595">
        <f t="shared" si="1791"/>
        <v>1800.3239999999998</v>
      </c>
      <c r="H620" s="595">
        <f t="shared" si="1791"/>
        <v>1800.3239999999998</v>
      </c>
      <c r="I620" s="595">
        <f t="shared" si="1791"/>
        <v>1800.3239999999998</v>
      </c>
      <c r="J620" s="595">
        <f t="shared" si="1791"/>
        <v>1800.3239999999998</v>
      </c>
      <c r="K620" s="595">
        <f t="shared" si="1791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1792">430*$K$1</f>
        <v>1800.3239999999998</v>
      </c>
      <c r="V620" s="595">
        <f t="shared" si="1792"/>
        <v>1800.3239999999998</v>
      </c>
      <c r="W620" s="595">
        <f t="shared" si="1792"/>
        <v>1800.3239999999998</v>
      </c>
      <c r="X620" s="595">
        <f t="shared" si="1792"/>
        <v>1800.3239999999998</v>
      </c>
      <c r="Y620" s="595">
        <f t="shared" si="1792"/>
        <v>1800.3239999999998</v>
      </c>
      <c r="Z620" s="595">
        <f t="shared" si="1792"/>
        <v>1800.3239999999998</v>
      </c>
      <c r="AA620" s="595">
        <f t="shared" si="1792"/>
        <v>1800.3239999999998</v>
      </c>
      <c r="AB620" s="595">
        <f t="shared" si="1792"/>
        <v>1800.3239999999998</v>
      </c>
      <c r="AC620" s="595">
        <f t="shared" si="1792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1793">430*$K$1</f>
        <v>1800.3239999999998</v>
      </c>
      <c r="AN620" s="595">
        <f t="shared" si="1793"/>
        <v>1800.3239999999998</v>
      </c>
      <c r="AO620" s="595">
        <f t="shared" si="1793"/>
        <v>1800.3239999999998</v>
      </c>
      <c r="AP620" s="595">
        <f t="shared" si="1793"/>
        <v>1800.3239999999998</v>
      </c>
      <c r="AQ620" s="595">
        <f t="shared" si="1793"/>
        <v>1800.3239999999998</v>
      </c>
      <c r="AR620" s="595">
        <f t="shared" si="1793"/>
        <v>1800.3239999999998</v>
      </c>
      <c r="AS620" s="595">
        <f t="shared" si="1793"/>
        <v>1800.3239999999998</v>
      </c>
      <c r="AT620" s="595">
        <f t="shared" si="1793"/>
        <v>1800.3239999999998</v>
      </c>
      <c r="AU620" s="595">
        <f t="shared" si="1793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1794">430*$K$1</f>
        <v>1800.3239999999998</v>
      </c>
      <c r="BF620" s="1196">
        <f t="shared" si="1794"/>
        <v>1800.3239999999998</v>
      </c>
      <c r="BG620" s="1196">
        <f t="shared" si="1794"/>
        <v>1800.3239999999998</v>
      </c>
      <c r="BH620" s="1196">
        <f t="shared" si="1794"/>
        <v>1800.3239999999998</v>
      </c>
      <c r="BI620" s="1196">
        <f t="shared" si="1794"/>
        <v>1800.3239999999998</v>
      </c>
      <c r="BJ620" s="1196">
        <f t="shared" si="1794"/>
        <v>1800.3239999999998</v>
      </c>
      <c r="BK620" s="1196">
        <f t="shared" si="1794"/>
        <v>1800.3239999999998</v>
      </c>
      <c r="BL620" s="1196">
        <f t="shared" si="1794"/>
        <v>1800.3239999999998</v>
      </c>
      <c r="BM620" s="1196">
        <f t="shared" si="1794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>430*$K$1</f>
        <v>1800.3239999999998</v>
      </c>
      <c r="BW620" s="595">
        <f>430*$K$1</f>
        <v>1800.3239999999998</v>
      </c>
      <c r="BX620" s="595">
        <f>430*$K$1</f>
        <v>1800.3239999999998</v>
      </c>
      <c r="BY620" s="595">
        <f>430*$K$1</f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1788"/>
        <v>1800.3239999999998</v>
      </c>
      <c r="CE620" s="989">
        <f t="shared" ref="CE620:CM621" si="179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1795"/>
        <v>1800.3239999999998</v>
      </c>
      <c r="CG620" s="989">
        <f t="shared" si="1795"/>
        <v>1800.3239999999998</v>
      </c>
      <c r="CH620" s="990">
        <f t="shared" si="1795"/>
        <v>1800.3239999999998</v>
      </c>
      <c r="CI620" s="990">
        <f t="shared" si="1795"/>
        <v>1800.3239999999998</v>
      </c>
      <c r="CJ620" s="989">
        <f t="shared" si="1795"/>
        <v>1800.3239999999998</v>
      </c>
      <c r="CK620" s="989">
        <f t="shared" si="1795"/>
        <v>1800.3239999999998</v>
      </c>
      <c r="CL620" s="989">
        <f t="shared" si="1795"/>
        <v>1800.3239999999998</v>
      </c>
      <c r="CM620" s="988">
        <f t="shared" si="1795"/>
        <v>1800.3239999999998</v>
      </c>
      <c r="CN620" s="533" t="str">
        <f t="shared" si="1789"/>
        <v/>
      </c>
      <c r="CO620" s="534" t="str">
        <f t="shared" si="1789"/>
        <v/>
      </c>
      <c r="CP620" s="535" t="str">
        <f t="shared" si="1789"/>
        <v/>
      </c>
      <c r="CQ620" s="535" t="str">
        <f t="shared" si="1789"/>
        <v/>
      </c>
      <c r="CR620" s="535">
        <f t="shared" si="1789"/>
        <v>1800.3239999999998</v>
      </c>
      <c r="CS620" s="535">
        <f t="shared" si="1789"/>
        <v>1800.3239999999998</v>
      </c>
      <c r="CT620" s="535">
        <f t="shared" si="1789"/>
        <v>1800.3239999999998</v>
      </c>
      <c r="CU620" s="536">
        <f t="shared" si="1789"/>
        <v>1800.3239999999998</v>
      </c>
      <c r="CV620" s="536">
        <f t="shared" si="1789"/>
        <v>1800.3239999999998</v>
      </c>
      <c r="CW620" s="536">
        <f t="shared" si="1789"/>
        <v>1800.3239999999998</v>
      </c>
      <c r="CX620" s="535">
        <f t="shared" si="1790"/>
        <v>1800.3239999999998</v>
      </c>
      <c r="CY620" s="535">
        <f t="shared" si="1790"/>
        <v>1800.3239999999998</v>
      </c>
      <c r="CZ620" s="535">
        <f t="shared" si="1790"/>
        <v>1800.3239999999998</v>
      </c>
      <c r="DA620" s="535">
        <f t="shared" si="1790"/>
        <v>1800.3239999999998</v>
      </c>
      <c r="DB620" s="535" t="str">
        <f t="shared" si="1790"/>
        <v/>
      </c>
      <c r="DC620" s="534" t="str">
        <f t="shared" si="1790"/>
        <v/>
      </c>
      <c r="DD620" s="533" t="str">
        <f t="shared" si="1790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1796">IF(B619="","",B619*B620/B$46/365/$G$1)</f>
        <v/>
      </c>
      <c r="C621" s="615" t="str">
        <f t="shared" si="1796"/>
        <v/>
      </c>
      <c r="D621" s="615" t="str">
        <f t="shared" si="1796"/>
        <v/>
      </c>
      <c r="E621" s="615" t="str">
        <f t="shared" si="1796"/>
        <v/>
      </c>
      <c r="F621" s="615" t="str">
        <f t="shared" si="1796"/>
        <v/>
      </c>
      <c r="G621" s="615" t="str">
        <f t="shared" si="1796"/>
        <v/>
      </c>
      <c r="H621" s="615" t="str">
        <f t="shared" si="1796"/>
        <v/>
      </c>
      <c r="I621" s="615" t="str">
        <f t="shared" si="1796"/>
        <v/>
      </c>
      <c r="J621" s="615" t="str">
        <f t="shared" si="1796"/>
        <v/>
      </c>
      <c r="K621" s="615" t="str">
        <f t="shared" si="1796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1797">IF(T619="","",T619*T620/T$46/365/$G$1)</f>
        <v/>
      </c>
      <c r="U621" s="615" t="str">
        <f t="shared" si="1797"/>
        <v/>
      </c>
      <c r="V621" s="615" t="str">
        <f t="shared" si="1797"/>
        <v/>
      </c>
      <c r="W621" s="615" t="str">
        <f t="shared" si="1797"/>
        <v/>
      </c>
      <c r="X621" s="615" t="str">
        <f t="shared" si="1797"/>
        <v/>
      </c>
      <c r="Y621" s="615" t="str">
        <f t="shared" si="1797"/>
        <v/>
      </c>
      <c r="Z621" s="615" t="str">
        <f t="shared" si="1797"/>
        <v/>
      </c>
      <c r="AA621" s="615" t="str">
        <f t="shared" si="1797"/>
        <v/>
      </c>
      <c r="AB621" s="615" t="str">
        <f t="shared" si="1797"/>
        <v/>
      </c>
      <c r="AC621" s="615" t="str">
        <f t="shared" si="1797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1798">IF(AL619="","",AL619*AL620/AL$46/365/$G$1)</f>
        <v/>
      </c>
      <c r="AM621" s="615" t="str">
        <f t="shared" si="1798"/>
        <v/>
      </c>
      <c r="AN621" s="615" t="str">
        <f t="shared" si="1798"/>
        <v/>
      </c>
      <c r="AO621" s="615" t="str">
        <f t="shared" si="1798"/>
        <v/>
      </c>
      <c r="AP621" s="615" t="str">
        <f t="shared" si="1798"/>
        <v/>
      </c>
      <c r="AQ621" s="615" t="str">
        <f t="shared" si="1798"/>
        <v/>
      </c>
      <c r="AR621" s="615" t="str">
        <f t="shared" si="1798"/>
        <v/>
      </c>
      <c r="AS621" s="615" t="str">
        <f t="shared" si="1798"/>
        <v/>
      </c>
      <c r="AT621" s="615" t="str">
        <f t="shared" si="1798"/>
        <v/>
      </c>
      <c r="AU621" s="615" t="str">
        <f t="shared" si="1798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1799">IF(BD619="","",BD619*BD620/BD$46/365/$G$1)</f>
        <v/>
      </c>
      <c r="BE621" s="1202" t="str">
        <f t="shared" si="1799"/>
        <v/>
      </c>
      <c r="BF621" s="1202" t="str">
        <f t="shared" si="1799"/>
        <v/>
      </c>
      <c r="BG621" s="1202" t="str">
        <f t="shared" si="1799"/>
        <v/>
      </c>
      <c r="BH621" s="1202" t="str">
        <f t="shared" si="1799"/>
        <v/>
      </c>
      <c r="BI621" s="1202" t="str">
        <f t="shared" si="1799"/>
        <v/>
      </c>
      <c r="BJ621" s="1202" t="str">
        <f t="shared" si="1799"/>
        <v/>
      </c>
      <c r="BK621" s="1202" t="str">
        <f t="shared" si="1799"/>
        <v/>
      </c>
      <c r="BL621" s="1202" t="str">
        <f t="shared" si="1799"/>
        <v/>
      </c>
      <c r="BM621" s="1202" t="str">
        <f t="shared" si="1799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>IF(DE621&lt;3,"",(SUM(B621:R621)-MIN(B621:R621)-MAX(B621:R621))/(DE621-2))</f>
        <v/>
      </c>
      <c r="CA621" s="607" t="str">
        <f>IF(DF621&lt;3,"",(SUM(T621:AJ621)-MIN(T621:AJ621)-MAX(T621:AJ621))/(DF621-2))</f>
        <v/>
      </c>
      <c r="CB621" s="607" t="str">
        <f>IF(DG621&lt;3,"",(SUM(AL621:BB621)-MIN(AL621:BB621)-MAX(AL621:BB621))/(DG621-2))</f>
        <v/>
      </c>
      <c r="CC621" s="673" t="str">
        <f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1795"/>
        <v/>
      </c>
      <c r="CF621" s="992" t="str">
        <f t="shared" si="1795"/>
        <v/>
      </c>
      <c r="CG621" s="992" t="str">
        <f t="shared" si="1795"/>
        <v/>
      </c>
      <c r="CH621" s="993" t="str">
        <f t="shared" si="1795"/>
        <v/>
      </c>
      <c r="CI621" s="993" t="str">
        <f t="shared" si="1795"/>
        <v/>
      </c>
      <c r="CJ621" s="992" t="str">
        <f t="shared" si="1795"/>
        <v/>
      </c>
      <c r="CK621" s="992" t="str">
        <f t="shared" si="1795"/>
        <v/>
      </c>
      <c r="CL621" s="992" t="str">
        <f t="shared" si="1795"/>
        <v/>
      </c>
      <c r="CM621" s="991" t="str">
        <f t="shared" si="1795"/>
        <v/>
      </c>
      <c r="CN621" s="521" t="str">
        <f t="shared" si="1789"/>
        <v/>
      </c>
      <c r="CO621" s="522" t="str">
        <f t="shared" si="1789"/>
        <v/>
      </c>
      <c r="CP621" s="523" t="str">
        <f t="shared" si="1789"/>
        <v/>
      </c>
      <c r="CQ621" s="523" t="str">
        <f t="shared" si="1789"/>
        <v/>
      </c>
      <c r="CR621" s="523" t="str">
        <f t="shared" si="1789"/>
        <v/>
      </c>
      <c r="CS621" s="523" t="str">
        <f t="shared" si="1789"/>
        <v/>
      </c>
      <c r="CT621" s="523" t="str">
        <f t="shared" si="1789"/>
        <v/>
      </c>
      <c r="CU621" s="524" t="str">
        <f t="shared" si="1789"/>
        <v/>
      </c>
      <c r="CV621" s="524" t="str">
        <f t="shared" si="1789"/>
        <v/>
      </c>
      <c r="CW621" s="524" t="str">
        <f t="shared" si="1789"/>
        <v/>
      </c>
      <c r="CX621" s="523" t="str">
        <f t="shared" si="1790"/>
        <v/>
      </c>
      <c r="CY621" s="523" t="str">
        <f t="shared" si="1790"/>
        <v/>
      </c>
      <c r="CZ621" s="523" t="str">
        <f t="shared" si="1790"/>
        <v/>
      </c>
      <c r="DA621" s="523" t="str">
        <f t="shared" si="1790"/>
        <v/>
      </c>
      <c r="DB621" s="523" t="str">
        <f t="shared" si="1790"/>
        <v/>
      </c>
      <c r="DC621" s="522" t="str">
        <f t="shared" si="1790"/>
        <v/>
      </c>
      <c r="DD621" s="521" t="str">
        <f t="shared" si="1790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180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1800"/>
        <v/>
      </c>
      <c r="CF622" s="989" t="str">
        <f t="shared" si="1800"/>
        <v/>
      </c>
      <c r="CG622" s="989" t="str">
        <f t="shared" si="1800"/>
        <v/>
      </c>
      <c r="CH622" s="990" t="str">
        <f t="shared" si="1800"/>
        <v/>
      </c>
      <c r="CI622" s="990" t="str">
        <f t="shared" si="1800"/>
        <v/>
      </c>
      <c r="CJ622" s="989" t="str">
        <f t="shared" si="1800"/>
        <v/>
      </c>
      <c r="CK622" s="989" t="str">
        <f t="shared" si="1800"/>
        <v/>
      </c>
      <c r="CL622" s="989" t="str">
        <f t="shared" si="1800"/>
        <v/>
      </c>
      <c r="CM622" s="988" t="str">
        <f t="shared" si="1800"/>
        <v/>
      </c>
      <c r="CN622" s="533" t="str">
        <f t="shared" si="1789"/>
        <v/>
      </c>
      <c r="CO622" s="534" t="str">
        <f t="shared" si="1789"/>
        <v/>
      </c>
      <c r="CP622" s="535" t="str">
        <f t="shared" si="1789"/>
        <v/>
      </c>
      <c r="CQ622" s="535" t="str">
        <f t="shared" si="1789"/>
        <v/>
      </c>
      <c r="CR622" s="535" t="str">
        <f t="shared" si="1789"/>
        <v/>
      </c>
      <c r="CS622" s="535" t="str">
        <f t="shared" si="1789"/>
        <v/>
      </c>
      <c r="CT622" s="535" t="str">
        <f t="shared" si="1789"/>
        <v/>
      </c>
      <c r="CU622" s="536" t="str">
        <f t="shared" si="1789"/>
        <v/>
      </c>
      <c r="CV622" s="536" t="str">
        <f t="shared" si="1789"/>
        <v/>
      </c>
      <c r="CW622" s="536" t="str">
        <f t="shared" si="1789"/>
        <v/>
      </c>
      <c r="CX622" s="535" t="str">
        <f t="shared" si="1790"/>
        <v/>
      </c>
      <c r="CY622" s="535" t="str">
        <f t="shared" si="1790"/>
        <v/>
      </c>
      <c r="CZ622" s="535" t="str">
        <f t="shared" si="1790"/>
        <v/>
      </c>
      <c r="DA622" s="535" t="str">
        <f t="shared" si="1790"/>
        <v/>
      </c>
      <c r="DB622" s="535" t="str">
        <f t="shared" si="1790"/>
        <v/>
      </c>
      <c r="DC622" s="534" t="str">
        <f t="shared" si="1790"/>
        <v/>
      </c>
      <c r="DD622" s="533" t="str">
        <f t="shared" si="1790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1801">IF(B622="","",B619*B622)</f>
        <v/>
      </c>
      <c r="C623" s="612" t="str">
        <f t="shared" si="1801"/>
        <v/>
      </c>
      <c r="D623" s="612" t="str">
        <f t="shared" si="1801"/>
        <v/>
      </c>
      <c r="E623" s="612" t="str">
        <f t="shared" si="1801"/>
        <v/>
      </c>
      <c r="F623" s="612" t="str">
        <f t="shared" si="1801"/>
        <v/>
      </c>
      <c r="G623" s="612" t="str">
        <f t="shared" si="1801"/>
        <v/>
      </c>
      <c r="H623" s="612" t="str">
        <f t="shared" si="1801"/>
        <v/>
      </c>
      <c r="I623" s="612" t="str">
        <f t="shared" si="1801"/>
        <v/>
      </c>
      <c r="J623" s="612" t="str">
        <f t="shared" si="1801"/>
        <v/>
      </c>
      <c r="K623" s="612" t="str">
        <f t="shared" si="1801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1802">IF(T622="","",T619*T622)</f>
        <v/>
      </c>
      <c r="U623" s="612" t="str">
        <f t="shared" si="1802"/>
        <v/>
      </c>
      <c r="V623" s="612" t="str">
        <f t="shared" si="1802"/>
        <v/>
      </c>
      <c r="W623" s="612" t="str">
        <f t="shared" si="1802"/>
        <v/>
      </c>
      <c r="X623" s="612" t="str">
        <f t="shared" si="1802"/>
        <v/>
      </c>
      <c r="Y623" s="612" t="str">
        <f t="shared" si="1802"/>
        <v/>
      </c>
      <c r="Z623" s="612" t="str">
        <f t="shared" si="1802"/>
        <v/>
      </c>
      <c r="AA623" s="612" t="str">
        <f t="shared" si="1802"/>
        <v/>
      </c>
      <c r="AB623" s="612" t="str">
        <f t="shared" si="1802"/>
        <v/>
      </c>
      <c r="AC623" s="612" t="str">
        <f t="shared" si="1802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1803">IF(AL622="","",AL619*AL622)</f>
        <v/>
      </c>
      <c r="AM623" s="612" t="str">
        <f t="shared" si="1803"/>
        <v/>
      </c>
      <c r="AN623" s="612" t="str">
        <f t="shared" si="1803"/>
        <v/>
      </c>
      <c r="AO623" s="612" t="str">
        <f t="shared" si="1803"/>
        <v/>
      </c>
      <c r="AP623" s="612" t="str">
        <f t="shared" si="1803"/>
        <v/>
      </c>
      <c r="AQ623" s="612" t="str">
        <f t="shared" si="1803"/>
        <v/>
      </c>
      <c r="AR623" s="612" t="str">
        <f t="shared" si="1803"/>
        <v/>
      </c>
      <c r="AS623" s="612" t="str">
        <f t="shared" si="1803"/>
        <v/>
      </c>
      <c r="AT623" s="612" t="str">
        <f t="shared" si="1803"/>
        <v/>
      </c>
      <c r="AU623" s="612" t="str">
        <f t="shared" si="1803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1804">IF(BD622="","",BD619*BD622)</f>
        <v/>
      </c>
      <c r="BE623" s="1201" t="str">
        <f t="shared" si="1804"/>
        <v/>
      </c>
      <c r="BF623" s="1201" t="str">
        <f t="shared" si="1804"/>
        <v/>
      </c>
      <c r="BG623" s="1201" t="str">
        <f t="shared" si="1804"/>
        <v/>
      </c>
      <c r="BH623" s="1201" t="str">
        <f t="shared" si="1804"/>
        <v/>
      </c>
      <c r="BI623" s="1201" t="str">
        <f t="shared" si="1804"/>
        <v/>
      </c>
      <c r="BJ623" s="1201" t="str">
        <f t="shared" si="1804"/>
        <v/>
      </c>
      <c r="BK623" s="1201" t="str">
        <f t="shared" si="1804"/>
        <v/>
      </c>
      <c r="BL623" s="1201" t="str">
        <f t="shared" si="1804"/>
        <v/>
      </c>
      <c r="BM623" s="1201" t="str">
        <f t="shared" si="1804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1800"/>
        <v/>
      </c>
      <c r="CE623" s="989" t="str">
        <f t="shared" ref="CE623:CM623" si="180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1805"/>
        <v/>
      </c>
      <c r="CG623" s="989" t="str">
        <f t="shared" si="1805"/>
        <v/>
      </c>
      <c r="CH623" s="990" t="str">
        <f t="shared" si="1805"/>
        <v/>
      </c>
      <c r="CI623" s="990" t="str">
        <f t="shared" si="1805"/>
        <v/>
      </c>
      <c r="CJ623" s="989" t="str">
        <f t="shared" si="1805"/>
        <v/>
      </c>
      <c r="CK623" s="989" t="str">
        <f t="shared" si="1805"/>
        <v/>
      </c>
      <c r="CL623" s="989" t="str">
        <f t="shared" si="1805"/>
        <v/>
      </c>
      <c r="CM623" s="988" t="str">
        <f t="shared" si="1805"/>
        <v/>
      </c>
      <c r="CN623" s="533" t="str">
        <f t="shared" si="1789"/>
        <v/>
      </c>
      <c r="CO623" s="534" t="str">
        <f t="shared" si="1789"/>
        <v/>
      </c>
      <c r="CP623" s="535" t="str">
        <f t="shared" si="1789"/>
        <v/>
      </c>
      <c r="CQ623" s="535" t="str">
        <f t="shared" si="1789"/>
        <v/>
      </c>
      <c r="CR623" s="535" t="str">
        <f t="shared" si="1789"/>
        <v/>
      </c>
      <c r="CS623" s="535" t="str">
        <f t="shared" si="1789"/>
        <v/>
      </c>
      <c r="CT623" s="535" t="str">
        <f t="shared" si="1789"/>
        <v/>
      </c>
      <c r="CU623" s="536" t="str">
        <f t="shared" si="1789"/>
        <v/>
      </c>
      <c r="CV623" s="536" t="str">
        <f t="shared" si="1789"/>
        <v/>
      </c>
      <c r="CW623" s="536" t="str">
        <f t="shared" si="1789"/>
        <v/>
      </c>
      <c r="CX623" s="535" t="str">
        <f t="shared" si="1790"/>
        <v/>
      </c>
      <c r="CY623" s="535" t="str">
        <f t="shared" si="1790"/>
        <v/>
      </c>
      <c r="CZ623" s="535" t="str">
        <f t="shared" si="1790"/>
        <v/>
      </c>
      <c r="DA623" s="535" t="str">
        <f t="shared" si="1790"/>
        <v/>
      </c>
      <c r="DB623" s="535" t="str">
        <f t="shared" si="1790"/>
        <v/>
      </c>
      <c r="DC623" s="534" t="str">
        <f t="shared" si="1790"/>
        <v/>
      </c>
      <c r="DD623" s="533" t="str">
        <f t="shared" si="1790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180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1806"/>
        <v/>
      </c>
      <c r="CF625" s="989" t="str">
        <f t="shared" si="1806"/>
        <v/>
      </c>
      <c r="CG625" s="989" t="str">
        <f t="shared" si="1806"/>
        <v/>
      </c>
      <c r="CH625" s="990" t="str">
        <f t="shared" si="1806"/>
        <v/>
      </c>
      <c r="CI625" s="990" t="str">
        <f t="shared" si="1806"/>
        <v/>
      </c>
      <c r="CJ625" s="989" t="str">
        <f t="shared" si="1806"/>
        <v/>
      </c>
      <c r="CK625" s="989" t="str">
        <f t="shared" si="1806"/>
        <v/>
      </c>
      <c r="CL625" s="989" t="str">
        <f t="shared" si="1806"/>
        <v/>
      </c>
      <c r="CM625" s="988" t="str">
        <f t="shared" si="1806"/>
        <v/>
      </c>
      <c r="CN625" s="533" t="str">
        <f t="shared" ref="CN625:CW629" si="1807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1807"/>
        <v/>
      </c>
      <c r="CP625" s="535" t="str">
        <f t="shared" si="1807"/>
        <v/>
      </c>
      <c r="CQ625" s="535" t="str">
        <f t="shared" si="1807"/>
        <v/>
      </c>
      <c r="CR625" s="535" t="str">
        <f t="shared" si="1807"/>
        <v/>
      </c>
      <c r="CS625" s="535" t="str">
        <f t="shared" si="1807"/>
        <v/>
      </c>
      <c r="CT625" s="535" t="str">
        <f t="shared" si="1807"/>
        <v/>
      </c>
      <c r="CU625" s="536" t="str">
        <f t="shared" si="1807"/>
        <v/>
      </c>
      <c r="CV625" s="536" t="str">
        <f t="shared" si="1807"/>
        <v/>
      </c>
      <c r="CW625" s="536" t="str">
        <f t="shared" si="1807"/>
        <v/>
      </c>
      <c r="CX625" s="535" t="str">
        <f t="shared" ref="CX625:DD629" si="1808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1808"/>
        <v/>
      </c>
      <c r="CZ625" s="535" t="str">
        <f t="shared" si="1808"/>
        <v/>
      </c>
      <c r="DA625" s="535" t="str">
        <f t="shared" si="1808"/>
        <v/>
      </c>
      <c r="DB625" s="535" t="str">
        <f t="shared" si="1808"/>
        <v/>
      </c>
      <c r="DC625" s="534" t="str">
        <f t="shared" si="1808"/>
        <v/>
      </c>
      <c r="DD625" s="533" t="str">
        <f t="shared" si="1808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1809">0*$K$1</f>
        <v>0</v>
      </c>
      <c r="D626" s="595">
        <f t="shared" si="1809"/>
        <v>0</v>
      </c>
      <c r="E626" s="595">
        <f t="shared" si="1809"/>
        <v>0</v>
      </c>
      <c r="F626" s="595">
        <f t="shared" si="1809"/>
        <v>0</v>
      </c>
      <c r="G626" s="595">
        <f t="shared" si="1809"/>
        <v>0</v>
      </c>
      <c r="H626" s="595">
        <f t="shared" si="1809"/>
        <v>0</v>
      </c>
      <c r="I626" s="595">
        <f t="shared" si="1809"/>
        <v>0</v>
      </c>
      <c r="J626" s="595">
        <f t="shared" si="1809"/>
        <v>0</v>
      </c>
      <c r="K626" s="595">
        <f t="shared" si="1809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1810">0*$K$1</f>
        <v>0</v>
      </c>
      <c r="V626" s="595">
        <f t="shared" si="1810"/>
        <v>0</v>
      </c>
      <c r="W626" s="595">
        <f t="shared" si="1810"/>
        <v>0</v>
      </c>
      <c r="X626" s="595">
        <f t="shared" si="1810"/>
        <v>0</v>
      </c>
      <c r="Y626" s="595">
        <f t="shared" si="1810"/>
        <v>0</v>
      </c>
      <c r="Z626" s="595">
        <f t="shared" si="1810"/>
        <v>0</v>
      </c>
      <c r="AA626" s="595">
        <f t="shared" si="1810"/>
        <v>0</v>
      </c>
      <c r="AB626" s="595">
        <f t="shared" si="1810"/>
        <v>0</v>
      </c>
      <c r="AC626" s="595">
        <f t="shared" si="1810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1811">0*$K$1</f>
        <v>0</v>
      </c>
      <c r="AN626" s="595">
        <f t="shared" si="1811"/>
        <v>0</v>
      </c>
      <c r="AO626" s="595">
        <f t="shared" si="1811"/>
        <v>0</v>
      </c>
      <c r="AP626" s="595">
        <f t="shared" si="1811"/>
        <v>0</v>
      </c>
      <c r="AQ626" s="595">
        <f t="shared" si="1811"/>
        <v>0</v>
      </c>
      <c r="AR626" s="595">
        <f t="shared" si="1811"/>
        <v>0</v>
      </c>
      <c r="AS626" s="595">
        <f t="shared" si="1811"/>
        <v>0</v>
      </c>
      <c r="AT626" s="595">
        <f t="shared" si="1811"/>
        <v>0</v>
      </c>
      <c r="AU626" s="595">
        <f t="shared" si="1811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1812">0*$K$1</f>
        <v>0</v>
      </c>
      <c r="BF626" s="1196">
        <f t="shared" si="1812"/>
        <v>0</v>
      </c>
      <c r="BG626" s="1196">
        <f t="shared" si="1812"/>
        <v>0</v>
      </c>
      <c r="BH626" s="1196">
        <f t="shared" si="1812"/>
        <v>0</v>
      </c>
      <c r="BI626" s="1196">
        <f t="shared" si="1812"/>
        <v>0</v>
      </c>
      <c r="BJ626" s="1196">
        <f t="shared" si="1812"/>
        <v>0</v>
      </c>
      <c r="BK626" s="1196">
        <f t="shared" si="1812"/>
        <v>0</v>
      </c>
      <c r="BL626" s="1196">
        <f t="shared" si="1812"/>
        <v>0</v>
      </c>
      <c r="BM626" s="1196">
        <f t="shared" si="1812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>0*$K$1</f>
        <v>0</v>
      </c>
      <c r="BW626" s="595">
        <f>0*$K$1</f>
        <v>0</v>
      </c>
      <c r="BX626" s="595">
        <f>0*$K$1</f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1806"/>
        <v>0</v>
      </c>
      <c r="CE626" s="989">
        <f t="shared" ref="CE626:CM627" si="181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1813"/>
        <v>0</v>
      </c>
      <c r="CG626" s="989">
        <f t="shared" si="1813"/>
        <v>0</v>
      </c>
      <c r="CH626" s="990">
        <f t="shared" si="1813"/>
        <v>0</v>
      </c>
      <c r="CI626" s="990">
        <f t="shared" si="1813"/>
        <v>0</v>
      </c>
      <c r="CJ626" s="989">
        <f t="shared" si="1813"/>
        <v>0</v>
      </c>
      <c r="CK626" s="989">
        <f t="shared" si="1813"/>
        <v>0</v>
      </c>
      <c r="CL626" s="989">
        <f t="shared" si="1813"/>
        <v>0</v>
      </c>
      <c r="CM626" s="988">
        <f t="shared" si="1813"/>
        <v>0</v>
      </c>
      <c r="CN626" s="533" t="str">
        <f t="shared" si="1807"/>
        <v/>
      </c>
      <c r="CO626" s="534" t="str">
        <f t="shared" si="1807"/>
        <v/>
      </c>
      <c r="CP626" s="535" t="str">
        <f t="shared" si="1807"/>
        <v/>
      </c>
      <c r="CQ626" s="535" t="str">
        <f t="shared" si="1807"/>
        <v/>
      </c>
      <c r="CR626" s="535">
        <f t="shared" si="1807"/>
        <v>0</v>
      </c>
      <c r="CS626" s="535">
        <f t="shared" si="1807"/>
        <v>0</v>
      </c>
      <c r="CT626" s="535">
        <f t="shared" si="1807"/>
        <v>0</v>
      </c>
      <c r="CU626" s="536">
        <f t="shared" si="1807"/>
        <v>0</v>
      </c>
      <c r="CV626" s="536">
        <f t="shared" si="1807"/>
        <v>0</v>
      </c>
      <c r="CW626" s="536">
        <f t="shared" si="1807"/>
        <v>0</v>
      </c>
      <c r="CX626" s="535">
        <f t="shared" si="1808"/>
        <v>0</v>
      </c>
      <c r="CY626" s="535">
        <f t="shared" si="1808"/>
        <v>0</v>
      </c>
      <c r="CZ626" s="535">
        <f t="shared" si="1808"/>
        <v>0</v>
      </c>
      <c r="DA626" s="535">
        <f t="shared" si="1808"/>
        <v>0</v>
      </c>
      <c r="DB626" s="535" t="str">
        <f t="shared" si="1808"/>
        <v/>
      </c>
      <c r="DC626" s="534" t="str">
        <f t="shared" si="1808"/>
        <v/>
      </c>
      <c r="DD626" s="533" t="str">
        <f t="shared" si="1808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1814">IF(B625="","",B625*B626/B$46/365/$G$1)</f>
        <v/>
      </c>
      <c r="C627" s="615" t="str">
        <f t="shared" si="1814"/>
        <v/>
      </c>
      <c r="D627" s="615" t="str">
        <f t="shared" si="1814"/>
        <v/>
      </c>
      <c r="E627" s="615" t="str">
        <f t="shared" si="1814"/>
        <v/>
      </c>
      <c r="F627" s="615" t="str">
        <f t="shared" si="1814"/>
        <v/>
      </c>
      <c r="G627" s="615" t="str">
        <f t="shared" si="1814"/>
        <v/>
      </c>
      <c r="H627" s="615" t="str">
        <f t="shared" si="1814"/>
        <v/>
      </c>
      <c r="I627" s="615" t="str">
        <f t="shared" si="1814"/>
        <v/>
      </c>
      <c r="J627" s="615" t="str">
        <f t="shared" si="1814"/>
        <v/>
      </c>
      <c r="K627" s="615" t="str">
        <f t="shared" si="1814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1815">IF(T625="","",T625*T626/T$46/365/$G$1)</f>
        <v/>
      </c>
      <c r="U627" s="615" t="str">
        <f t="shared" si="1815"/>
        <v/>
      </c>
      <c r="V627" s="615" t="str">
        <f t="shared" si="1815"/>
        <v/>
      </c>
      <c r="W627" s="615" t="str">
        <f t="shared" si="1815"/>
        <v/>
      </c>
      <c r="X627" s="615" t="str">
        <f t="shared" si="1815"/>
        <v/>
      </c>
      <c r="Y627" s="615" t="str">
        <f t="shared" si="1815"/>
        <v/>
      </c>
      <c r="Z627" s="615" t="str">
        <f t="shared" si="1815"/>
        <v/>
      </c>
      <c r="AA627" s="615" t="str">
        <f t="shared" si="1815"/>
        <v/>
      </c>
      <c r="AB627" s="615" t="str">
        <f t="shared" si="1815"/>
        <v/>
      </c>
      <c r="AC627" s="615" t="str">
        <f t="shared" si="1815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1816">IF(AL625="","",AL625*AL626/AL$46/365/$G$1)</f>
        <v/>
      </c>
      <c r="AM627" s="615" t="str">
        <f t="shared" si="1816"/>
        <v/>
      </c>
      <c r="AN627" s="615" t="str">
        <f t="shared" si="1816"/>
        <v/>
      </c>
      <c r="AO627" s="615" t="str">
        <f t="shared" si="1816"/>
        <v/>
      </c>
      <c r="AP627" s="615" t="str">
        <f t="shared" si="1816"/>
        <v/>
      </c>
      <c r="AQ627" s="615" t="str">
        <f t="shared" si="1816"/>
        <v/>
      </c>
      <c r="AR627" s="615" t="str">
        <f t="shared" si="1816"/>
        <v/>
      </c>
      <c r="AS627" s="615" t="str">
        <f t="shared" si="1816"/>
        <v/>
      </c>
      <c r="AT627" s="615" t="str">
        <f t="shared" si="1816"/>
        <v/>
      </c>
      <c r="AU627" s="615" t="str">
        <f t="shared" si="1816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1817">IF(BD625="","",BD625*BD626/BD$46/365/$G$1)</f>
        <v/>
      </c>
      <c r="BE627" s="1202" t="str">
        <f t="shared" si="1817"/>
        <v/>
      </c>
      <c r="BF627" s="1202" t="str">
        <f t="shared" si="1817"/>
        <v/>
      </c>
      <c r="BG627" s="1202" t="str">
        <f t="shared" si="1817"/>
        <v/>
      </c>
      <c r="BH627" s="1202" t="str">
        <f t="shared" si="1817"/>
        <v/>
      </c>
      <c r="BI627" s="1202" t="str">
        <f t="shared" si="1817"/>
        <v/>
      </c>
      <c r="BJ627" s="1202" t="str">
        <f t="shared" si="1817"/>
        <v/>
      </c>
      <c r="BK627" s="1202" t="str">
        <f t="shared" si="1817"/>
        <v/>
      </c>
      <c r="BL627" s="1202" t="str">
        <f t="shared" si="1817"/>
        <v/>
      </c>
      <c r="BM627" s="1202" t="str">
        <f t="shared" si="1817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>IF(DE627&lt;3,"",(SUM(B627:R627)-MIN(B627:R627)-MAX(B627:R627))/(DE627-2))</f>
        <v/>
      </c>
      <c r="CA627" s="607" t="str">
        <f>IF(DF627&lt;3,"",(SUM(T627:AJ627)-MIN(T627:AJ627)-MAX(T627:AJ627))/(DF627-2))</f>
        <v/>
      </c>
      <c r="CB627" s="607" t="str">
        <f>IF(DG627&lt;3,"",(SUM(AL627:BB627)-MIN(AL627:BB627)-MAX(AL627:BB627))/(DG627-2))</f>
        <v/>
      </c>
      <c r="CC627" s="673" t="str">
        <f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1813"/>
        <v/>
      </c>
      <c r="CF627" s="992" t="str">
        <f t="shared" si="1813"/>
        <v/>
      </c>
      <c r="CG627" s="992" t="str">
        <f t="shared" si="1813"/>
        <v/>
      </c>
      <c r="CH627" s="993" t="str">
        <f t="shared" si="1813"/>
        <v/>
      </c>
      <c r="CI627" s="993" t="str">
        <f t="shared" si="1813"/>
        <v/>
      </c>
      <c r="CJ627" s="992" t="str">
        <f t="shared" si="1813"/>
        <v/>
      </c>
      <c r="CK627" s="992" t="str">
        <f t="shared" si="1813"/>
        <v/>
      </c>
      <c r="CL627" s="992" t="str">
        <f t="shared" si="1813"/>
        <v/>
      </c>
      <c r="CM627" s="991" t="str">
        <f t="shared" si="1813"/>
        <v/>
      </c>
      <c r="CN627" s="521" t="str">
        <f t="shared" si="1807"/>
        <v/>
      </c>
      <c r="CO627" s="522" t="str">
        <f t="shared" si="1807"/>
        <v/>
      </c>
      <c r="CP627" s="523" t="str">
        <f t="shared" si="1807"/>
        <v/>
      </c>
      <c r="CQ627" s="523" t="str">
        <f t="shared" si="1807"/>
        <v/>
      </c>
      <c r="CR627" s="523" t="str">
        <f t="shared" si="1807"/>
        <v/>
      </c>
      <c r="CS627" s="523" t="str">
        <f t="shared" si="1807"/>
        <v/>
      </c>
      <c r="CT627" s="523" t="str">
        <f t="shared" si="1807"/>
        <v/>
      </c>
      <c r="CU627" s="524" t="str">
        <f t="shared" si="1807"/>
        <v/>
      </c>
      <c r="CV627" s="524" t="str">
        <f t="shared" si="1807"/>
        <v/>
      </c>
      <c r="CW627" s="524" t="str">
        <f t="shared" si="1807"/>
        <v/>
      </c>
      <c r="CX627" s="523" t="str">
        <f t="shared" si="1808"/>
        <v/>
      </c>
      <c r="CY627" s="523" t="str">
        <f t="shared" si="1808"/>
        <v/>
      </c>
      <c r="CZ627" s="523" t="str">
        <f t="shared" si="1808"/>
        <v/>
      </c>
      <c r="DA627" s="523" t="str">
        <f t="shared" si="1808"/>
        <v/>
      </c>
      <c r="DB627" s="523" t="str">
        <f t="shared" si="1808"/>
        <v/>
      </c>
      <c r="DC627" s="522" t="str">
        <f t="shared" si="1808"/>
        <v/>
      </c>
      <c r="DD627" s="521" t="str">
        <f t="shared" si="1808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181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1818"/>
        <v/>
      </c>
      <c r="CF628" s="989" t="str">
        <f t="shared" si="1818"/>
        <v/>
      </c>
      <c r="CG628" s="989" t="str">
        <f t="shared" si="1818"/>
        <v/>
      </c>
      <c r="CH628" s="990" t="str">
        <f t="shared" si="1818"/>
        <v/>
      </c>
      <c r="CI628" s="990" t="str">
        <f t="shared" si="1818"/>
        <v/>
      </c>
      <c r="CJ628" s="989" t="str">
        <f t="shared" si="1818"/>
        <v/>
      </c>
      <c r="CK628" s="989" t="str">
        <f t="shared" si="1818"/>
        <v/>
      </c>
      <c r="CL628" s="989" t="str">
        <f t="shared" si="1818"/>
        <v/>
      </c>
      <c r="CM628" s="988" t="str">
        <f t="shared" si="1818"/>
        <v/>
      </c>
      <c r="CN628" s="533" t="str">
        <f t="shared" si="1807"/>
        <v/>
      </c>
      <c r="CO628" s="534" t="str">
        <f t="shared" si="1807"/>
        <v/>
      </c>
      <c r="CP628" s="535" t="str">
        <f t="shared" si="1807"/>
        <v/>
      </c>
      <c r="CQ628" s="535" t="str">
        <f t="shared" si="1807"/>
        <v/>
      </c>
      <c r="CR628" s="535" t="str">
        <f t="shared" si="1807"/>
        <v/>
      </c>
      <c r="CS628" s="535" t="str">
        <f t="shared" si="1807"/>
        <v/>
      </c>
      <c r="CT628" s="535" t="str">
        <f t="shared" si="1807"/>
        <v/>
      </c>
      <c r="CU628" s="536" t="str">
        <f t="shared" si="1807"/>
        <v/>
      </c>
      <c r="CV628" s="536" t="str">
        <f t="shared" si="1807"/>
        <v/>
      </c>
      <c r="CW628" s="536" t="str">
        <f t="shared" si="1807"/>
        <v/>
      </c>
      <c r="CX628" s="535" t="str">
        <f t="shared" si="1808"/>
        <v/>
      </c>
      <c r="CY628" s="535" t="str">
        <f t="shared" si="1808"/>
        <v/>
      </c>
      <c r="CZ628" s="535" t="str">
        <f t="shared" si="1808"/>
        <v/>
      </c>
      <c r="DA628" s="535" t="str">
        <f t="shared" si="1808"/>
        <v/>
      </c>
      <c r="DB628" s="535" t="str">
        <f t="shared" si="1808"/>
        <v/>
      </c>
      <c r="DC628" s="534" t="str">
        <f t="shared" si="1808"/>
        <v/>
      </c>
      <c r="DD628" s="533" t="str">
        <f t="shared" si="1808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1819">IF(B628="","",B625*B628)</f>
        <v/>
      </c>
      <c r="C629" s="612" t="str">
        <f t="shared" si="1819"/>
        <v/>
      </c>
      <c r="D629" s="612" t="str">
        <f t="shared" si="1819"/>
        <v/>
      </c>
      <c r="E629" s="612" t="str">
        <f t="shared" si="1819"/>
        <v/>
      </c>
      <c r="F629" s="612" t="str">
        <f t="shared" si="1819"/>
        <v/>
      </c>
      <c r="G629" s="612" t="str">
        <f t="shared" si="1819"/>
        <v/>
      </c>
      <c r="H629" s="612" t="str">
        <f t="shared" si="1819"/>
        <v/>
      </c>
      <c r="I629" s="612" t="str">
        <f t="shared" si="1819"/>
        <v/>
      </c>
      <c r="J629" s="612" t="str">
        <f t="shared" si="1819"/>
        <v/>
      </c>
      <c r="K629" s="612" t="str">
        <f t="shared" si="1819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1820">IF(T628="","",T625*T628)</f>
        <v/>
      </c>
      <c r="U629" s="612" t="str">
        <f t="shared" si="1820"/>
        <v/>
      </c>
      <c r="V629" s="612" t="str">
        <f t="shared" si="1820"/>
        <v/>
      </c>
      <c r="W629" s="612" t="str">
        <f t="shared" si="1820"/>
        <v/>
      </c>
      <c r="X629" s="612" t="str">
        <f t="shared" si="1820"/>
        <v/>
      </c>
      <c r="Y629" s="612" t="str">
        <f t="shared" si="1820"/>
        <v/>
      </c>
      <c r="Z629" s="612" t="str">
        <f t="shared" si="1820"/>
        <v/>
      </c>
      <c r="AA629" s="612" t="str">
        <f t="shared" si="1820"/>
        <v/>
      </c>
      <c r="AB629" s="612" t="str">
        <f t="shared" si="1820"/>
        <v/>
      </c>
      <c r="AC629" s="612" t="str">
        <f t="shared" si="1820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1821">IF(AL628="","",AL625*AL628)</f>
        <v/>
      </c>
      <c r="AM629" s="612" t="str">
        <f t="shared" si="1821"/>
        <v/>
      </c>
      <c r="AN629" s="612" t="str">
        <f t="shared" si="1821"/>
        <v/>
      </c>
      <c r="AO629" s="612" t="str">
        <f t="shared" si="1821"/>
        <v/>
      </c>
      <c r="AP629" s="612" t="str">
        <f t="shared" si="1821"/>
        <v/>
      </c>
      <c r="AQ629" s="612" t="str">
        <f t="shared" si="1821"/>
        <v/>
      </c>
      <c r="AR629" s="612" t="str">
        <f t="shared" si="1821"/>
        <v/>
      </c>
      <c r="AS629" s="612" t="str">
        <f t="shared" si="1821"/>
        <v/>
      </c>
      <c r="AT629" s="612" t="str">
        <f t="shared" si="1821"/>
        <v/>
      </c>
      <c r="AU629" s="612" t="str">
        <f t="shared" si="1821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1822">IF(BD628="","",BD625*BD628)</f>
        <v/>
      </c>
      <c r="BE629" s="1201" t="str">
        <f t="shared" si="1822"/>
        <v/>
      </c>
      <c r="BF629" s="1201" t="str">
        <f t="shared" si="1822"/>
        <v/>
      </c>
      <c r="BG629" s="1201" t="str">
        <f t="shared" si="1822"/>
        <v/>
      </c>
      <c r="BH629" s="1201" t="str">
        <f t="shared" si="1822"/>
        <v/>
      </c>
      <c r="BI629" s="1201" t="str">
        <f t="shared" si="1822"/>
        <v/>
      </c>
      <c r="BJ629" s="1201" t="str">
        <f t="shared" si="1822"/>
        <v/>
      </c>
      <c r="BK629" s="1201" t="str">
        <f t="shared" si="1822"/>
        <v/>
      </c>
      <c r="BL629" s="1201" t="str">
        <f t="shared" si="1822"/>
        <v/>
      </c>
      <c r="BM629" s="1201" t="str">
        <f t="shared" si="1822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1818"/>
        <v/>
      </c>
      <c r="CE629" s="989" t="str">
        <f t="shared" ref="CE629:CM629" si="182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1823"/>
        <v/>
      </c>
      <c r="CG629" s="989" t="str">
        <f t="shared" si="1823"/>
        <v/>
      </c>
      <c r="CH629" s="990" t="str">
        <f t="shared" si="1823"/>
        <v/>
      </c>
      <c r="CI629" s="990" t="str">
        <f t="shared" si="1823"/>
        <v/>
      </c>
      <c r="CJ629" s="989" t="str">
        <f t="shared" si="1823"/>
        <v/>
      </c>
      <c r="CK629" s="989" t="str">
        <f t="shared" si="1823"/>
        <v/>
      </c>
      <c r="CL629" s="989" t="str">
        <f t="shared" si="1823"/>
        <v/>
      </c>
      <c r="CM629" s="988" t="str">
        <f t="shared" si="1823"/>
        <v/>
      </c>
      <c r="CN629" s="533" t="str">
        <f t="shared" si="1807"/>
        <v/>
      </c>
      <c r="CO629" s="534" t="str">
        <f t="shared" si="1807"/>
        <v/>
      </c>
      <c r="CP629" s="535" t="str">
        <f t="shared" si="1807"/>
        <v/>
      </c>
      <c r="CQ629" s="535" t="str">
        <f t="shared" si="1807"/>
        <v/>
      </c>
      <c r="CR629" s="535" t="str">
        <f t="shared" si="1807"/>
        <v/>
      </c>
      <c r="CS629" s="535" t="str">
        <f t="shared" si="1807"/>
        <v/>
      </c>
      <c r="CT629" s="535" t="str">
        <f t="shared" si="1807"/>
        <v/>
      </c>
      <c r="CU629" s="536" t="str">
        <f t="shared" si="1807"/>
        <v/>
      </c>
      <c r="CV629" s="536" t="str">
        <f t="shared" si="1807"/>
        <v/>
      </c>
      <c r="CW629" s="536" t="str">
        <f t="shared" si="1807"/>
        <v/>
      </c>
      <c r="CX629" s="535" t="str">
        <f t="shared" si="1808"/>
        <v/>
      </c>
      <c r="CY629" s="535" t="str">
        <f t="shared" si="1808"/>
        <v/>
      </c>
      <c r="CZ629" s="535" t="str">
        <f t="shared" si="1808"/>
        <v/>
      </c>
      <c r="DA629" s="535" t="str">
        <f t="shared" si="1808"/>
        <v/>
      </c>
      <c r="DB629" s="535" t="str">
        <f t="shared" si="1808"/>
        <v/>
      </c>
      <c r="DC629" s="534" t="str">
        <f t="shared" si="1808"/>
        <v/>
      </c>
      <c r="DD629" s="533" t="str">
        <f t="shared" si="1808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1160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182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1824"/>
        <v/>
      </c>
      <c r="CF631" s="989" t="str">
        <f t="shared" si="1824"/>
        <v/>
      </c>
      <c r="CG631" s="989" t="str">
        <f t="shared" si="1824"/>
        <v/>
      </c>
      <c r="CH631" s="990" t="str">
        <f t="shared" si="1824"/>
        <v/>
      </c>
      <c r="CI631" s="990" t="str">
        <f t="shared" si="1824"/>
        <v/>
      </c>
      <c r="CJ631" s="989" t="str">
        <f t="shared" si="1824"/>
        <v/>
      </c>
      <c r="CK631" s="989" t="str">
        <f t="shared" si="1824"/>
        <v/>
      </c>
      <c r="CL631" s="989" t="str">
        <f t="shared" si="1824"/>
        <v/>
      </c>
      <c r="CM631" s="988" t="str">
        <f t="shared" si="1824"/>
        <v/>
      </c>
      <c r="CN631" s="533" t="str">
        <f t="shared" ref="CN631:CW635" si="182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1825"/>
        <v/>
      </c>
      <c r="CP631" s="535" t="str">
        <f t="shared" si="1825"/>
        <v/>
      </c>
      <c r="CQ631" s="535" t="str">
        <f t="shared" si="1825"/>
        <v/>
      </c>
      <c r="CR631" s="535" t="str">
        <f t="shared" si="1825"/>
        <v/>
      </c>
      <c r="CS631" s="535" t="str">
        <f t="shared" si="1825"/>
        <v/>
      </c>
      <c r="CT631" s="535" t="str">
        <f t="shared" si="1825"/>
        <v/>
      </c>
      <c r="CU631" s="536" t="str">
        <f t="shared" si="1825"/>
        <v/>
      </c>
      <c r="CV631" s="536" t="str">
        <f t="shared" si="1825"/>
        <v/>
      </c>
      <c r="CW631" s="536" t="str">
        <f t="shared" si="1825"/>
        <v/>
      </c>
      <c r="CX631" s="535" t="str">
        <f t="shared" ref="CX631:DD635" si="1826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1826"/>
        <v/>
      </c>
      <c r="CZ631" s="535" t="str">
        <f t="shared" si="1826"/>
        <v/>
      </c>
      <c r="DA631" s="535" t="str">
        <f t="shared" si="1826"/>
        <v/>
      </c>
      <c r="DB631" s="535" t="str">
        <f t="shared" si="1826"/>
        <v/>
      </c>
      <c r="DC631" s="534" t="str">
        <f t="shared" si="1826"/>
        <v/>
      </c>
      <c r="DD631" s="533" t="str">
        <f t="shared" si="1826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>3460*$K$1</f>
        <v>14486.328</v>
      </c>
      <c r="BW632" s="899">
        <f>3460*$K$1</f>
        <v>14486.328</v>
      </c>
      <c r="BX632" s="899">
        <f>3460*$K$1</f>
        <v>14486.328</v>
      </c>
      <c r="BY632" s="899">
        <f>3460*$K$1</f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1824"/>
        <v/>
      </c>
      <c r="CE632" s="989" t="str">
        <f t="shared" ref="CE632:CM633" si="1827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1827"/>
        <v/>
      </c>
      <c r="CG632" s="989" t="str">
        <f t="shared" si="1827"/>
        <v/>
      </c>
      <c r="CH632" s="990" t="str">
        <f t="shared" si="1827"/>
        <v/>
      </c>
      <c r="CI632" s="990" t="str">
        <f t="shared" si="1827"/>
        <v/>
      </c>
      <c r="CJ632" s="989" t="str">
        <f t="shared" si="1827"/>
        <v/>
      </c>
      <c r="CK632" s="989" t="str">
        <f t="shared" si="1827"/>
        <v/>
      </c>
      <c r="CL632" s="989" t="str">
        <f t="shared" si="1827"/>
        <v/>
      </c>
      <c r="CM632" s="988" t="str">
        <f t="shared" si="1827"/>
        <v/>
      </c>
      <c r="CN632" s="533" t="str">
        <f t="shared" si="1825"/>
        <v/>
      </c>
      <c r="CO632" s="534" t="str">
        <f t="shared" si="1825"/>
        <v/>
      </c>
      <c r="CP632" s="535" t="str">
        <f t="shared" si="1825"/>
        <v/>
      </c>
      <c r="CQ632" s="535" t="str">
        <f t="shared" si="1825"/>
        <v/>
      </c>
      <c r="CR632" s="535" t="str">
        <f t="shared" si="1825"/>
        <v/>
      </c>
      <c r="CS632" s="535" t="str">
        <f t="shared" si="1825"/>
        <v/>
      </c>
      <c r="CT632" s="535" t="str">
        <f t="shared" si="1825"/>
        <v/>
      </c>
      <c r="CU632" s="536" t="str">
        <f t="shared" si="1825"/>
        <v/>
      </c>
      <c r="CV632" s="536" t="str">
        <f t="shared" si="1825"/>
        <v/>
      </c>
      <c r="CW632" s="536" t="str">
        <f t="shared" si="1825"/>
        <v/>
      </c>
      <c r="CX632" s="535" t="str">
        <f t="shared" si="1826"/>
        <v/>
      </c>
      <c r="CY632" s="535" t="str">
        <f t="shared" si="1826"/>
        <v/>
      </c>
      <c r="CZ632" s="535" t="str">
        <f t="shared" si="1826"/>
        <v/>
      </c>
      <c r="DA632" s="535" t="str">
        <f t="shared" si="1826"/>
        <v/>
      </c>
      <c r="DB632" s="535" t="str">
        <f t="shared" si="1826"/>
        <v/>
      </c>
      <c r="DC632" s="534" t="str">
        <f t="shared" si="1826"/>
        <v/>
      </c>
      <c r="DD632" s="533" t="str">
        <f t="shared" si="1826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1828">IF(B631="","",B631*B632/B$46/365/$G$1)</f>
        <v/>
      </c>
      <c r="C633" s="615" t="str">
        <f t="shared" si="1828"/>
        <v/>
      </c>
      <c r="D633" s="615" t="str">
        <f t="shared" si="1828"/>
        <v/>
      </c>
      <c r="E633" s="615" t="str">
        <f t="shared" si="1828"/>
        <v/>
      </c>
      <c r="F633" s="615" t="str">
        <f t="shared" si="1828"/>
        <v/>
      </c>
      <c r="G633" s="615" t="str">
        <f t="shared" si="1828"/>
        <v/>
      </c>
      <c r="H633" s="615" t="str">
        <f t="shared" si="1828"/>
        <v/>
      </c>
      <c r="I633" s="615" t="str">
        <f t="shared" si="1828"/>
        <v/>
      </c>
      <c r="J633" s="615" t="str">
        <f t="shared" si="1828"/>
        <v/>
      </c>
      <c r="K633" s="615" t="str">
        <f t="shared" si="1828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1829">IF(T631="","",T631*T632/T$46/365/$G$1)</f>
        <v/>
      </c>
      <c r="U633" s="615" t="str">
        <f t="shared" si="1829"/>
        <v/>
      </c>
      <c r="V633" s="615" t="str">
        <f t="shared" si="1829"/>
        <v/>
      </c>
      <c r="W633" s="615" t="str">
        <f t="shared" si="1829"/>
        <v/>
      </c>
      <c r="X633" s="615" t="str">
        <f t="shared" si="1829"/>
        <v/>
      </c>
      <c r="Y633" s="615" t="str">
        <f t="shared" si="1829"/>
        <v/>
      </c>
      <c r="Z633" s="615" t="str">
        <f t="shared" si="1829"/>
        <v/>
      </c>
      <c r="AA633" s="615" t="str">
        <f t="shared" si="1829"/>
        <v/>
      </c>
      <c r="AB633" s="615" t="str">
        <f t="shared" si="1829"/>
        <v/>
      </c>
      <c r="AC633" s="615" t="str">
        <f t="shared" si="1829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1830">IF(AL631="","",AL631*AL632/AL$46/365/$G$1)</f>
        <v/>
      </c>
      <c r="AM633" s="615" t="str">
        <f t="shared" si="1830"/>
        <v/>
      </c>
      <c r="AN633" s="615" t="str">
        <f t="shared" si="1830"/>
        <v/>
      </c>
      <c r="AO633" s="615" t="str">
        <f t="shared" si="1830"/>
        <v/>
      </c>
      <c r="AP633" s="615" t="str">
        <f t="shared" si="1830"/>
        <v/>
      </c>
      <c r="AQ633" s="615" t="str">
        <f t="shared" si="1830"/>
        <v/>
      </c>
      <c r="AR633" s="615" t="str">
        <f t="shared" si="1830"/>
        <v/>
      </c>
      <c r="AS633" s="615" t="str">
        <f t="shared" si="1830"/>
        <v/>
      </c>
      <c r="AT633" s="615" t="str">
        <f t="shared" si="1830"/>
        <v/>
      </c>
      <c r="AU633" s="615" t="str">
        <f t="shared" si="1830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1831">IF(BD631="","",BD631*BD632/BD$46/365/$G$1)</f>
        <v/>
      </c>
      <c r="BE633" s="1202" t="str">
        <f t="shared" si="1831"/>
        <v/>
      </c>
      <c r="BF633" s="1202" t="str">
        <f t="shared" si="1831"/>
        <v/>
      </c>
      <c r="BG633" s="1202" t="str">
        <f t="shared" si="1831"/>
        <v/>
      </c>
      <c r="BH633" s="1202" t="str">
        <f t="shared" si="1831"/>
        <v/>
      </c>
      <c r="BI633" s="1202" t="str">
        <f t="shared" si="1831"/>
        <v/>
      </c>
      <c r="BJ633" s="1202" t="str">
        <f t="shared" si="1831"/>
        <v/>
      </c>
      <c r="BK633" s="1202" t="str">
        <f t="shared" si="1831"/>
        <v/>
      </c>
      <c r="BL633" s="1202" t="str">
        <f t="shared" si="1831"/>
        <v/>
      </c>
      <c r="BM633" s="1202" t="str">
        <f t="shared" si="1831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>IF(DE633&lt;3,"",(SUM(B633:R633)-MIN(B633:R633)-MAX(B633:R633))/(DE633-2))</f>
        <v/>
      </c>
      <c r="CA633" s="607" t="str">
        <f>IF(DF633&lt;3,"",(SUM(T633:AJ633)-MIN(T633:AJ633)-MAX(T633:AJ633))/(DF633-2))</f>
        <v/>
      </c>
      <c r="CB633" s="607" t="str">
        <f>IF(DG633&lt;3,"",(SUM(AL633:BB633)-MIN(AL633:BB633)-MAX(AL633:BB633))/(DG633-2))</f>
        <v/>
      </c>
      <c r="CC633" s="673" t="str">
        <f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1827"/>
        <v/>
      </c>
      <c r="CF633" s="992" t="str">
        <f t="shared" si="1827"/>
        <v/>
      </c>
      <c r="CG633" s="992" t="str">
        <f t="shared" si="1827"/>
        <v/>
      </c>
      <c r="CH633" s="993" t="str">
        <f t="shared" si="1827"/>
        <v/>
      </c>
      <c r="CI633" s="993" t="str">
        <f t="shared" si="1827"/>
        <v/>
      </c>
      <c r="CJ633" s="992" t="str">
        <f t="shared" si="1827"/>
        <v/>
      </c>
      <c r="CK633" s="992" t="str">
        <f t="shared" si="1827"/>
        <v/>
      </c>
      <c r="CL633" s="992" t="str">
        <f t="shared" si="1827"/>
        <v/>
      </c>
      <c r="CM633" s="991" t="str">
        <f t="shared" si="1827"/>
        <v/>
      </c>
      <c r="CN633" s="521" t="str">
        <f t="shared" si="1825"/>
        <v/>
      </c>
      <c r="CO633" s="522" t="str">
        <f t="shared" si="1825"/>
        <v/>
      </c>
      <c r="CP633" s="523" t="str">
        <f t="shared" si="1825"/>
        <v/>
      </c>
      <c r="CQ633" s="523" t="str">
        <f t="shared" si="1825"/>
        <v/>
      </c>
      <c r="CR633" s="523" t="str">
        <f t="shared" si="1825"/>
        <v/>
      </c>
      <c r="CS633" s="523" t="str">
        <f t="shared" si="1825"/>
        <v/>
      </c>
      <c r="CT633" s="523" t="str">
        <f t="shared" si="1825"/>
        <v/>
      </c>
      <c r="CU633" s="524" t="str">
        <f t="shared" si="1825"/>
        <v/>
      </c>
      <c r="CV633" s="524" t="str">
        <f t="shared" si="1825"/>
        <v/>
      </c>
      <c r="CW633" s="524" t="str">
        <f t="shared" si="1825"/>
        <v/>
      </c>
      <c r="CX633" s="523" t="str">
        <f t="shared" si="1826"/>
        <v/>
      </c>
      <c r="CY633" s="523" t="str">
        <f t="shared" si="1826"/>
        <v/>
      </c>
      <c r="CZ633" s="523" t="str">
        <f t="shared" si="1826"/>
        <v/>
      </c>
      <c r="DA633" s="523" t="str">
        <f t="shared" si="1826"/>
        <v/>
      </c>
      <c r="DB633" s="523" t="str">
        <f t="shared" si="1826"/>
        <v/>
      </c>
      <c r="DC633" s="522" t="str">
        <f t="shared" si="1826"/>
        <v/>
      </c>
      <c r="DD633" s="521" t="str">
        <f t="shared" si="1826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1832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1832"/>
        <v/>
      </c>
      <c r="CF634" s="989" t="str">
        <f t="shared" si="1832"/>
        <v/>
      </c>
      <c r="CG634" s="989" t="str">
        <f t="shared" si="1832"/>
        <v/>
      </c>
      <c r="CH634" s="990" t="str">
        <f t="shared" si="1832"/>
        <v/>
      </c>
      <c r="CI634" s="990" t="str">
        <f t="shared" si="1832"/>
        <v/>
      </c>
      <c r="CJ634" s="989" t="str">
        <f t="shared" si="1832"/>
        <v/>
      </c>
      <c r="CK634" s="989" t="str">
        <f t="shared" si="1832"/>
        <v/>
      </c>
      <c r="CL634" s="989" t="str">
        <f t="shared" si="1832"/>
        <v/>
      </c>
      <c r="CM634" s="988" t="str">
        <f t="shared" si="1832"/>
        <v/>
      </c>
      <c r="CN634" s="533" t="str">
        <f t="shared" si="1825"/>
        <v/>
      </c>
      <c r="CO634" s="534" t="str">
        <f t="shared" si="1825"/>
        <v/>
      </c>
      <c r="CP634" s="535" t="str">
        <f t="shared" si="1825"/>
        <v/>
      </c>
      <c r="CQ634" s="535" t="str">
        <f t="shared" si="1825"/>
        <v/>
      </c>
      <c r="CR634" s="535" t="str">
        <f t="shared" si="1825"/>
        <v/>
      </c>
      <c r="CS634" s="535" t="str">
        <f t="shared" si="1825"/>
        <v/>
      </c>
      <c r="CT634" s="535" t="str">
        <f t="shared" si="1825"/>
        <v/>
      </c>
      <c r="CU634" s="536" t="str">
        <f t="shared" si="1825"/>
        <v/>
      </c>
      <c r="CV634" s="536" t="str">
        <f t="shared" si="1825"/>
        <v/>
      </c>
      <c r="CW634" s="536" t="str">
        <f t="shared" si="1825"/>
        <v/>
      </c>
      <c r="CX634" s="535" t="str">
        <f t="shared" si="1826"/>
        <v/>
      </c>
      <c r="CY634" s="535" t="str">
        <f t="shared" si="1826"/>
        <v/>
      </c>
      <c r="CZ634" s="535" t="str">
        <f t="shared" si="1826"/>
        <v/>
      </c>
      <c r="DA634" s="535" t="str">
        <f t="shared" si="1826"/>
        <v/>
      </c>
      <c r="DB634" s="535" t="str">
        <f t="shared" si="1826"/>
        <v/>
      </c>
      <c r="DC634" s="534" t="str">
        <f t="shared" si="1826"/>
        <v/>
      </c>
      <c r="DD634" s="533" t="str">
        <f t="shared" si="1826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1833">IF(B634="","",B631*B634)</f>
        <v/>
      </c>
      <c r="C635" s="612" t="str">
        <f t="shared" si="1833"/>
        <v/>
      </c>
      <c r="D635" s="612" t="str">
        <f t="shared" si="1833"/>
        <v/>
      </c>
      <c r="E635" s="612" t="str">
        <f t="shared" si="1833"/>
        <v/>
      </c>
      <c r="F635" s="612" t="str">
        <f t="shared" si="1833"/>
        <v/>
      </c>
      <c r="G635" s="612" t="str">
        <f t="shared" si="1833"/>
        <v/>
      </c>
      <c r="H635" s="612" t="str">
        <f t="shared" si="1833"/>
        <v/>
      </c>
      <c r="I635" s="612" t="str">
        <f t="shared" si="1833"/>
        <v/>
      </c>
      <c r="J635" s="612" t="str">
        <f t="shared" si="1833"/>
        <v/>
      </c>
      <c r="K635" s="612" t="str">
        <f t="shared" si="1833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1834">IF(T634="","",T631*T634)</f>
        <v/>
      </c>
      <c r="U635" s="612" t="str">
        <f t="shared" si="1834"/>
        <v/>
      </c>
      <c r="V635" s="612" t="str">
        <f t="shared" si="1834"/>
        <v/>
      </c>
      <c r="W635" s="612" t="str">
        <f t="shared" si="1834"/>
        <v/>
      </c>
      <c r="X635" s="612" t="str">
        <f t="shared" si="1834"/>
        <v/>
      </c>
      <c r="Y635" s="612" t="str">
        <f t="shared" si="1834"/>
        <v/>
      </c>
      <c r="Z635" s="612" t="str">
        <f t="shared" si="1834"/>
        <v/>
      </c>
      <c r="AA635" s="612" t="str">
        <f t="shared" si="1834"/>
        <v/>
      </c>
      <c r="AB635" s="612" t="str">
        <f t="shared" si="1834"/>
        <v/>
      </c>
      <c r="AC635" s="612" t="str">
        <f t="shared" si="1834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1835">IF(AL634="","",AL631*AL634)</f>
        <v/>
      </c>
      <c r="AM635" s="612" t="str">
        <f t="shared" si="1835"/>
        <v/>
      </c>
      <c r="AN635" s="612" t="str">
        <f t="shared" si="1835"/>
        <v/>
      </c>
      <c r="AO635" s="612" t="str">
        <f t="shared" si="1835"/>
        <v/>
      </c>
      <c r="AP635" s="612" t="str">
        <f t="shared" si="1835"/>
        <v/>
      </c>
      <c r="AQ635" s="612" t="str">
        <f t="shared" si="1835"/>
        <v/>
      </c>
      <c r="AR635" s="612" t="str">
        <f t="shared" si="1835"/>
        <v/>
      </c>
      <c r="AS635" s="612" t="str">
        <f t="shared" si="1835"/>
        <v/>
      </c>
      <c r="AT635" s="612" t="str">
        <f t="shared" si="1835"/>
        <v/>
      </c>
      <c r="AU635" s="612" t="str">
        <f t="shared" si="1835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1836">IF(BD634="","",BD631*BD634)</f>
        <v/>
      </c>
      <c r="BE635" s="1201" t="str">
        <f t="shared" si="1836"/>
        <v/>
      </c>
      <c r="BF635" s="1201" t="str">
        <f t="shared" si="1836"/>
        <v/>
      </c>
      <c r="BG635" s="1201" t="str">
        <f t="shared" si="1836"/>
        <v/>
      </c>
      <c r="BH635" s="1201" t="str">
        <f t="shared" si="1836"/>
        <v/>
      </c>
      <c r="BI635" s="1201" t="str">
        <f t="shared" si="1836"/>
        <v/>
      </c>
      <c r="BJ635" s="1201" t="str">
        <f t="shared" si="1836"/>
        <v/>
      </c>
      <c r="BK635" s="1201" t="str">
        <f t="shared" si="1836"/>
        <v/>
      </c>
      <c r="BL635" s="1201" t="str">
        <f t="shared" si="1836"/>
        <v/>
      </c>
      <c r="BM635" s="1201" t="str">
        <f t="shared" si="1836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1837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1837"/>
        <v/>
      </c>
      <c r="CG635" s="989" t="str">
        <f t="shared" si="1837"/>
        <v/>
      </c>
      <c r="CH635" s="990" t="str">
        <f t="shared" si="1837"/>
        <v/>
      </c>
      <c r="CI635" s="990" t="str">
        <f t="shared" si="1837"/>
        <v/>
      </c>
      <c r="CJ635" s="989" t="str">
        <f t="shared" si="1837"/>
        <v/>
      </c>
      <c r="CK635" s="989" t="str">
        <f t="shared" si="1837"/>
        <v/>
      </c>
      <c r="CL635" s="989" t="str">
        <f t="shared" si="1837"/>
        <v/>
      </c>
      <c r="CM635" s="988" t="str">
        <f t="shared" si="1837"/>
        <v/>
      </c>
      <c r="CN635" s="533" t="str">
        <f t="shared" si="1825"/>
        <v/>
      </c>
      <c r="CO635" s="534" t="str">
        <f t="shared" si="1825"/>
        <v/>
      </c>
      <c r="CP635" s="535" t="str">
        <f t="shared" si="1825"/>
        <v/>
      </c>
      <c r="CQ635" s="535" t="str">
        <f t="shared" si="1825"/>
        <v/>
      </c>
      <c r="CR635" s="535" t="str">
        <f t="shared" si="1825"/>
        <v/>
      </c>
      <c r="CS635" s="535" t="str">
        <f t="shared" si="1825"/>
        <v/>
      </c>
      <c r="CT635" s="535" t="str">
        <f t="shared" si="1825"/>
        <v/>
      </c>
      <c r="CU635" s="536" t="str">
        <f t="shared" si="1825"/>
        <v/>
      </c>
      <c r="CV635" s="536" t="str">
        <f t="shared" si="1825"/>
        <v/>
      </c>
      <c r="CW635" s="536" t="str">
        <f t="shared" si="1825"/>
        <v/>
      </c>
      <c r="CX635" s="535" t="str">
        <f t="shared" si="1826"/>
        <v/>
      </c>
      <c r="CY635" s="535" t="str">
        <f t="shared" si="1826"/>
        <v/>
      </c>
      <c r="CZ635" s="535" t="str">
        <f t="shared" si="1826"/>
        <v/>
      </c>
      <c r="DA635" s="535" t="str">
        <f t="shared" si="1826"/>
        <v/>
      </c>
      <c r="DB635" s="535" t="str">
        <f t="shared" si="1826"/>
        <v/>
      </c>
      <c r="DC635" s="534" t="str">
        <f t="shared" si="1826"/>
        <v/>
      </c>
      <c r="DD635" s="533" t="str">
        <f t="shared" si="1826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1838">IF(DE636&lt;3,"",(SUM(B636:R636)-MIN(B636:R636)-MAX(B636:R636))/(DE636-2))</f>
        <v/>
      </c>
      <c r="CA636" s="574" t="str">
        <f t="shared" ref="CA636:CA643" si="1839">IF(DF636&lt;3,"",(SUM(T636:AJ636)-MIN(T636:AJ636)-MAX(T636:AJ636))/(DF636-2))</f>
        <v/>
      </c>
      <c r="CB636" s="574" t="str">
        <f t="shared" ref="CB636:CB643" si="1840">IF(DG636&lt;3,"",(SUM(AL636:BB636)-MIN(AL636:BB636)-MAX(AL636:BB636))/(DG636-2))</f>
        <v/>
      </c>
      <c r="CC636" s="669" t="str">
        <f t="shared" ref="CC636:CC643" si="1841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1838"/>
        <v/>
      </c>
      <c r="CA637" s="582" t="str">
        <f t="shared" si="1839"/>
        <v/>
      </c>
      <c r="CB637" s="582" t="str">
        <f t="shared" si="1840"/>
        <v/>
      </c>
      <c r="CC637" s="670" t="str">
        <f t="shared" si="1841"/>
        <v/>
      </c>
      <c r="CD637" s="988" t="str">
        <f t="shared" ref="CD637:CI639" si="1842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1842"/>
        <v/>
      </c>
      <c r="CF637" s="989" t="str">
        <f t="shared" si="1842"/>
        <v/>
      </c>
      <c r="CG637" s="989" t="str">
        <f t="shared" si="1842"/>
        <v/>
      </c>
      <c r="CH637" s="990" t="str">
        <f t="shared" si="1842"/>
        <v/>
      </c>
      <c r="CI637" s="990" t="str">
        <f t="shared" si="1842"/>
        <v/>
      </c>
      <c r="CJ637" s="989" t="str">
        <f t="shared" ref="CJ637:CM639" si="1843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1843"/>
        <v/>
      </c>
      <c r="CL637" s="989" t="str">
        <f t="shared" si="1843"/>
        <v/>
      </c>
      <c r="CM637" s="988" t="str">
        <f t="shared" si="1843"/>
        <v/>
      </c>
      <c r="CN637" s="533" t="str">
        <f t="shared" ref="CN637:CN642" si="1844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1845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184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184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184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184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185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185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185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185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85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85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185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185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185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85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186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1861">COUNT(B637:R637)</f>
        <v>0</v>
      </c>
      <c r="DF637" s="95">
        <f t="shared" ref="DF637:DF642" si="1862">COUNT(T637:AJ637)</f>
        <v>0</v>
      </c>
      <c r="DG637" s="95">
        <f t="shared" ref="DG637:DG642" si="1863">COUNT(AL637:BB637)</f>
        <v>0</v>
      </c>
      <c r="DH637" s="95">
        <f t="shared" ref="DH637:DH642" si="1864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1838"/>
        <v/>
      </c>
      <c r="CA638" s="582" t="str">
        <f t="shared" si="1839"/>
        <v/>
      </c>
      <c r="CB638" s="582" t="str">
        <f t="shared" si="1840"/>
        <v/>
      </c>
      <c r="CC638" s="670" t="str">
        <f t="shared" si="1841"/>
        <v/>
      </c>
      <c r="CD638" s="988" t="str">
        <f t="shared" si="1842"/>
        <v/>
      </c>
      <c r="CE638" s="989" t="str">
        <f t="shared" si="1842"/>
        <v/>
      </c>
      <c r="CF638" s="989" t="str">
        <f t="shared" si="1842"/>
        <v/>
      </c>
      <c r="CG638" s="989" t="str">
        <f t="shared" si="1842"/>
        <v/>
      </c>
      <c r="CH638" s="990" t="str">
        <f t="shared" si="1842"/>
        <v/>
      </c>
      <c r="CI638" s="990" t="str">
        <f t="shared" si="1842"/>
        <v/>
      </c>
      <c r="CJ638" s="989" t="str">
        <f t="shared" si="1843"/>
        <v/>
      </c>
      <c r="CK638" s="989" t="str">
        <f t="shared" si="1843"/>
        <v/>
      </c>
      <c r="CL638" s="989" t="str">
        <f t="shared" si="1843"/>
        <v/>
      </c>
      <c r="CM638" s="988" t="str">
        <f t="shared" si="1843"/>
        <v/>
      </c>
      <c r="CN638" s="533" t="str">
        <f t="shared" si="1844"/>
        <v/>
      </c>
      <c r="CO638" s="534" t="str">
        <f t="shared" si="1845"/>
        <v/>
      </c>
      <c r="CP638" s="535" t="str">
        <f t="shared" si="1846"/>
        <v/>
      </c>
      <c r="CQ638" s="535" t="str">
        <f t="shared" si="1847"/>
        <v/>
      </c>
      <c r="CR638" s="535" t="str">
        <f t="shared" si="1848"/>
        <v/>
      </c>
      <c r="CS638" s="535" t="str">
        <f t="shared" si="1849"/>
        <v/>
      </c>
      <c r="CT638" s="535" t="str">
        <f t="shared" si="1850"/>
        <v/>
      </c>
      <c r="CU638" s="536" t="str">
        <f t="shared" si="1851"/>
        <v/>
      </c>
      <c r="CV638" s="536" t="str">
        <f t="shared" si="1852"/>
        <v/>
      </c>
      <c r="CW638" s="536" t="str">
        <f t="shared" si="1853"/>
        <v/>
      </c>
      <c r="CX638" s="535" t="str">
        <f t="shared" si="1854"/>
        <v/>
      </c>
      <c r="CY638" s="535" t="str">
        <f t="shared" si="1855"/>
        <v/>
      </c>
      <c r="CZ638" s="535" t="str">
        <f t="shared" si="1856"/>
        <v/>
      </c>
      <c r="DA638" s="535" t="str">
        <f t="shared" si="1857"/>
        <v/>
      </c>
      <c r="DB638" s="535" t="str">
        <f t="shared" si="1858"/>
        <v/>
      </c>
      <c r="DC638" s="534" t="str">
        <f t="shared" si="1859"/>
        <v/>
      </c>
      <c r="DD638" s="533" t="str">
        <f t="shared" si="1860"/>
        <v/>
      </c>
      <c r="DE638" s="635">
        <f t="shared" si="1861"/>
        <v>0</v>
      </c>
      <c r="DF638" s="95">
        <f t="shared" si="1862"/>
        <v>0</v>
      </c>
      <c r="DG638" s="95">
        <f t="shared" si="1863"/>
        <v>0</v>
      </c>
      <c r="DH638" s="95">
        <f t="shared" si="1864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1838"/>
        <v/>
      </c>
      <c r="CA639" s="582" t="str">
        <f t="shared" si="1839"/>
        <v/>
      </c>
      <c r="CB639" s="582" t="str">
        <f t="shared" si="1840"/>
        <v/>
      </c>
      <c r="CC639" s="670" t="str">
        <f t="shared" si="1841"/>
        <v/>
      </c>
      <c r="CD639" s="988" t="str">
        <f t="shared" si="1842"/>
        <v/>
      </c>
      <c r="CE639" s="989" t="str">
        <f t="shared" si="1842"/>
        <v/>
      </c>
      <c r="CF639" s="989" t="str">
        <f t="shared" si="1842"/>
        <v/>
      </c>
      <c r="CG639" s="989" t="str">
        <f t="shared" si="1842"/>
        <v/>
      </c>
      <c r="CH639" s="990" t="str">
        <f t="shared" si="1842"/>
        <v/>
      </c>
      <c r="CI639" s="990" t="str">
        <f t="shared" si="1842"/>
        <v/>
      </c>
      <c r="CJ639" s="989" t="str">
        <f t="shared" si="1843"/>
        <v/>
      </c>
      <c r="CK639" s="989" t="str">
        <f t="shared" si="1843"/>
        <v/>
      </c>
      <c r="CL639" s="989" t="str">
        <f t="shared" si="1843"/>
        <v/>
      </c>
      <c r="CM639" s="988" t="str">
        <f t="shared" si="1843"/>
        <v/>
      </c>
      <c r="CN639" s="533" t="str">
        <f t="shared" si="1844"/>
        <v/>
      </c>
      <c r="CO639" s="534" t="str">
        <f t="shared" si="1845"/>
        <v/>
      </c>
      <c r="CP639" s="535" t="str">
        <f t="shared" si="1846"/>
        <v/>
      </c>
      <c r="CQ639" s="535" t="str">
        <f t="shared" si="1847"/>
        <v/>
      </c>
      <c r="CR639" s="535" t="str">
        <f t="shared" si="1848"/>
        <v/>
      </c>
      <c r="CS639" s="535" t="str">
        <f t="shared" si="1849"/>
        <v/>
      </c>
      <c r="CT639" s="535" t="str">
        <f t="shared" si="1850"/>
        <v/>
      </c>
      <c r="CU639" s="536" t="str">
        <f t="shared" si="1851"/>
        <v/>
      </c>
      <c r="CV639" s="536" t="str">
        <f t="shared" si="1852"/>
        <v/>
      </c>
      <c r="CW639" s="536" t="str">
        <f t="shared" si="1853"/>
        <v/>
      </c>
      <c r="CX639" s="535" t="str">
        <f t="shared" si="1854"/>
        <v/>
      </c>
      <c r="CY639" s="535" t="str">
        <f t="shared" si="1855"/>
        <v/>
      </c>
      <c r="CZ639" s="535" t="str">
        <f t="shared" si="1856"/>
        <v/>
      </c>
      <c r="DA639" s="535" t="str">
        <f t="shared" si="1857"/>
        <v/>
      </c>
      <c r="DB639" s="535" t="str">
        <f t="shared" si="1858"/>
        <v/>
      </c>
      <c r="DC639" s="534" t="str">
        <f t="shared" si="1859"/>
        <v/>
      </c>
      <c r="DD639" s="533" t="str">
        <f t="shared" si="1860"/>
        <v/>
      </c>
      <c r="DE639" s="635">
        <f t="shared" si="1861"/>
        <v>0</v>
      </c>
      <c r="DF639" s="95">
        <f t="shared" si="1862"/>
        <v>0</v>
      </c>
      <c r="DG639" s="95">
        <f t="shared" si="1863"/>
        <v>0</v>
      </c>
      <c r="DH639" s="95">
        <f t="shared" si="1864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0</v>
      </c>
      <c r="BZ640" s="607">
        <f t="shared" si="1838"/>
        <v>0</v>
      </c>
      <c r="CA640" s="607">
        <f t="shared" si="1839"/>
        <v>0</v>
      </c>
      <c r="CB640" s="607">
        <f t="shared" si="1840"/>
        <v>0</v>
      </c>
      <c r="CC640" s="673">
        <f t="shared" si="1841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1865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1865"/>
        <v>0</v>
      </c>
      <c r="CG640" s="992">
        <f t="shared" si="1865"/>
        <v>0</v>
      </c>
      <c r="CH640" s="993">
        <f t="shared" si="1865"/>
        <v>0</v>
      </c>
      <c r="CI640" s="993">
        <f t="shared" si="1865"/>
        <v>0</v>
      </c>
      <c r="CJ640" s="992">
        <f t="shared" si="1865"/>
        <v>0</v>
      </c>
      <c r="CK640" s="992">
        <f t="shared" si="1865"/>
        <v>0</v>
      </c>
      <c r="CL640" s="992">
        <f t="shared" si="1865"/>
        <v>0</v>
      </c>
      <c r="CM640" s="991">
        <f t="shared" si="1865"/>
        <v>0</v>
      </c>
      <c r="CN640" s="521" t="str">
        <f t="shared" si="1844"/>
        <v/>
      </c>
      <c r="CO640" s="522" t="str">
        <f t="shared" si="1845"/>
        <v/>
      </c>
      <c r="CP640" s="523" t="str">
        <f t="shared" si="1846"/>
        <v/>
      </c>
      <c r="CQ640" s="523" t="str">
        <f t="shared" si="1847"/>
        <v/>
      </c>
      <c r="CR640" s="523">
        <f t="shared" si="1848"/>
        <v>0</v>
      </c>
      <c r="CS640" s="523">
        <f t="shared" si="1849"/>
        <v>0</v>
      </c>
      <c r="CT640" s="523">
        <f t="shared" si="1850"/>
        <v>0</v>
      </c>
      <c r="CU640" s="524">
        <f t="shared" si="1851"/>
        <v>0</v>
      </c>
      <c r="CV640" s="524">
        <f t="shared" si="1852"/>
        <v>0</v>
      </c>
      <c r="CW640" s="524">
        <f t="shared" si="1853"/>
        <v>0</v>
      </c>
      <c r="CX640" s="523">
        <f t="shared" si="1854"/>
        <v>0</v>
      </c>
      <c r="CY640" s="523">
        <f t="shared" si="1855"/>
        <v>0</v>
      </c>
      <c r="CZ640" s="523">
        <f t="shared" si="1856"/>
        <v>0</v>
      </c>
      <c r="DA640" s="523">
        <f t="shared" si="1857"/>
        <v>0</v>
      </c>
      <c r="DB640" s="523" t="str">
        <f t="shared" si="1858"/>
        <v/>
      </c>
      <c r="DC640" s="522" t="str">
        <f t="shared" si="1859"/>
        <v/>
      </c>
      <c r="DD640" s="521" t="str">
        <f t="shared" si="1860"/>
        <v/>
      </c>
      <c r="DE640" s="635">
        <f t="shared" si="1861"/>
        <v>10</v>
      </c>
      <c r="DF640" s="95">
        <f t="shared" si="1862"/>
        <v>10</v>
      </c>
      <c r="DG640" s="95">
        <f t="shared" si="1863"/>
        <v>10</v>
      </c>
      <c r="DH640" s="95">
        <f t="shared" si="1864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1838"/>
        <v/>
      </c>
      <c r="CA641" s="582" t="str">
        <f t="shared" si="1839"/>
        <v/>
      </c>
      <c r="CB641" s="582" t="str">
        <f t="shared" si="1840"/>
        <v/>
      </c>
      <c r="CC641" s="670" t="str">
        <f t="shared" si="1841"/>
        <v/>
      </c>
      <c r="CD641" s="988" t="str">
        <f t="shared" ref="CD641:CM641" si="1866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1866"/>
        <v/>
      </c>
      <c r="CF641" s="989" t="str">
        <f t="shared" si="1866"/>
        <v/>
      </c>
      <c r="CG641" s="989" t="str">
        <f t="shared" si="1866"/>
        <v/>
      </c>
      <c r="CH641" s="990" t="str">
        <f t="shared" si="1866"/>
        <v/>
      </c>
      <c r="CI641" s="990" t="str">
        <f t="shared" si="1866"/>
        <v/>
      </c>
      <c r="CJ641" s="989" t="str">
        <f t="shared" si="1866"/>
        <v/>
      </c>
      <c r="CK641" s="989" t="str">
        <f t="shared" si="1866"/>
        <v/>
      </c>
      <c r="CL641" s="989" t="str">
        <f t="shared" si="1866"/>
        <v/>
      </c>
      <c r="CM641" s="988" t="str">
        <f t="shared" si="1866"/>
        <v/>
      </c>
      <c r="CN641" s="533" t="str">
        <f t="shared" si="1844"/>
        <v/>
      </c>
      <c r="CO641" s="534" t="str">
        <f t="shared" si="1845"/>
        <v/>
      </c>
      <c r="CP641" s="535" t="str">
        <f t="shared" si="1846"/>
        <v/>
      </c>
      <c r="CQ641" s="535" t="str">
        <f t="shared" si="1847"/>
        <v/>
      </c>
      <c r="CR641" s="535" t="str">
        <f t="shared" si="1848"/>
        <v/>
      </c>
      <c r="CS641" s="535" t="str">
        <f t="shared" si="1849"/>
        <v/>
      </c>
      <c r="CT641" s="535" t="str">
        <f t="shared" si="1850"/>
        <v/>
      </c>
      <c r="CU641" s="536" t="str">
        <f t="shared" si="1851"/>
        <v/>
      </c>
      <c r="CV641" s="536" t="str">
        <f t="shared" si="1852"/>
        <v/>
      </c>
      <c r="CW641" s="536" t="str">
        <f t="shared" si="1853"/>
        <v/>
      </c>
      <c r="CX641" s="535" t="str">
        <f t="shared" si="1854"/>
        <v/>
      </c>
      <c r="CY641" s="535" t="str">
        <f t="shared" si="1855"/>
        <v/>
      </c>
      <c r="CZ641" s="535" t="str">
        <f t="shared" si="1856"/>
        <v/>
      </c>
      <c r="DA641" s="535" t="str">
        <f t="shared" si="1857"/>
        <v/>
      </c>
      <c r="DB641" s="535" t="str">
        <f t="shared" si="1858"/>
        <v/>
      </c>
      <c r="DC641" s="534" t="str">
        <f t="shared" si="1859"/>
        <v/>
      </c>
      <c r="DD641" s="533" t="str">
        <f t="shared" si="1860"/>
        <v/>
      </c>
      <c r="DE641" s="635">
        <f t="shared" si="1861"/>
        <v>0</v>
      </c>
      <c r="DF641" s="95">
        <f t="shared" si="1862"/>
        <v>0</v>
      </c>
      <c r="DG641" s="95">
        <f t="shared" si="1863"/>
        <v>0</v>
      </c>
      <c r="DH641" s="95">
        <f t="shared" si="1864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0</v>
      </c>
      <c r="BZ642" s="582">
        <f t="shared" si="1838"/>
        <v>0</v>
      </c>
      <c r="CA642" s="582">
        <f t="shared" si="1839"/>
        <v>0</v>
      </c>
      <c r="CB642" s="582">
        <f t="shared" si="1840"/>
        <v>0</v>
      </c>
      <c r="CC642" s="670">
        <f t="shared" si="1841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1867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1867"/>
        <v>0</v>
      </c>
      <c r="CG642" s="989">
        <f t="shared" si="1867"/>
        <v>0</v>
      </c>
      <c r="CH642" s="990">
        <f t="shared" si="1867"/>
        <v>0</v>
      </c>
      <c r="CI642" s="990">
        <f t="shared" si="1867"/>
        <v>0</v>
      </c>
      <c r="CJ642" s="989">
        <f t="shared" si="1867"/>
        <v>0</v>
      </c>
      <c r="CK642" s="989">
        <f t="shared" si="1867"/>
        <v>0</v>
      </c>
      <c r="CL642" s="989">
        <f t="shared" si="1867"/>
        <v>0</v>
      </c>
      <c r="CM642" s="988">
        <f t="shared" si="1867"/>
        <v>0</v>
      </c>
      <c r="CN642" s="533" t="str">
        <f t="shared" si="1844"/>
        <v/>
      </c>
      <c r="CO642" s="534" t="str">
        <f t="shared" si="1845"/>
        <v/>
      </c>
      <c r="CP642" s="535" t="str">
        <f t="shared" si="1846"/>
        <v/>
      </c>
      <c r="CQ642" s="535" t="str">
        <f t="shared" si="1847"/>
        <v/>
      </c>
      <c r="CR642" s="535">
        <f t="shared" si="1848"/>
        <v>0</v>
      </c>
      <c r="CS642" s="535">
        <f t="shared" si="1849"/>
        <v>0</v>
      </c>
      <c r="CT642" s="535">
        <f t="shared" si="1850"/>
        <v>0</v>
      </c>
      <c r="CU642" s="536">
        <f t="shared" si="1851"/>
        <v>0</v>
      </c>
      <c r="CV642" s="536">
        <f t="shared" si="1852"/>
        <v>0</v>
      </c>
      <c r="CW642" s="536">
        <f t="shared" si="1853"/>
        <v>0</v>
      </c>
      <c r="CX642" s="535">
        <f t="shared" si="1854"/>
        <v>0</v>
      </c>
      <c r="CY642" s="535">
        <f t="shared" si="1855"/>
        <v>0</v>
      </c>
      <c r="CZ642" s="535">
        <f t="shared" si="1856"/>
        <v>0</v>
      </c>
      <c r="DA642" s="535">
        <f t="shared" si="1857"/>
        <v>0</v>
      </c>
      <c r="DB642" s="535" t="str">
        <f t="shared" si="1858"/>
        <v/>
      </c>
      <c r="DC642" s="534" t="str">
        <f t="shared" si="1859"/>
        <v/>
      </c>
      <c r="DD642" s="533" t="str">
        <f t="shared" si="1860"/>
        <v/>
      </c>
      <c r="DE642" s="635">
        <f t="shared" si="1861"/>
        <v>10</v>
      </c>
      <c r="DF642" s="95">
        <f t="shared" si="1862"/>
        <v>10</v>
      </c>
      <c r="DG642" s="95">
        <f t="shared" si="1863"/>
        <v>10</v>
      </c>
      <c r="DH642" s="95">
        <f t="shared" si="1864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1838"/>
        <v/>
      </c>
      <c r="CA643" s="574" t="str">
        <f t="shared" si="1839"/>
        <v/>
      </c>
      <c r="CB643" s="574" t="str">
        <f t="shared" si="1840"/>
        <v/>
      </c>
      <c r="CC643" s="669" t="str">
        <f t="shared" si="1841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1868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1868"/>
        <v/>
      </c>
      <c r="CF645" s="989" t="str">
        <f t="shared" si="1868"/>
        <v/>
      </c>
      <c r="CG645" s="989" t="str">
        <f t="shared" si="1868"/>
        <v/>
      </c>
      <c r="CH645" s="990" t="str">
        <f t="shared" si="1868"/>
        <v/>
      </c>
      <c r="CI645" s="990" t="str">
        <f t="shared" si="1868"/>
        <v/>
      </c>
      <c r="CJ645" s="989" t="str">
        <f t="shared" si="1868"/>
        <v/>
      </c>
      <c r="CK645" s="989" t="str">
        <f t="shared" si="1868"/>
        <v/>
      </c>
      <c r="CL645" s="989" t="str">
        <f t="shared" si="1868"/>
        <v/>
      </c>
      <c r="CM645" s="988" t="str">
        <f t="shared" si="1868"/>
        <v/>
      </c>
      <c r="CN645" s="533" t="str">
        <f t="shared" ref="CN645:CW649" si="1869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1869"/>
        <v/>
      </c>
      <c r="CP645" s="535" t="str">
        <f t="shared" si="1869"/>
        <v/>
      </c>
      <c r="CQ645" s="535" t="str">
        <f t="shared" si="1869"/>
        <v/>
      </c>
      <c r="CR645" s="535" t="str">
        <f t="shared" si="1869"/>
        <v/>
      </c>
      <c r="CS645" s="535" t="str">
        <f t="shared" si="1869"/>
        <v/>
      </c>
      <c r="CT645" s="535" t="str">
        <f t="shared" si="1869"/>
        <v/>
      </c>
      <c r="CU645" s="536" t="str">
        <f t="shared" si="1869"/>
        <v/>
      </c>
      <c r="CV645" s="536" t="str">
        <f t="shared" si="1869"/>
        <v/>
      </c>
      <c r="CW645" s="536" t="str">
        <f t="shared" si="1869"/>
        <v/>
      </c>
      <c r="CX645" s="535" t="str">
        <f t="shared" ref="CX645:DD649" si="1870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1870"/>
        <v/>
      </c>
      <c r="CZ645" s="535" t="str">
        <f t="shared" si="1870"/>
        <v/>
      </c>
      <c r="DA645" s="535" t="str">
        <f t="shared" si="1870"/>
        <v/>
      </c>
      <c r="DB645" s="535" t="str">
        <f t="shared" si="1870"/>
        <v/>
      </c>
      <c r="DC645" s="534" t="str">
        <f t="shared" si="1870"/>
        <v/>
      </c>
      <c r="DD645" s="533" t="str">
        <f t="shared" si="1870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1871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1871"/>
        <v/>
      </c>
      <c r="CG646" s="989" t="str">
        <f t="shared" si="1871"/>
        <v/>
      </c>
      <c r="CH646" s="990" t="str">
        <f t="shared" si="1871"/>
        <v/>
      </c>
      <c r="CI646" s="990" t="str">
        <f t="shared" si="1871"/>
        <v/>
      </c>
      <c r="CJ646" s="989" t="str">
        <f t="shared" si="1871"/>
        <v/>
      </c>
      <c r="CK646" s="989" t="str">
        <f t="shared" si="1871"/>
        <v/>
      </c>
      <c r="CL646" s="989" t="str">
        <f t="shared" si="1871"/>
        <v/>
      </c>
      <c r="CM646" s="988" t="str">
        <f t="shared" si="1871"/>
        <v/>
      </c>
      <c r="CN646" s="533" t="str">
        <f t="shared" si="1869"/>
        <v/>
      </c>
      <c r="CO646" s="534" t="str">
        <f t="shared" si="1869"/>
        <v/>
      </c>
      <c r="CP646" s="535" t="str">
        <f t="shared" si="1869"/>
        <v/>
      </c>
      <c r="CQ646" s="535" t="str">
        <f t="shared" si="1869"/>
        <v/>
      </c>
      <c r="CR646" s="535" t="str">
        <f t="shared" si="1869"/>
        <v/>
      </c>
      <c r="CS646" s="535" t="str">
        <f t="shared" si="1869"/>
        <v/>
      </c>
      <c r="CT646" s="535" t="str">
        <f t="shared" si="1869"/>
        <v/>
      </c>
      <c r="CU646" s="536" t="str">
        <f t="shared" si="1869"/>
        <v/>
      </c>
      <c r="CV646" s="536" t="str">
        <f t="shared" si="1869"/>
        <v/>
      </c>
      <c r="CW646" s="536" t="str">
        <f t="shared" si="1869"/>
        <v/>
      </c>
      <c r="CX646" s="535" t="str">
        <f t="shared" si="1870"/>
        <v/>
      </c>
      <c r="CY646" s="535" t="str">
        <f t="shared" si="1870"/>
        <v/>
      </c>
      <c r="CZ646" s="535" t="str">
        <f t="shared" si="1870"/>
        <v/>
      </c>
      <c r="DA646" s="535" t="str">
        <f t="shared" si="1870"/>
        <v/>
      </c>
      <c r="DB646" s="535" t="str">
        <f t="shared" si="1870"/>
        <v/>
      </c>
      <c r="DC646" s="534" t="str">
        <f t="shared" si="1870"/>
        <v/>
      </c>
      <c r="DD646" s="533" t="str">
        <f t="shared" si="1870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1871"/>
        <v/>
      </c>
      <c r="CF647" s="989" t="str">
        <f t="shared" si="1871"/>
        <v/>
      </c>
      <c r="CG647" s="989" t="str">
        <f t="shared" si="1871"/>
        <v/>
      </c>
      <c r="CH647" s="990" t="str">
        <f t="shared" si="1871"/>
        <v/>
      </c>
      <c r="CI647" s="990" t="str">
        <f t="shared" si="1871"/>
        <v/>
      </c>
      <c r="CJ647" s="989" t="str">
        <f t="shared" si="1871"/>
        <v/>
      </c>
      <c r="CK647" s="989" t="str">
        <f t="shared" si="1871"/>
        <v/>
      </c>
      <c r="CL647" s="989" t="str">
        <f t="shared" si="1871"/>
        <v/>
      </c>
      <c r="CM647" s="988" t="str">
        <f t="shared" si="1871"/>
        <v/>
      </c>
      <c r="CN647" s="533" t="str">
        <f t="shared" si="1869"/>
        <v/>
      </c>
      <c r="CO647" s="534" t="str">
        <f t="shared" si="1869"/>
        <v/>
      </c>
      <c r="CP647" s="535" t="str">
        <f t="shared" si="1869"/>
        <v/>
      </c>
      <c r="CQ647" s="535" t="str">
        <f t="shared" si="1869"/>
        <v/>
      </c>
      <c r="CR647" s="535" t="str">
        <f t="shared" si="1869"/>
        <v/>
      </c>
      <c r="CS647" s="535" t="str">
        <f t="shared" si="1869"/>
        <v/>
      </c>
      <c r="CT647" s="535" t="str">
        <f t="shared" si="1869"/>
        <v/>
      </c>
      <c r="CU647" s="536" t="str">
        <f t="shared" si="1869"/>
        <v/>
      </c>
      <c r="CV647" s="536" t="str">
        <f t="shared" si="1869"/>
        <v/>
      </c>
      <c r="CW647" s="536" t="str">
        <f t="shared" si="1869"/>
        <v/>
      </c>
      <c r="CX647" s="535" t="str">
        <f t="shared" si="1870"/>
        <v/>
      </c>
      <c r="CY647" s="535" t="str">
        <f t="shared" si="1870"/>
        <v/>
      </c>
      <c r="CZ647" s="535" t="str">
        <f t="shared" si="1870"/>
        <v/>
      </c>
      <c r="DA647" s="535" t="str">
        <f t="shared" si="1870"/>
        <v/>
      </c>
      <c r="DB647" s="535" t="str">
        <f t="shared" si="1870"/>
        <v/>
      </c>
      <c r="DC647" s="534" t="str">
        <f t="shared" si="1870"/>
        <v/>
      </c>
      <c r="DD647" s="533" t="str">
        <f t="shared" si="1870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1871"/>
        <v/>
      </c>
      <c r="CF648" s="989" t="str">
        <f t="shared" si="1871"/>
        <v/>
      </c>
      <c r="CG648" s="989" t="str">
        <f t="shared" si="1871"/>
        <v/>
      </c>
      <c r="CH648" s="990" t="str">
        <f t="shared" si="1871"/>
        <v/>
      </c>
      <c r="CI648" s="990" t="str">
        <f t="shared" si="1871"/>
        <v/>
      </c>
      <c r="CJ648" s="989" t="str">
        <f t="shared" si="1871"/>
        <v/>
      </c>
      <c r="CK648" s="989" t="str">
        <f t="shared" si="1871"/>
        <v/>
      </c>
      <c r="CL648" s="989" t="str">
        <f t="shared" si="1871"/>
        <v/>
      </c>
      <c r="CM648" s="988" t="str">
        <f t="shared" si="1871"/>
        <v/>
      </c>
      <c r="CN648" s="533" t="str">
        <f t="shared" si="1869"/>
        <v/>
      </c>
      <c r="CO648" s="534" t="str">
        <f t="shared" si="1869"/>
        <v/>
      </c>
      <c r="CP648" s="535" t="str">
        <f t="shared" si="1869"/>
        <v/>
      </c>
      <c r="CQ648" s="535" t="str">
        <f t="shared" si="1869"/>
        <v/>
      </c>
      <c r="CR648" s="535" t="str">
        <f t="shared" si="1869"/>
        <v/>
      </c>
      <c r="CS648" s="535" t="str">
        <f t="shared" si="1869"/>
        <v/>
      </c>
      <c r="CT648" s="535" t="str">
        <f t="shared" si="1869"/>
        <v/>
      </c>
      <c r="CU648" s="536" t="str">
        <f t="shared" si="1869"/>
        <v/>
      </c>
      <c r="CV648" s="536" t="str">
        <f t="shared" si="1869"/>
        <v/>
      </c>
      <c r="CW648" s="536" t="str">
        <f t="shared" si="1869"/>
        <v/>
      </c>
      <c r="CX648" s="535" t="str">
        <f t="shared" si="1870"/>
        <v/>
      </c>
      <c r="CY648" s="535" t="str">
        <f t="shared" si="1870"/>
        <v/>
      </c>
      <c r="CZ648" s="535" t="str">
        <f t="shared" si="1870"/>
        <v/>
      </c>
      <c r="DA648" s="535" t="str">
        <f t="shared" si="1870"/>
        <v/>
      </c>
      <c r="DB648" s="535" t="str">
        <f t="shared" si="1870"/>
        <v/>
      </c>
      <c r="DC648" s="534" t="str">
        <f t="shared" si="1870"/>
        <v/>
      </c>
      <c r="DD648" s="533" t="str">
        <f t="shared" si="1870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1872">IF(B646="","",((B645*B646*B647*B648)*3630*4.1868)/B$46/365/$G$1)</f>
        <v/>
      </c>
      <c r="C649" s="615" t="str">
        <f t="shared" si="1872"/>
        <v/>
      </c>
      <c r="D649" s="615" t="str">
        <f t="shared" si="1872"/>
        <v/>
      </c>
      <c r="E649" s="615" t="str">
        <f t="shared" si="1872"/>
        <v/>
      </c>
      <c r="F649" s="615" t="str">
        <f t="shared" si="1872"/>
        <v/>
      </c>
      <c r="G649" s="615" t="str">
        <f t="shared" si="1872"/>
        <v/>
      </c>
      <c r="H649" s="615" t="str">
        <f t="shared" si="1872"/>
        <v/>
      </c>
      <c r="I649" s="615" t="str">
        <f t="shared" si="1872"/>
        <v/>
      </c>
      <c r="J649" s="615" t="str">
        <f t="shared" si="1872"/>
        <v/>
      </c>
      <c r="K649" s="615" t="str">
        <f t="shared" si="1872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1873">IF(T646="","",((T645*T646*T647*T648)*3630*4.1868)/T$46/365/$G$1)</f>
        <v/>
      </c>
      <c r="U649" s="615" t="str">
        <f t="shared" si="1873"/>
        <v/>
      </c>
      <c r="V649" s="615" t="str">
        <f t="shared" si="1873"/>
        <v/>
      </c>
      <c r="W649" s="615" t="str">
        <f t="shared" si="1873"/>
        <v/>
      </c>
      <c r="X649" s="615" t="str">
        <f t="shared" si="1873"/>
        <v/>
      </c>
      <c r="Y649" s="615" t="str">
        <f t="shared" si="1873"/>
        <v/>
      </c>
      <c r="Z649" s="615" t="str">
        <f t="shared" si="1873"/>
        <v/>
      </c>
      <c r="AA649" s="615" t="str">
        <f t="shared" si="1873"/>
        <v/>
      </c>
      <c r="AB649" s="615" t="str">
        <f t="shared" si="1873"/>
        <v/>
      </c>
      <c r="AC649" s="615" t="str">
        <f t="shared" si="1873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1874">IF(AL646="","",((AL645*AL646*AL647*AL648)*3630*4.1868)/AL$46/365/$G$1)</f>
        <v/>
      </c>
      <c r="AM649" s="615" t="str">
        <f t="shared" si="1874"/>
        <v/>
      </c>
      <c r="AN649" s="615" t="str">
        <f t="shared" si="1874"/>
        <v/>
      </c>
      <c r="AO649" s="615" t="str">
        <f t="shared" si="1874"/>
        <v/>
      </c>
      <c r="AP649" s="615" t="str">
        <f t="shared" si="1874"/>
        <v/>
      </c>
      <c r="AQ649" s="615" t="str">
        <f t="shared" si="1874"/>
        <v/>
      </c>
      <c r="AR649" s="615" t="str">
        <f t="shared" si="1874"/>
        <v/>
      </c>
      <c r="AS649" s="615" t="str">
        <f t="shared" si="1874"/>
        <v/>
      </c>
      <c r="AT649" s="615" t="str">
        <f t="shared" si="1874"/>
        <v/>
      </c>
      <c r="AU649" s="615" t="str">
        <f t="shared" si="1874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1875">IF(BD646="","",((BD645*BD646*BD647*BD648)*3630*4.1868)/BD$46/365/$G$1)</f>
        <v/>
      </c>
      <c r="BE649" s="1202" t="str">
        <f t="shared" si="1875"/>
        <v/>
      </c>
      <c r="BF649" s="1202" t="str">
        <f t="shared" si="1875"/>
        <v/>
      </c>
      <c r="BG649" s="1202" t="str">
        <f t="shared" si="1875"/>
        <v/>
      </c>
      <c r="BH649" s="1202" t="str">
        <f t="shared" si="1875"/>
        <v/>
      </c>
      <c r="BI649" s="1202" t="str">
        <f t="shared" si="1875"/>
        <v/>
      </c>
      <c r="BJ649" s="1202" t="str">
        <f t="shared" si="1875"/>
        <v/>
      </c>
      <c r="BK649" s="1202" t="str">
        <f t="shared" si="1875"/>
        <v/>
      </c>
      <c r="BL649" s="1202" t="str">
        <f t="shared" si="1875"/>
        <v/>
      </c>
      <c r="BM649" s="1202" t="str">
        <f t="shared" si="1875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1871"/>
        <v/>
      </c>
      <c r="CF649" s="992" t="str">
        <f t="shared" si="1871"/>
        <v/>
      </c>
      <c r="CG649" s="992" t="str">
        <f t="shared" si="1871"/>
        <v/>
      </c>
      <c r="CH649" s="993" t="str">
        <f t="shared" si="1871"/>
        <v/>
      </c>
      <c r="CI649" s="993" t="str">
        <f t="shared" si="1871"/>
        <v/>
      </c>
      <c r="CJ649" s="992" t="str">
        <f t="shared" si="1871"/>
        <v/>
      </c>
      <c r="CK649" s="992" t="str">
        <f t="shared" si="1871"/>
        <v/>
      </c>
      <c r="CL649" s="992" t="str">
        <f t="shared" si="1871"/>
        <v/>
      </c>
      <c r="CM649" s="991" t="str">
        <f t="shared" si="1871"/>
        <v/>
      </c>
      <c r="CN649" s="521" t="str">
        <f t="shared" si="1869"/>
        <v/>
      </c>
      <c r="CO649" s="522" t="str">
        <f t="shared" si="1869"/>
        <v/>
      </c>
      <c r="CP649" s="523" t="str">
        <f t="shared" si="1869"/>
        <v/>
      </c>
      <c r="CQ649" s="523" t="str">
        <f t="shared" si="1869"/>
        <v/>
      </c>
      <c r="CR649" s="523" t="str">
        <f t="shared" si="1869"/>
        <v/>
      </c>
      <c r="CS649" s="523" t="str">
        <f t="shared" si="1869"/>
        <v/>
      </c>
      <c r="CT649" s="523" t="str">
        <f t="shared" si="1869"/>
        <v/>
      </c>
      <c r="CU649" s="524" t="str">
        <f t="shared" si="1869"/>
        <v/>
      </c>
      <c r="CV649" s="524" t="str">
        <f t="shared" si="1869"/>
        <v/>
      </c>
      <c r="CW649" s="524" t="str">
        <f t="shared" si="1869"/>
        <v/>
      </c>
      <c r="CX649" s="523" t="str">
        <f t="shared" si="1870"/>
        <v/>
      </c>
      <c r="CY649" s="523" t="str">
        <f t="shared" si="1870"/>
        <v/>
      </c>
      <c r="CZ649" s="523" t="str">
        <f t="shared" si="1870"/>
        <v/>
      </c>
      <c r="DA649" s="523" t="str">
        <f t="shared" si="1870"/>
        <v/>
      </c>
      <c r="DB649" s="523" t="str">
        <f t="shared" si="1870"/>
        <v/>
      </c>
      <c r="DC649" s="522" t="str">
        <f t="shared" si="1870"/>
        <v/>
      </c>
      <c r="DD649" s="521" t="str">
        <f t="shared" si="1870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187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1876"/>
        <v/>
      </c>
      <c r="CF651" s="989" t="str">
        <f t="shared" si="1876"/>
        <v/>
      </c>
      <c r="CG651" s="989" t="str">
        <f t="shared" si="1876"/>
        <v/>
      </c>
      <c r="CH651" s="990" t="str">
        <f t="shared" si="1876"/>
        <v/>
      </c>
      <c r="CI651" s="990" t="str">
        <f t="shared" si="1876"/>
        <v/>
      </c>
      <c r="CJ651" s="989" t="str">
        <f t="shared" si="1876"/>
        <v/>
      </c>
      <c r="CK651" s="989" t="str">
        <f t="shared" si="1876"/>
        <v/>
      </c>
      <c r="CL651" s="989" t="str">
        <f t="shared" si="1876"/>
        <v/>
      </c>
      <c r="CM651" s="988" t="str">
        <f t="shared" si="1876"/>
        <v/>
      </c>
      <c r="CN651" s="533" t="str">
        <f t="shared" ref="CN651:CW655" si="1877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1877"/>
        <v/>
      </c>
      <c r="CP651" s="535" t="str">
        <f t="shared" si="1877"/>
        <v/>
      </c>
      <c r="CQ651" s="535" t="str">
        <f t="shared" si="1877"/>
        <v/>
      </c>
      <c r="CR651" s="535" t="str">
        <f t="shared" si="1877"/>
        <v/>
      </c>
      <c r="CS651" s="535" t="str">
        <f t="shared" si="1877"/>
        <v/>
      </c>
      <c r="CT651" s="535" t="str">
        <f t="shared" si="1877"/>
        <v/>
      </c>
      <c r="CU651" s="536" t="str">
        <f t="shared" si="1877"/>
        <v/>
      </c>
      <c r="CV651" s="536" t="str">
        <f t="shared" si="1877"/>
        <v/>
      </c>
      <c r="CW651" s="536" t="str">
        <f t="shared" si="1877"/>
        <v/>
      </c>
      <c r="CX651" s="535" t="str">
        <f t="shared" ref="CX651:DD655" si="1878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1878"/>
        <v/>
      </c>
      <c r="CZ651" s="535" t="str">
        <f t="shared" si="1878"/>
        <v/>
      </c>
      <c r="DA651" s="535" t="str">
        <f t="shared" si="1878"/>
        <v/>
      </c>
      <c r="DB651" s="535" t="str">
        <f t="shared" si="1878"/>
        <v/>
      </c>
      <c r="DC651" s="534" t="str">
        <f t="shared" si="1878"/>
        <v/>
      </c>
      <c r="DD651" s="533" t="str">
        <f t="shared" si="1878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187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1879"/>
        <v/>
      </c>
      <c r="CG652" s="989" t="str">
        <f t="shared" si="1879"/>
        <v/>
      </c>
      <c r="CH652" s="990" t="str">
        <f t="shared" si="1879"/>
        <v/>
      </c>
      <c r="CI652" s="990" t="str">
        <f t="shared" si="1879"/>
        <v/>
      </c>
      <c r="CJ652" s="989" t="str">
        <f t="shared" si="1879"/>
        <v/>
      </c>
      <c r="CK652" s="989" t="str">
        <f t="shared" si="1879"/>
        <v/>
      </c>
      <c r="CL652" s="989" t="str">
        <f t="shared" si="1879"/>
        <v/>
      </c>
      <c r="CM652" s="988" t="str">
        <f t="shared" si="1879"/>
        <v/>
      </c>
      <c r="CN652" s="533" t="str">
        <f t="shared" si="1877"/>
        <v/>
      </c>
      <c r="CO652" s="534" t="str">
        <f t="shared" si="1877"/>
        <v/>
      </c>
      <c r="CP652" s="535" t="str">
        <f t="shared" si="1877"/>
        <v/>
      </c>
      <c r="CQ652" s="535" t="str">
        <f t="shared" si="1877"/>
        <v/>
      </c>
      <c r="CR652" s="535" t="str">
        <f t="shared" si="1877"/>
        <v/>
      </c>
      <c r="CS652" s="535" t="str">
        <f t="shared" si="1877"/>
        <v/>
      </c>
      <c r="CT652" s="535" t="str">
        <f t="shared" si="1877"/>
        <v/>
      </c>
      <c r="CU652" s="536" t="str">
        <f t="shared" si="1877"/>
        <v/>
      </c>
      <c r="CV652" s="536" t="str">
        <f t="shared" si="1877"/>
        <v/>
      </c>
      <c r="CW652" s="536" t="str">
        <f t="shared" si="1877"/>
        <v/>
      </c>
      <c r="CX652" s="535" t="str">
        <f t="shared" si="1878"/>
        <v/>
      </c>
      <c r="CY652" s="535" t="str">
        <f t="shared" si="1878"/>
        <v/>
      </c>
      <c r="CZ652" s="535" t="str">
        <f t="shared" si="1878"/>
        <v/>
      </c>
      <c r="DA652" s="535" t="str">
        <f t="shared" si="1878"/>
        <v/>
      </c>
      <c r="DB652" s="535" t="str">
        <f t="shared" si="1878"/>
        <v/>
      </c>
      <c r="DC652" s="534" t="str">
        <f t="shared" si="1878"/>
        <v/>
      </c>
      <c r="DD652" s="533" t="str">
        <f t="shared" si="1878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1879"/>
        <v/>
      </c>
      <c r="CF653" s="989" t="str">
        <f t="shared" si="1879"/>
        <v/>
      </c>
      <c r="CG653" s="989" t="str">
        <f t="shared" si="1879"/>
        <v/>
      </c>
      <c r="CH653" s="990" t="str">
        <f t="shared" si="1879"/>
        <v/>
      </c>
      <c r="CI653" s="990" t="str">
        <f t="shared" si="1879"/>
        <v/>
      </c>
      <c r="CJ653" s="989" t="str">
        <f t="shared" si="1879"/>
        <v/>
      </c>
      <c r="CK653" s="989" t="str">
        <f t="shared" si="1879"/>
        <v/>
      </c>
      <c r="CL653" s="989" t="str">
        <f t="shared" si="1879"/>
        <v/>
      </c>
      <c r="CM653" s="988" t="str">
        <f t="shared" si="1879"/>
        <v/>
      </c>
      <c r="CN653" s="533" t="str">
        <f t="shared" si="1877"/>
        <v/>
      </c>
      <c r="CO653" s="534" t="str">
        <f t="shared" si="1877"/>
        <v/>
      </c>
      <c r="CP653" s="535" t="str">
        <f t="shared" si="1877"/>
        <v/>
      </c>
      <c r="CQ653" s="535" t="str">
        <f t="shared" si="1877"/>
        <v/>
      </c>
      <c r="CR653" s="535" t="str">
        <f t="shared" si="1877"/>
        <v/>
      </c>
      <c r="CS653" s="535" t="str">
        <f t="shared" si="1877"/>
        <v/>
      </c>
      <c r="CT653" s="535" t="str">
        <f t="shared" si="1877"/>
        <v/>
      </c>
      <c r="CU653" s="536" t="str">
        <f t="shared" si="1877"/>
        <v/>
      </c>
      <c r="CV653" s="536" t="str">
        <f t="shared" si="1877"/>
        <v/>
      </c>
      <c r="CW653" s="536" t="str">
        <f t="shared" si="1877"/>
        <v/>
      </c>
      <c r="CX653" s="535" t="str">
        <f t="shared" si="1878"/>
        <v/>
      </c>
      <c r="CY653" s="535" t="str">
        <f t="shared" si="1878"/>
        <v/>
      </c>
      <c r="CZ653" s="535" t="str">
        <f t="shared" si="1878"/>
        <v/>
      </c>
      <c r="DA653" s="535" t="str">
        <f t="shared" si="1878"/>
        <v/>
      </c>
      <c r="DB653" s="535" t="str">
        <f t="shared" si="1878"/>
        <v/>
      </c>
      <c r="DC653" s="534" t="str">
        <f t="shared" si="1878"/>
        <v/>
      </c>
      <c r="DD653" s="533" t="str">
        <f t="shared" si="1878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1879"/>
        <v/>
      </c>
      <c r="CF654" s="989" t="str">
        <f t="shared" si="1879"/>
        <v/>
      </c>
      <c r="CG654" s="989" t="str">
        <f t="shared" si="1879"/>
        <v/>
      </c>
      <c r="CH654" s="990" t="str">
        <f t="shared" si="1879"/>
        <v/>
      </c>
      <c r="CI654" s="990" t="str">
        <f t="shared" si="1879"/>
        <v/>
      </c>
      <c r="CJ654" s="989" t="str">
        <f t="shared" si="1879"/>
        <v/>
      </c>
      <c r="CK654" s="989" t="str">
        <f t="shared" si="1879"/>
        <v/>
      </c>
      <c r="CL654" s="989" t="str">
        <f t="shared" si="1879"/>
        <v/>
      </c>
      <c r="CM654" s="988" t="str">
        <f t="shared" si="1879"/>
        <v/>
      </c>
      <c r="CN654" s="533" t="str">
        <f t="shared" si="1877"/>
        <v/>
      </c>
      <c r="CO654" s="534" t="str">
        <f t="shared" si="1877"/>
        <v/>
      </c>
      <c r="CP654" s="535" t="str">
        <f t="shared" si="1877"/>
        <v/>
      </c>
      <c r="CQ654" s="535" t="str">
        <f t="shared" si="1877"/>
        <v/>
      </c>
      <c r="CR654" s="535" t="str">
        <f t="shared" si="1877"/>
        <v/>
      </c>
      <c r="CS654" s="535" t="str">
        <f t="shared" si="1877"/>
        <v/>
      </c>
      <c r="CT654" s="535" t="str">
        <f t="shared" si="1877"/>
        <v/>
      </c>
      <c r="CU654" s="536" t="str">
        <f t="shared" si="1877"/>
        <v/>
      </c>
      <c r="CV654" s="536" t="str">
        <f t="shared" si="1877"/>
        <v/>
      </c>
      <c r="CW654" s="536" t="str">
        <f t="shared" si="1877"/>
        <v/>
      </c>
      <c r="CX654" s="535" t="str">
        <f t="shared" si="1878"/>
        <v/>
      </c>
      <c r="CY654" s="535" t="str">
        <f t="shared" si="1878"/>
        <v/>
      </c>
      <c r="CZ654" s="535" t="str">
        <f t="shared" si="1878"/>
        <v/>
      </c>
      <c r="DA654" s="535" t="str">
        <f t="shared" si="1878"/>
        <v/>
      </c>
      <c r="DB654" s="535" t="str">
        <f t="shared" si="1878"/>
        <v/>
      </c>
      <c r="DC654" s="534" t="str">
        <f t="shared" si="1878"/>
        <v/>
      </c>
      <c r="DD654" s="533" t="str">
        <f t="shared" si="1878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1880">IF(B652="","",((B651*B652*B653*B654)*3630*4.1868)/B$46/365/$G$1)</f>
        <v/>
      </c>
      <c r="C655" s="615" t="str">
        <f t="shared" si="1880"/>
        <v/>
      </c>
      <c r="D655" s="615" t="str">
        <f t="shared" si="1880"/>
        <v/>
      </c>
      <c r="E655" s="615" t="str">
        <f t="shared" si="1880"/>
        <v/>
      </c>
      <c r="F655" s="615" t="str">
        <f t="shared" si="1880"/>
        <v/>
      </c>
      <c r="G655" s="615" t="str">
        <f t="shared" si="1880"/>
        <v/>
      </c>
      <c r="H655" s="615" t="str">
        <f t="shared" si="1880"/>
        <v/>
      </c>
      <c r="I655" s="615" t="str">
        <f t="shared" si="1880"/>
        <v/>
      </c>
      <c r="J655" s="615" t="str">
        <f t="shared" si="1880"/>
        <v/>
      </c>
      <c r="K655" s="615" t="str">
        <f t="shared" si="1880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1881">IF(T652="","",((T651*T652*T653*T654)*3630*4.1868)/T$46/365/$G$1)</f>
        <v/>
      </c>
      <c r="U655" s="615" t="str">
        <f t="shared" si="1881"/>
        <v/>
      </c>
      <c r="V655" s="615" t="str">
        <f t="shared" si="1881"/>
        <v/>
      </c>
      <c r="W655" s="615" t="str">
        <f t="shared" si="1881"/>
        <v/>
      </c>
      <c r="X655" s="615" t="str">
        <f t="shared" si="1881"/>
        <v/>
      </c>
      <c r="Y655" s="615" t="str">
        <f t="shared" si="1881"/>
        <v/>
      </c>
      <c r="Z655" s="615" t="str">
        <f t="shared" si="1881"/>
        <v/>
      </c>
      <c r="AA655" s="615" t="str">
        <f t="shared" si="1881"/>
        <v/>
      </c>
      <c r="AB655" s="615" t="str">
        <f t="shared" si="1881"/>
        <v/>
      </c>
      <c r="AC655" s="615" t="str">
        <f t="shared" si="1881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1882">IF(AL652="","",((AL651*AL652*AL653*AL654)*3630*4.1868)/AL$46/365/$G$1)</f>
        <v/>
      </c>
      <c r="AM655" s="615" t="str">
        <f t="shared" si="1882"/>
        <v/>
      </c>
      <c r="AN655" s="615" t="str">
        <f t="shared" si="1882"/>
        <v/>
      </c>
      <c r="AO655" s="615" t="str">
        <f t="shared" si="1882"/>
        <v/>
      </c>
      <c r="AP655" s="615" t="str">
        <f t="shared" si="1882"/>
        <v/>
      </c>
      <c r="AQ655" s="615" t="str">
        <f t="shared" si="1882"/>
        <v/>
      </c>
      <c r="AR655" s="615" t="str">
        <f t="shared" si="1882"/>
        <v/>
      </c>
      <c r="AS655" s="615" t="str">
        <f t="shared" si="1882"/>
        <v/>
      </c>
      <c r="AT655" s="615" t="str">
        <f t="shared" si="1882"/>
        <v/>
      </c>
      <c r="AU655" s="615" t="str">
        <f t="shared" si="1882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1883">IF(BD652="","",((BD651*BD652*BD653*BD654)*3630*4.1868)/BD$46/365/$G$1)</f>
        <v/>
      </c>
      <c r="BE655" s="1202" t="str">
        <f t="shared" si="1883"/>
        <v/>
      </c>
      <c r="BF655" s="1202" t="str">
        <f t="shared" si="1883"/>
        <v/>
      </c>
      <c r="BG655" s="1202" t="str">
        <f t="shared" si="1883"/>
        <v/>
      </c>
      <c r="BH655" s="1202" t="str">
        <f t="shared" si="1883"/>
        <v/>
      </c>
      <c r="BI655" s="1202" t="str">
        <f t="shared" si="1883"/>
        <v/>
      </c>
      <c r="BJ655" s="1202" t="str">
        <f t="shared" si="1883"/>
        <v/>
      </c>
      <c r="BK655" s="1202" t="str">
        <f t="shared" si="1883"/>
        <v/>
      </c>
      <c r="BL655" s="1202" t="str">
        <f t="shared" si="1883"/>
        <v/>
      </c>
      <c r="BM655" s="1202" t="str">
        <f t="shared" si="1883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1879"/>
        <v/>
      </c>
      <c r="CF655" s="992" t="str">
        <f t="shared" si="1879"/>
        <v/>
      </c>
      <c r="CG655" s="992" t="str">
        <f t="shared" si="1879"/>
        <v/>
      </c>
      <c r="CH655" s="993" t="str">
        <f t="shared" si="1879"/>
        <v/>
      </c>
      <c r="CI655" s="993" t="str">
        <f t="shared" si="1879"/>
        <v/>
      </c>
      <c r="CJ655" s="992" t="str">
        <f t="shared" si="1879"/>
        <v/>
      </c>
      <c r="CK655" s="992" t="str">
        <f t="shared" si="1879"/>
        <v/>
      </c>
      <c r="CL655" s="992" t="str">
        <f t="shared" si="1879"/>
        <v/>
      </c>
      <c r="CM655" s="991" t="str">
        <f t="shared" si="1879"/>
        <v/>
      </c>
      <c r="CN655" s="521" t="str">
        <f t="shared" si="1877"/>
        <v/>
      </c>
      <c r="CO655" s="522" t="str">
        <f t="shared" si="1877"/>
        <v/>
      </c>
      <c r="CP655" s="523" t="str">
        <f t="shared" si="1877"/>
        <v/>
      </c>
      <c r="CQ655" s="523" t="str">
        <f t="shared" si="1877"/>
        <v/>
      </c>
      <c r="CR655" s="523" t="str">
        <f t="shared" si="1877"/>
        <v/>
      </c>
      <c r="CS655" s="523" t="str">
        <f t="shared" si="1877"/>
        <v/>
      </c>
      <c r="CT655" s="523" t="str">
        <f t="shared" si="1877"/>
        <v/>
      </c>
      <c r="CU655" s="524" t="str">
        <f t="shared" si="1877"/>
        <v/>
      </c>
      <c r="CV655" s="524" t="str">
        <f t="shared" si="1877"/>
        <v/>
      </c>
      <c r="CW655" s="524" t="str">
        <f t="shared" si="1877"/>
        <v/>
      </c>
      <c r="CX655" s="523" t="str">
        <f t="shared" si="1878"/>
        <v/>
      </c>
      <c r="CY655" s="523" t="str">
        <f t="shared" si="1878"/>
        <v/>
      </c>
      <c r="CZ655" s="523" t="str">
        <f t="shared" si="1878"/>
        <v/>
      </c>
      <c r="DA655" s="523" t="str">
        <f t="shared" si="1878"/>
        <v/>
      </c>
      <c r="DB655" s="523" t="str">
        <f t="shared" si="1878"/>
        <v/>
      </c>
      <c r="DC655" s="522" t="str">
        <f t="shared" si="1878"/>
        <v/>
      </c>
      <c r="DD655" s="521" t="str">
        <f t="shared" si="1878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1884">IF(DE657&lt;3,"",(SUM(B657:R657)-MIN(B657:R657)-MAX(B657:R657))/(DE657-2))</f>
        <v/>
      </c>
      <c r="CA657" s="582" t="str">
        <f t="shared" ref="CA657:CA664" si="1885">IF(DF657&lt;3,"",(SUM(T657:AJ657)-MIN(T657:AJ657)-MAX(T657:AJ657))/(DF657-2))</f>
        <v/>
      </c>
      <c r="CB657" s="582" t="str">
        <f t="shared" ref="CB657:CB664" si="1886">IF(DG657&lt;3,"",(SUM(AL657:BB657)-MIN(AL657:BB657)-MAX(AL657:BB657))/(DG657-2))</f>
        <v/>
      </c>
      <c r="CC657" s="670" t="str">
        <f t="shared" ref="CC657:CC664" si="1887">IF(DH657&lt;3,"",(SUM(BD657:BT657)-MIN(BD657:BT657)-MAX(BD657:BT657))/(DH657-2))</f>
        <v/>
      </c>
      <c r="CD657" s="988" t="str">
        <f t="shared" ref="CD657:CM657" si="1888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1888"/>
        <v/>
      </c>
      <c r="CF657" s="989" t="str">
        <f t="shared" si="1888"/>
        <v/>
      </c>
      <c r="CG657" s="989" t="str">
        <f t="shared" si="1888"/>
        <v/>
      </c>
      <c r="CH657" s="990" t="str">
        <f t="shared" si="1888"/>
        <v/>
      </c>
      <c r="CI657" s="990" t="str">
        <f t="shared" si="1888"/>
        <v/>
      </c>
      <c r="CJ657" s="989" t="str">
        <f t="shared" si="1888"/>
        <v/>
      </c>
      <c r="CK657" s="989" t="str">
        <f t="shared" si="1888"/>
        <v/>
      </c>
      <c r="CL657" s="989" t="str">
        <f t="shared" si="1888"/>
        <v/>
      </c>
      <c r="CM657" s="988" t="str">
        <f t="shared" si="1888"/>
        <v/>
      </c>
      <c r="CN657" s="533" t="str">
        <f t="shared" ref="CN657:CN664" si="1889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1890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189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189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189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189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189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189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189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189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189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190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190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190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190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190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190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1906">COUNT(B657:R657)</f>
        <v>0</v>
      </c>
      <c r="DF657" s="95">
        <f t="shared" ref="DF657:DF664" si="1907">COUNT(T657:AJ657)</f>
        <v>0</v>
      </c>
      <c r="DG657" s="95">
        <f t="shared" ref="DG657:DG664" si="1908">COUNT(AL657:BB657)</f>
        <v>0</v>
      </c>
      <c r="DH657" s="95">
        <f t="shared" ref="DH657:DH664" si="1909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1884"/>
        <v/>
      </c>
      <c r="CA658" s="582" t="str">
        <f t="shared" si="1885"/>
        <v/>
      </c>
      <c r="CB658" s="582" t="str">
        <f t="shared" si="1886"/>
        <v/>
      </c>
      <c r="CC658" s="670" t="str">
        <f t="shared" si="1887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1910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1910"/>
        <v/>
      </c>
      <c r="CG658" s="989" t="str">
        <f t="shared" si="1910"/>
        <v/>
      </c>
      <c r="CH658" s="990" t="str">
        <f t="shared" si="1910"/>
        <v/>
      </c>
      <c r="CI658" s="990" t="str">
        <f t="shared" si="1910"/>
        <v/>
      </c>
      <c r="CJ658" s="989" t="str">
        <f t="shared" si="1910"/>
        <v/>
      </c>
      <c r="CK658" s="989" t="str">
        <f t="shared" si="1910"/>
        <v/>
      </c>
      <c r="CL658" s="989" t="str">
        <f t="shared" si="1910"/>
        <v/>
      </c>
      <c r="CM658" s="988" t="str">
        <f t="shared" si="1910"/>
        <v/>
      </c>
      <c r="CN658" s="533" t="str">
        <f t="shared" si="1889"/>
        <v/>
      </c>
      <c r="CO658" s="534" t="str">
        <f t="shared" si="1890"/>
        <v/>
      </c>
      <c r="CP658" s="535" t="str">
        <f t="shared" si="1891"/>
        <v/>
      </c>
      <c r="CQ658" s="535" t="str">
        <f t="shared" si="1892"/>
        <v/>
      </c>
      <c r="CR658" s="535" t="str">
        <f t="shared" si="1893"/>
        <v/>
      </c>
      <c r="CS658" s="535" t="str">
        <f t="shared" si="1894"/>
        <v/>
      </c>
      <c r="CT658" s="535" t="str">
        <f t="shared" si="1895"/>
        <v/>
      </c>
      <c r="CU658" s="536" t="str">
        <f t="shared" si="1896"/>
        <v/>
      </c>
      <c r="CV658" s="536" t="str">
        <f t="shared" si="1897"/>
        <v/>
      </c>
      <c r="CW658" s="536" t="str">
        <f t="shared" si="1898"/>
        <v/>
      </c>
      <c r="CX658" s="535" t="str">
        <f t="shared" si="1899"/>
        <v/>
      </c>
      <c r="CY658" s="535" t="str">
        <f t="shared" si="1900"/>
        <v/>
      </c>
      <c r="CZ658" s="535" t="str">
        <f t="shared" si="1901"/>
        <v/>
      </c>
      <c r="DA658" s="535" t="str">
        <f t="shared" si="1902"/>
        <v/>
      </c>
      <c r="DB658" s="535" t="str">
        <f t="shared" si="1903"/>
        <v/>
      </c>
      <c r="DC658" s="534" t="str">
        <f t="shared" si="1904"/>
        <v/>
      </c>
      <c r="DD658" s="533" t="str">
        <f t="shared" si="1905"/>
        <v/>
      </c>
      <c r="DE658" s="635">
        <f t="shared" si="1906"/>
        <v>0</v>
      </c>
      <c r="DF658" s="95">
        <f t="shared" si="1907"/>
        <v>0</v>
      </c>
      <c r="DG658" s="95">
        <f t="shared" si="1908"/>
        <v>0</v>
      </c>
      <c r="DH658" s="95">
        <f t="shared" si="1909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1884"/>
        <v/>
      </c>
      <c r="CA659" s="582" t="str">
        <f t="shared" si="1885"/>
        <v/>
      </c>
      <c r="CB659" s="582" t="str">
        <f t="shared" si="1886"/>
        <v/>
      </c>
      <c r="CC659" s="670" t="str">
        <f t="shared" si="1887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1910"/>
        <v/>
      </c>
      <c r="CF659" s="989" t="str">
        <f t="shared" si="1910"/>
        <v/>
      </c>
      <c r="CG659" s="989" t="str">
        <f t="shared" si="1910"/>
        <v/>
      </c>
      <c r="CH659" s="990" t="str">
        <f t="shared" si="1910"/>
        <v/>
      </c>
      <c r="CI659" s="990" t="str">
        <f t="shared" si="1910"/>
        <v/>
      </c>
      <c r="CJ659" s="989" t="str">
        <f t="shared" si="1910"/>
        <v/>
      </c>
      <c r="CK659" s="989" t="str">
        <f t="shared" si="1910"/>
        <v/>
      </c>
      <c r="CL659" s="989" t="str">
        <f t="shared" si="1910"/>
        <v/>
      </c>
      <c r="CM659" s="988" t="str">
        <f t="shared" si="1910"/>
        <v/>
      </c>
      <c r="CN659" s="533" t="str">
        <f t="shared" si="1889"/>
        <v/>
      </c>
      <c r="CO659" s="534" t="str">
        <f t="shared" si="1890"/>
        <v/>
      </c>
      <c r="CP659" s="535" t="str">
        <f t="shared" si="1891"/>
        <v/>
      </c>
      <c r="CQ659" s="535" t="str">
        <f t="shared" si="1892"/>
        <v/>
      </c>
      <c r="CR659" s="535" t="str">
        <f t="shared" si="1893"/>
        <v/>
      </c>
      <c r="CS659" s="535" t="str">
        <f t="shared" si="1894"/>
        <v/>
      </c>
      <c r="CT659" s="535" t="str">
        <f t="shared" si="1895"/>
        <v/>
      </c>
      <c r="CU659" s="536" t="str">
        <f t="shared" si="1896"/>
        <v/>
      </c>
      <c r="CV659" s="536" t="str">
        <f t="shared" si="1897"/>
        <v/>
      </c>
      <c r="CW659" s="536" t="str">
        <f t="shared" si="1898"/>
        <v/>
      </c>
      <c r="CX659" s="535" t="str">
        <f t="shared" si="1899"/>
        <v/>
      </c>
      <c r="CY659" s="535" t="str">
        <f t="shared" si="1900"/>
        <v/>
      </c>
      <c r="CZ659" s="535" t="str">
        <f t="shared" si="1901"/>
        <v/>
      </c>
      <c r="DA659" s="535" t="str">
        <f t="shared" si="1902"/>
        <v/>
      </c>
      <c r="DB659" s="535" t="str">
        <f t="shared" si="1903"/>
        <v/>
      </c>
      <c r="DC659" s="534" t="str">
        <f t="shared" si="1904"/>
        <v/>
      </c>
      <c r="DD659" s="533" t="str">
        <f t="shared" si="1905"/>
        <v/>
      </c>
      <c r="DE659" s="635">
        <f t="shared" si="1906"/>
        <v>0</v>
      </c>
      <c r="DF659" s="95">
        <f t="shared" si="1907"/>
        <v>0</v>
      </c>
      <c r="DG659" s="95">
        <f t="shared" si="1908"/>
        <v>0</v>
      </c>
      <c r="DH659" s="95">
        <f t="shared" si="1909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1884"/>
        <v/>
      </c>
      <c r="CA660" s="582" t="str">
        <f t="shared" si="1885"/>
        <v/>
      </c>
      <c r="CB660" s="582" t="str">
        <f t="shared" si="1886"/>
        <v/>
      </c>
      <c r="CC660" s="670" t="str">
        <f t="shared" si="1887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1910"/>
        <v/>
      </c>
      <c r="CF660" s="989" t="str">
        <f t="shared" si="1910"/>
        <v/>
      </c>
      <c r="CG660" s="989" t="str">
        <f t="shared" si="1910"/>
        <v/>
      </c>
      <c r="CH660" s="990" t="str">
        <f t="shared" si="1910"/>
        <v/>
      </c>
      <c r="CI660" s="990" t="str">
        <f t="shared" si="1910"/>
        <v/>
      </c>
      <c r="CJ660" s="989" t="str">
        <f t="shared" si="1910"/>
        <v/>
      </c>
      <c r="CK660" s="989" t="str">
        <f t="shared" si="1910"/>
        <v/>
      </c>
      <c r="CL660" s="989" t="str">
        <f t="shared" si="1910"/>
        <v/>
      </c>
      <c r="CM660" s="988" t="str">
        <f t="shared" si="1910"/>
        <v/>
      </c>
      <c r="CN660" s="533" t="str">
        <f t="shared" si="1889"/>
        <v/>
      </c>
      <c r="CO660" s="534" t="str">
        <f t="shared" si="1890"/>
        <v/>
      </c>
      <c r="CP660" s="535" t="str">
        <f t="shared" si="1891"/>
        <v/>
      </c>
      <c r="CQ660" s="535" t="str">
        <f t="shared" si="1892"/>
        <v/>
      </c>
      <c r="CR660" s="535" t="str">
        <f t="shared" si="1893"/>
        <v/>
      </c>
      <c r="CS660" s="535" t="str">
        <f t="shared" si="1894"/>
        <v/>
      </c>
      <c r="CT660" s="535" t="str">
        <f t="shared" si="1895"/>
        <v/>
      </c>
      <c r="CU660" s="536" t="str">
        <f t="shared" si="1896"/>
        <v/>
      </c>
      <c r="CV660" s="536" t="str">
        <f t="shared" si="1897"/>
        <v/>
      </c>
      <c r="CW660" s="536" t="str">
        <f t="shared" si="1898"/>
        <v/>
      </c>
      <c r="CX660" s="535" t="str">
        <f t="shared" si="1899"/>
        <v/>
      </c>
      <c r="CY660" s="535" t="str">
        <f t="shared" si="1900"/>
        <v/>
      </c>
      <c r="CZ660" s="535" t="str">
        <f t="shared" si="1901"/>
        <v/>
      </c>
      <c r="DA660" s="535" t="str">
        <f t="shared" si="1902"/>
        <v/>
      </c>
      <c r="DB660" s="535" t="str">
        <f t="shared" si="1903"/>
        <v/>
      </c>
      <c r="DC660" s="534" t="str">
        <f t="shared" si="1904"/>
        <v/>
      </c>
      <c r="DD660" s="533" t="str">
        <f t="shared" si="1905"/>
        <v/>
      </c>
      <c r="DE660" s="635">
        <f t="shared" si="1906"/>
        <v>0</v>
      </c>
      <c r="DF660" s="95">
        <f t="shared" si="1907"/>
        <v>0</v>
      </c>
      <c r="DG660" s="95">
        <f t="shared" si="1908"/>
        <v>0</v>
      </c>
      <c r="DH660" s="95">
        <f t="shared" si="1909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1911">IF(B658="","",((B657*B658*B659*B660)*3630*4.1868)/B$46/365/$G$1)</f>
        <v/>
      </c>
      <c r="C661" s="615" t="str">
        <f t="shared" si="1911"/>
        <v/>
      </c>
      <c r="D661" s="615" t="str">
        <f t="shared" si="1911"/>
        <v/>
      </c>
      <c r="E661" s="615" t="str">
        <f t="shared" si="1911"/>
        <v/>
      </c>
      <c r="F661" s="615" t="str">
        <f t="shared" si="1911"/>
        <v/>
      </c>
      <c r="G661" s="615" t="str">
        <f t="shared" si="1911"/>
        <v/>
      </c>
      <c r="H661" s="615" t="str">
        <f t="shared" si="1911"/>
        <v/>
      </c>
      <c r="I661" s="615" t="str">
        <f t="shared" si="1911"/>
        <v/>
      </c>
      <c r="J661" s="615" t="str">
        <f t="shared" si="1911"/>
        <v/>
      </c>
      <c r="K661" s="615" t="str">
        <f t="shared" si="1911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1912">IF(T658="","",((T657*T658*T659*T660)*3630*4.1868)/T$46/365/$G$1)</f>
        <v/>
      </c>
      <c r="U661" s="615" t="str">
        <f t="shared" si="1912"/>
        <v/>
      </c>
      <c r="V661" s="615" t="str">
        <f t="shared" si="1912"/>
        <v/>
      </c>
      <c r="W661" s="615" t="str">
        <f t="shared" si="1912"/>
        <v/>
      </c>
      <c r="X661" s="615" t="str">
        <f t="shared" si="1912"/>
        <v/>
      </c>
      <c r="Y661" s="615" t="str">
        <f t="shared" si="1912"/>
        <v/>
      </c>
      <c r="Z661" s="615" t="str">
        <f t="shared" si="1912"/>
        <v/>
      </c>
      <c r="AA661" s="615" t="str">
        <f t="shared" si="1912"/>
        <v/>
      </c>
      <c r="AB661" s="615" t="str">
        <f t="shared" si="1912"/>
        <v/>
      </c>
      <c r="AC661" s="615" t="str">
        <f t="shared" si="1912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1913">IF(AL658="","",((AL657*AL658*AL659*AL660)*3630*4.1868)/AL$46/365/$G$1)</f>
        <v/>
      </c>
      <c r="AM661" s="615" t="str">
        <f t="shared" si="1913"/>
        <v/>
      </c>
      <c r="AN661" s="615" t="str">
        <f t="shared" si="1913"/>
        <v/>
      </c>
      <c r="AO661" s="615" t="str">
        <f t="shared" si="1913"/>
        <v/>
      </c>
      <c r="AP661" s="615" t="str">
        <f t="shared" si="1913"/>
        <v/>
      </c>
      <c r="AQ661" s="615" t="str">
        <f t="shared" si="1913"/>
        <v/>
      </c>
      <c r="AR661" s="615" t="str">
        <f t="shared" si="1913"/>
        <v/>
      </c>
      <c r="AS661" s="615" t="str">
        <f t="shared" si="1913"/>
        <v/>
      </c>
      <c r="AT661" s="615" t="str">
        <f t="shared" si="1913"/>
        <v/>
      </c>
      <c r="AU661" s="615" t="str">
        <f t="shared" si="1913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1914">IF(BD658="","",((BD657*BD658*BD659*BD660)*3630*4.1868)/BD$46/365/$G$1)</f>
        <v/>
      </c>
      <c r="BE661" s="1202" t="str">
        <f t="shared" si="1914"/>
        <v/>
      </c>
      <c r="BF661" s="1202" t="str">
        <f t="shared" si="1914"/>
        <v/>
      </c>
      <c r="BG661" s="1202" t="str">
        <f t="shared" si="1914"/>
        <v/>
      </c>
      <c r="BH661" s="1202" t="str">
        <f t="shared" si="1914"/>
        <v/>
      </c>
      <c r="BI661" s="1202" t="str">
        <f t="shared" si="1914"/>
        <v/>
      </c>
      <c r="BJ661" s="1202" t="str">
        <f t="shared" si="1914"/>
        <v/>
      </c>
      <c r="BK661" s="1202" t="str">
        <f t="shared" si="1914"/>
        <v/>
      </c>
      <c r="BL661" s="1202" t="str">
        <f t="shared" si="1914"/>
        <v/>
      </c>
      <c r="BM661" s="1202" t="str">
        <f t="shared" si="1914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1884"/>
        <v/>
      </c>
      <c r="CA661" s="607" t="str">
        <f t="shared" si="1885"/>
        <v/>
      </c>
      <c r="CB661" s="607" t="str">
        <f t="shared" si="1886"/>
        <v/>
      </c>
      <c r="CC661" s="673" t="str">
        <f t="shared" si="1887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1910"/>
        <v/>
      </c>
      <c r="CF661" s="992" t="str">
        <f t="shared" si="1910"/>
        <v/>
      </c>
      <c r="CG661" s="992" t="str">
        <f t="shared" si="1910"/>
        <v/>
      </c>
      <c r="CH661" s="993" t="str">
        <f t="shared" si="1910"/>
        <v/>
      </c>
      <c r="CI661" s="993" t="str">
        <f t="shared" si="1910"/>
        <v/>
      </c>
      <c r="CJ661" s="992" t="str">
        <f t="shared" si="1910"/>
        <v/>
      </c>
      <c r="CK661" s="992" t="str">
        <f t="shared" si="1910"/>
        <v/>
      </c>
      <c r="CL661" s="992" t="str">
        <f t="shared" si="1910"/>
        <v/>
      </c>
      <c r="CM661" s="991" t="str">
        <f t="shared" si="1910"/>
        <v/>
      </c>
      <c r="CN661" s="521" t="str">
        <f t="shared" si="1889"/>
        <v/>
      </c>
      <c r="CO661" s="522" t="str">
        <f t="shared" si="1890"/>
        <v/>
      </c>
      <c r="CP661" s="523" t="str">
        <f t="shared" si="1891"/>
        <v/>
      </c>
      <c r="CQ661" s="523" t="str">
        <f t="shared" si="1892"/>
        <v/>
      </c>
      <c r="CR661" s="523" t="str">
        <f t="shared" si="1893"/>
        <v/>
      </c>
      <c r="CS661" s="523" t="str">
        <f t="shared" si="1894"/>
        <v/>
      </c>
      <c r="CT661" s="523" t="str">
        <f t="shared" si="1895"/>
        <v/>
      </c>
      <c r="CU661" s="524" t="str">
        <f t="shared" si="1896"/>
        <v/>
      </c>
      <c r="CV661" s="524" t="str">
        <f t="shared" si="1897"/>
        <v/>
      </c>
      <c r="CW661" s="524" t="str">
        <f t="shared" si="1898"/>
        <v/>
      </c>
      <c r="CX661" s="523" t="str">
        <f t="shared" si="1899"/>
        <v/>
      </c>
      <c r="CY661" s="523" t="str">
        <f t="shared" si="1900"/>
        <v/>
      </c>
      <c r="CZ661" s="523" t="str">
        <f t="shared" si="1901"/>
        <v/>
      </c>
      <c r="DA661" s="523" t="str">
        <f t="shared" si="1902"/>
        <v/>
      </c>
      <c r="DB661" s="523" t="str">
        <f t="shared" si="1903"/>
        <v/>
      </c>
      <c r="DC661" s="522" t="str">
        <f t="shared" si="1904"/>
        <v/>
      </c>
      <c r="DD661" s="521" t="str">
        <f t="shared" si="1905"/>
        <v/>
      </c>
      <c r="DE661" s="635">
        <f t="shared" si="1906"/>
        <v>0</v>
      </c>
      <c r="DF661" s="95">
        <f t="shared" si="1907"/>
        <v>0</v>
      </c>
      <c r="DG661" s="95">
        <f t="shared" si="1908"/>
        <v>0</v>
      </c>
      <c r="DH661" s="95">
        <f t="shared" si="1909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1884"/>
        <v/>
      </c>
      <c r="CA662" s="582" t="str">
        <f t="shared" si="1885"/>
        <v/>
      </c>
      <c r="CB662" s="582" t="str">
        <f t="shared" si="1886"/>
        <v/>
      </c>
      <c r="CC662" s="670" t="str">
        <f t="shared" si="1887"/>
        <v/>
      </c>
      <c r="CD662" s="988" t="str">
        <f t="shared" ref="CD662:CM663" si="191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1915"/>
        <v/>
      </c>
      <c r="CF662" s="989" t="str">
        <f t="shared" si="1915"/>
        <v/>
      </c>
      <c r="CG662" s="989" t="str">
        <f t="shared" si="1915"/>
        <v/>
      </c>
      <c r="CH662" s="990" t="str">
        <f t="shared" si="1915"/>
        <v/>
      </c>
      <c r="CI662" s="990" t="str">
        <f t="shared" si="1915"/>
        <v/>
      </c>
      <c r="CJ662" s="989" t="str">
        <f t="shared" si="1915"/>
        <v/>
      </c>
      <c r="CK662" s="989" t="str">
        <f t="shared" si="1915"/>
        <v/>
      </c>
      <c r="CL662" s="989" t="str">
        <f t="shared" si="1915"/>
        <v/>
      </c>
      <c r="CM662" s="988" t="str">
        <f t="shared" si="1915"/>
        <v/>
      </c>
      <c r="CN662" s="533" t="str">
        <f t="shared" si="1889"/>
        <v/>
      </c>
      <c r="CO662" s="534" t="str">
        <f t="shared" si="1890"/>
        <v/>
      </c>
      <c r="CP662" s="535" t="str">
        <f t="shared" si="1891"/>
        <v/>
      </c>
      <c r="CQ662" s="535" t="str">
        <f t="shared" si="1892"/>
        <v/>
      </c>
      <c r="CR662" s="535" t="str">
        <f t="shared" si="1893"/>
        <v/>
      </c>
      <c r="CS662" s="535" t="str">
        <f t="shared" si="1894"/>
        <v/>
      </c>
      <c r="CT662" s="535" t="str">
        <f t="shared" si="1895"/>
        <v/>
      </c>
      <c r="CU662" s="536" t="str">
        <f t="shared" si="1896"/>
        <v/>
      </c>
      <c r="CV662" s="536" t="str">
        <f t="shared" si="1897"/>
        <v/>
      </c>
      <c r="CW662" s="536" t="str">
        <f t="shared" si="1898"/>
        <v/>
      </c>
      <c r="CX662" s="535" t="str">
        <f t="shared" si="1899"/>
        <v/>
      </c>
      <c r="CY662" s="535" t="str">
        <f t="shared" si="1900"/>
        <v/>
      </c>
      <c r="CZ662" s="535" t="str">
        <f t="shared" si="1901"/>
        <v/>
      </c>
      <c r="DA662" s="535" t="str">
        <f t="shared" si="1902"/>
        <v/>
      </c>
      <c r="DB662" s="535" t="str">
        <f t="shared" si="1903"/>
        <v/>
      </c>
      <c r="DC662" s="534" t="str">
        <f t="shared" si="1904"/>
        <v/>
      </c>
      <c r="DD662" s="533" t="str">
        <f t="shared" si="1905"/>
        <v/>
      </c>
      <c r="DE662" s="635">
        <f t="shared" si="1906"/>
        <v>0</v>
      </c>
      <c r="DF662" s="95">
        <f t="shared" si="1907"/>
        <v>0</v>
      </c>
      <c r="DG662" s="95">
        <f t="shared" si="1908"/>
        <v>0</v>
      </c>
      <c r="DH662" s="95">
        <f t="shared" si="1909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1884"/>
        <v/>
      </c>
      <c r="CA663" s="582" t="str">
        <f t="shared" si="1885"/>
        <v/>
      </c>
      <c r="CB663" s="582" t="str">
        <f t="shared" si="1886"/>
        <v/>
      </c>
      <c r="CC663" s="670" t="str">
        <f t="shared" si="1887"/>
        <v/>
      </c>
      <c r="CD663" s="988" t="str">
        <f t="shared" si="1915"/>
        <v/>
      </c>
      <c r="CE663" s="989" t="str">
        <f t="shared" ref="CE663:CM676" si="191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1916"/>
        <v/>
      </c>
      <c r="CG663" s="989" t="str">
        <f t="shared" si="1916"/>
        <v/>
      </c>
      <c r="CH663" s="990" t="str">
        <f t="shared" si="1916"/>
        <v/>
      </c>
      <c r="CI663" s="990" t="str">
        <f t="shared" si="1916"/>
        <v/>
      </c>
      <c r="CJ663" s="989" t="str">
        <f t="shared" si="1916"/>
        <v/>
      </c>
      <c r="CK663" s="989" t="str">
        <f t="shared" si="1916"/>
        <v/>
      </c>
      <c r="CL663" s="989" t="str">
        <f t="shared" si="1916"/>
        <v/>
      </c>
      <c r="CM663" s="988" t="str">
        <f t="shared" si="1916"/>
        <v/>
      </c>
      <c r="CN663" s="533" t="str">
        <f t="shared" si="1889"/>
        <v/>
      </c>
      <c r="CO663" s="534" t="str">
        <f t="shared" si="1890"/>
        <v/>
      </c>
      <c r="CP663" s="535" t="str">
        <f t="shared" si="1891"/>
        <v/>
      </c>
      <c r="CQ663" s="535" t="str">
        <f t="shared" si="1892"/>
        <v/>
      </c>
      <c r="CR663" s="535" t="str">
        <f t="shared" si="1893"/>
        <v/>
      </c>
      <c r="CS663" s="535" t="str">
        <f t="shared" si="1894"/>
        <v/>
      </c>
      <c r="CT663" s="535" t="str">
        <f t="shared" si="1895"/>
        <v/>
      </c>
      <c r="CU663" s="536" t="str">
        <f t="shared" si="1896"/>
        <v/>
      </c>
      <c r="CV663" s="536" t="str">
        <f t="shared" si="1897"/>
        <v/>
      </c>
      <c r="CW663" s="536" t="str">
        <f t="shared" si="1898"/>
        <v/>
      </c>
      <c r="CX663" s="535" t="str">
        <f t="shared" si="1899"/>
        <v/>
      </c>
      <c r="CY663" s="535" t="str">
        <f t="shared" si="1900"/>
        <v/>
      </c>
      <c r="CZ663" s="535" t="str">
        <f t="shared" si="1901"/>
        <v/>
      </c>
      <c r="DA663" s="535" t="str">
        <f t="shared" si="1902"/>
        <v/>
      </c>
      <c r="DB663" s="535" t="str">
        <f t="shared" si="1903"/>
        <v/>
      </c>
      <c r="DC663" s="534" t="str">
        <f t="shared" si="1904"/>
        <v/>
      </c>
      <c r="DD663" s="533" t="str">
        <f t="shared" si="1905"/>
        <v/>
      </c>
      <c r="DE663" s="635">
        <f t="shared" si="1906"/>
        <v>0</v>
      </c>
      <c r="DF663" s="95">
        <f t="shared" si="1907"/>
        <v>0</v>
      </c>
      <c r="DG663" s="95">
        <f t="shared" si="1908"/>
        <v>0</v>
      </c>
      <c r="DH663" s="95">
        <f t="shared" si="1909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1917">IF(B662="","",B662/B$46*B663/12)</f>
        <v/>
      </c>
      <c r="C664" s="736" t="str">
        <f t="shared" si="1917"/>
        <v/>
      </c>
      <c r="D664" s="736" t="str">
        <f t="shared" si="1917"/>
        <v/>
      </c>
      <c r="E664" s="736" t="str">
        <f t="shared" si="1917"/>
        <v/>
      </c>
      <c r="F664" s="736" t="str">
        <f t="shared" si="1917"/>
        <v/>
      </c>
      <c r="G664" s="736" t="str">
        <f t="shared" si="1917"/>
        <v/>
      </c>
      <c r="H664" s="736" t="str">
        <f t="shared" si="1917"/>
        <v/>
      </c>
      <c r="I664" s="736" t="str">
        <f t="shared" si="1917"/>
        <v/>
      </c>
      <c r="J664" s="736" t="str">
        <f t="shared" si="1917"/>
        <v/>
      </c>
      <c r="K664" s="736" t="str">
        <f t="shared" si="1917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1918">IF(T662="","",T662/T$46*T663/12)</f>
        <v/>
      </c>
      <c r="U664" s="736" t="str">
        <f t="shared" si="1918"/>
        <v/>
      </c>
      <c r="V664" s="736" t="str">
        <f t="shared" si="1918"/>
        <v/>
      </c>
      <c r="W664" s="736" t="str">
        <f t="shared" si="1918"/>
        <v/>
      </c>
      <c r="X664" s="736" t="str">
        <f t="shared" si="1918"/>
        <v/>
      </c>
      <c r="Y664" s="736" t="str">
        <f t="shared" si="1918"/>
        <v/>
      </c>
      <c r="Z664" s="736" t="str">
        <f t="shared" si="1918"/>
        <v/>
      </c>
      <c r="AA664" s="736" t="str">
        <f t="shared" si="1918"/>
        <v/>
      </c>
      <c r="AB664" s="736" t="str">
        <f t="shared" si="1918"/>
        <v/>
      </c>
      <c r="AC664" s="736" t="str">
        <f t="shared" si="1918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1919">IF(AL662="","",AL662/AL$46*AL663/12)</f>
        <v/>
      </c>
      <c r="AM664" s="736" t="str">
        <f t="shared" si="1919"/>
        <v/>
      </c>
      <c r="AN664" s="736" t="str">
        <f t="shared" si="1919"/>
        <v/>
      </c>
      <c r="AO664" s="736" t="str">
        <f t="shared" si="1919"/>
        <v/>
      </c>
      <c r="AP664" s="736" t="str">
        <f t="shared" si="1919"/>
        <v/>
      </c>
      <c r="AQ664" s="736" t="str">
        <f t="shared" si="1919"/>
        <v/>
      </c>
      <c r="AR664" s="736" t="str">
        <f t="shared" si="1919"/>
        <v/>
      </c>
      <c r="AS664" s="736" t="str">
        <f t="shared" si="1919"/>
        <v/>
      </c>
      <c r="AT664" s="736" t="str">
        <f t="shared" si="1919"/>
        <v/>
      </c>
      <c r="AU664" s="736" t="str">
        <f t="shared" si="1919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>IF(BJ662="","",BJ662/BJ$46*BJ663/12)</f>
        <v/>
      </c>
      <c r="BK664" s="1234" t="str">
        <f>IF(BK662="","",BK662/BK$46*BK663/12)</f>
        <v/>
      </c>
      <c r="BL664" s="1234" t="str">
        <f>IF(BL662="","",BL662/BL$46*BL663/12)</f>
        <v/>
      </c>
      <c r="BM664" s="1234" t="str">
        <f>IF(BM662="","",BM662/BM$46*BM663/12)</f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1884"/>
        <v/>
      </c>
      <c r="CA664" s="607" t="str">
        <f t="shared" si="1885"/>
        <v/>
      </c>
      <c r="CB664" s="607" t="str">
        <f t="shared" si="1886"/>
        <v/>
      </c>
      <c r="CC664" s="673" t="str">
        <f t="shared" si="1887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1916"/>
        <v/>
      </c>
      <c r="CF664" s="992" t="str">
        <f t="shared" si="1916"/>
        <v/>
      </c>
      <c r="CG664" s="992" t="str">
        <f t="shared" si="1916"/>
        <v/>
      </c>
      <c r="CH664" s="993" t="str">
        <f t="shared" si="1916"/>
        <v/>
      </c>
      <c r="CI664" s="993" t="str">
        <f t="shared" si="1916"/>
        <v/>
      </c>
      <c r="CJ664" s="992" t="str">
        <f t="shared" si="1916"/>
        <v/>
      </c>
      <c r="CK664" s="992" t="str">
        <f t="shared" si="1916"/>
        <v/>
      </c>
      <c r="CL664" s="992" t="str">
        <f t="shared" si="1916"/>
        <v/>
      </c>
      <c r="CM664" s="991" t="str">
        <f t="shared" si="1916"/>
        <v/>
      </c>
      <c r="CN664" s="521" t="str">
        <f t="shared" si="1889"/>
        <v/>
      </c>
      <c r="CO664" s="522" t="str">
        <f t="shared" si="1890"/>
        <v/>
      </c>
      <c r="CP664" s="523" t="str">
        <f t="shared" si="1891"/>
        <v/>
      </c>
      <c r="CQ664" s="523" t="str">
        <f t="shared" si="1892"/>
        <v/>
      </c>
      <c r="CR664" s="523" t="str">
        <f t="shared" si="1893"/>
        <v/>
      </c>
      <c r="CS664" s="523" t="str">
        <f t="shared" si="1894"/>
        <v/>
      </c>
      <c r="CT664" s="523" t="str">
        <f t="shared" si="1895"/>
        <v/>
      </c>
      <c r="CU664" s="524" t="str">
        <f t="shared" si="1896"/>
        <v/>
      </c>
      <c r="CV664" s="524" t="str">
        <f t="shared" si="1897"/>
        <v/>
      </c>
      <c r="CW664" s="524" t="str">
        <f t="shared" si="1898"/>
        <v/>
      </c>
      <c r="CX664" s="523" t="str">
        <f t="shared" si="1899"/>
        <v/>
      </c>
      <c r="CY664" s="523" t="str">
        <f t="shared" si="1900"/>
        <v/>
      </c>
      <c r="CZ664" s="523" t="str">
        <f t="shared" si="1901"/>
        <v/>
      </c>
      <c r="DA664" s="523" t="str">
        <f t="shared" si="1902"/>
        <v/>
      </c>
      <c r="DB664" s="523" t="str">
        <f t="shared" si="1903"/>
        <v/>
      </c>
      <c r="DC664" s="522" t="str">
        <f t="shared" si="1904"/>
        <v/>
      </c>
      <c r="DD664" s="521" t="str">
        <f t="shared" si="1905"/>
        <v/>
      </c>
      <c r="DE664" s="635">
        <f t="shared" si="1906"/>
        <v>0</v>
      </c>
      <c r="DF664" s="95">
        <f t="shared" si="1907"/>
        <v>0</v>
      </c>
      <c r="DG664" s="95">
        <f t="shared" si="1908"/>
        <v>0</v>
      </c>
      <c r="DH664" s="95">
        <f t="shared" si="1909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1920">IF(DE666&lt;3,"",(SUM(B666:R666)-MIN(B666:R666)-MAX(B666:R666))/(DE666-2))</f>
        <v/>
      </c>
      <c r="CA666" s="582" t="str">
        <f t="shared" ref="CA666:CA681" si="1921">IF(DF666&lt;3,"",(SUM(T666:AJ666)-MIN(T666:AJ666)-MAX(T666:AJ666))/(DF666-2))</f>
        <v/>
      </c>
      <c r="CB666" s="582" t="str">
        <f t="shared" ref="CB666:CB681" si="1922">IF(DG666&lt;3,"",(SUM(AL666:BB666)-MIN(AL666:BB666)-MAX(AL666:BB666))/(DG666-2))</f>
        <v/>
      </c>
      <c r="CC666" s="670" t="str">
        <f t="shared" ref="CC666:CC681" si="1923">IF(DH666&lt;3,"",(SUM(BD666:BT666)-MIN(BD666:BT666)-MAX(BD666:BT666))/(DH666-2))</f>
        <v/>
      </c>
      <c r="CD666" s="988" t="str">
        <f t="shared" ref="CD666:CD676" si="192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1916"/>
        <v/>
      </c>
      <c r="CF666" s="989" t="str">
        <f t="shared" si="1916"/>
        <v/>
      </c>
      <c r="CG666" s="989" t="str">
        <f t="shared" si="1916"/>
        <v/>
      </c>
      <c r="CH666" s="990" t="str">
        <f t="shared" si="1916"/>
        <v/>
      </c>
      <c r="CI666" s="990" t="str">
        <f t="shared" si="1916"/>
        <v/>
      </c>
      <c r="CJ666" s="989" t="str">
        <f t="shared" si="1916"/>
        <v/>
      </c>
      <c r="CK666" s="989" t="str">
        <f t="shared" si="1916"/>
        <v/>
      </c>
      <c r="CL666" s="989" t="str">
        <f t="shared" si="1916"/>
        <v/>
      </c>
      <c r="CM666" s="988" t="str">
        <f t="shared" si="1916"/>
        <v/>
      </c>
      <c r="CN666" s="533" t="str">
        <f t="shared" ref="CN666:CN676" si="192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192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192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192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192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193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193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193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193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193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193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193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193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193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193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194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194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1942">COUNT(B666:R666)</f>
        <v>0</v>
      </c>
      <c r="DF666" s="95">
        <f t="shared" ref="DF666:DF676" si="1943">COUNT(T666:AJ666)</f>
        <v>0</v>
      </c>
      <c r="DG666" s="95">
        <f t="shared" ref="DG666:DG676" si="1944">COUNT(AL666:BB666)</f>
        <v>0</v>
      </c>
      <c r="DH666" s="95">
        <f t="shared" ref="DH666:DH676" si="1945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1946">IF(B666="","",B666/B$46*8/12*5/7*0.5)</f>
        <v/>
      </c>
      <c r="C667" s="615" t="str">
        <f t="shared" si="1946"/>
        <v/>
      </c>
      <c r="D667" s="615" t="str">
        <f t="shared" si="1946"/>
        <v/>
      </c>
      <c r="E667" s="615" t="str">
        <f t="shared" si="1946"/>
        <v/>
      </c>
      <c r="F667" s="615" t="str">
        <f t="shared" si="1946"/>
        <v/>
      </c>
      <c r="G667" s="615" t="str">
        <f t="shared" si="1946"/>
        <v/>
      </c>
      <c r="H667" s="615" t="str">
        <f t="shared" si="1946"/>
        <v/>
      </c>
      <c r="I667" s="615" t="str">
        <f t="shared" si="1946"/>
        <v/>
      </c>
      <c r="J667" s="615" t="str">
        <f t="shared" si="1946"/>
        <v/>
      </c>
      <c r="K667" s="615" t="str">
        <f t="shared" si="1946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1947">IF(T666="","",T666/T$46*8/12*5/7*0.5)</f>
        <v/>
      </c>
      <c r="U667" s="615" t="str">
        <f t="shared" si="1947"/>
        <v/>
      </c>
      <c r="V667" s="615" t="str">
        <f t="shared" si="1947"/>
        <v/>
      </c>
      <c r="W667" s="615" t="str">
        <f t="shared" si="1947"/>
        <v/>
      </c>
      <c r="X667" s="615" t="str">
        <f t="shared" si="1947"/>
        <v/>
      </c>
      <c r="Y667" s="615" t="str">
        <f t="shared" si="1947"/>
        <v/>
      </c>
      <c r="Z667" s="615" t="str">
        <f t="shared" si="1947"/>
        <v/>
      </c>
      <c r="AA667" s="615" t="str">
        <f t="shared" si="1947"/>
        <v/>
      </c>
      <c r="AB667" s="615" t="str">
        <f t="shared" si="1947"/>
        <v/>
      </c>
      <c r="AC667" s="615" t="str">
        <f t="shared" si="1947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1948">IF(AL666="","",AL666/AL$46*8/12*5/7*0.5)</f>
        <v/>
      </c>
      <c r="AM667" s="615" t="str">
        <f t="shared" si="1948"/>
        <v/>
      </c>
      <c r="AN667" s="615" t="str">
        <f t="shared" si="1948"/>
        <v/>
      </c>
      <c r="AO667" s="615" t="str">
        <f t="shared" si="1948"/>
        <v/>
      </c>
      <c r="AP667" s="615" t="str">
        <f t="shared" si="1948"/>
        <v/>
      </c>
      <c r="AQ667" s="615" t="str">
        <f t="shared" si="1948"/>
        <v/>
      </c>
      <c r="AR667" s="615" t="str">
        <f t="shared" si="1948"/>
        <v/>
      </c>
      <c r="AS667" s="615" t="str">
        <f t="shared" si="1948"/>
        <v/>
      </c>
      <c r="AT667" s="615" t="str">
        <f t="shared" si="1948"/>
        <v/>
      </c>
      <c r="AU667" s="615" t="str">
        <f t="shared" si="1948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1949">IF(BD666="","",BD666/BD$46*8/12*5/7*0.5)</f>
        <v/>
      </c>
      <c r="BE667" s="1202" t="str">
        <f t="shared" si="1949"/>
        <v/>
      </c>
      <c r="BF667" s="1202" t="str">
        <f t="shared" si="1949"/>
        <v/>
      </c>
      <c r="BG667" s="1202" t="str">
        <f t="shared" si="1949"/>
        <v/>
      </c>
      <c r="BH667" s="1202" t="str">
        <f t="shared" si="1949"/>
        <v/>
      </c>
      <c r="BI667" s="1202" t="str">
        <f t="shared" si="1949"/>
        <v/>
      </c>
      <c r="BJ667" s="1202" t="str">
        <f t="shared" si="1949"/>
        <v/>
      </c>
      <c r="BK667" s="1202" t="str">
        <f t="shared" si="1949"/>
        <v/>
      </c>
      <c r="BL667" s="1202" t="str">
        <f t="shared" si="1949"/>
        <v/>
      </c>
      <c r="BM667" s="1202" t="str">
        <f t="shared" si="1949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1920"/>
        <v/>
      </c>
      <c r="CA667" s="607" t="str">
        <f t="shared" si="1921"/>
        <v/>
      </c>
      <c r="CB667" s="607" t="str">
        <f t="shared" si="1922"/>
        <v/>
      </c>
      <c r="CC667" s="673" t="str">
        <f t="shared" si="1923"/>
        <v/>
      </c>
      <c r="CD667" s="991" t="str">
        <f t="shared" si="1924"/>
        <v/>
      </c>
      <c r="CE667" s="992" t="str">
        <f t="shared" si="1916"/>
        <v/>
      </c>
      <c r="CF667" s="992" t="str">
        <f t="shared" si="1916"/>
        <v/>
      </c>
      <c r="CG667" s="992" t="str">
        <f t="shared" si="1916"/>
        <v/>
      </c>
      <c r="CH667" s="993" t="str">
        <f t="shared" si="1916"/>
        <v/>
      </c>
      <c r="CI667" s="993" t="str">
        <f t="shared" si="1916"/>
        <v/>
      </c>
      <c r="CJ667" s="992" t="str">
        <f t="shared" si="1916"/>
        <v/>
      </c>
      <c r="CK667" s="992" t="str">
        <f t="shared" si="1916"/>
        <v/>
      </c>
      <c r="CL667" s="992" t="str">
        <f t="shared" si="1916"/>
        <v/>
      </c>
      <c r="CM667" s="991" t="str">
        <f t="shared" si="1916"/>
        <v/>
      </c>
      <c r="CN667" s="521" t="str">
        <f t="shared" si="1925"/>
        <v/>
      </c>
      <c r="CO667" s="522" t="str">
        <f t="shared" si="1926"/>
        <v/>
      </c>
      <c r="CP667" s="523" t="str">
        <f t="shared" si="1927"/>
        <v/>
      </c>
      <c r="CQ667" s="523" t="str">
        <f t="shared" si="1928"/>
        <v/>
      </c>
      <c r="CR667" s="523" t="str">
        <f t="shared" si="1929"/>
        <v/>
      </c>
      <c r="CS667" s="523" t="str">
        <f t="shared" si="1930"/>
        <v/>
      </c>
      <c r="CT667" s="523" t="str">
        <f t="shared" si="1931"/>
        <v/>
      </c>
      <c r="CU667" s="524" t="str">
        <f t="shared" si="1932"/>
        <v/>
      </c>
      <c r="CV667" s="524" t="str">
        <f t="shared" si="1933"/>
        <v/>
      </c>
      <c r="CW667" s="524" t="str">
        <f t="shared" si="1934"/>
        <v/>
      </c>
      <c r="CX667" s="523" t="str">
        <f t="shared" si="1935"/>
        <v/>
      </c>
      <c r="CY667" s="523" t="str">
        <f t="shared" si="1936"/>
        <v/>
      </c>
      <c r="CZ667" s="523" t="str">
        <f t="shared" si="1937"/>
        <v/>
      </c>
      <c r="DA667" s="523" t="str">
        <f t="shared" si="1938"/>
        <v/>
      </c>
      <c r="DB667" s="523" t="str">
        <f t="shared" si="1939"/>
        <v/>
      </c>
      <c r="DC667" s="522" t="str">
        <f t="shared" si="1940"/>
        <v/>
      </c>
      <c r="DD667" s="521" t="str">
        <f t="shared" si="1941"/>
        <v/>
      </c>
      <c r="DE667" s="635">
        <f t="shared" si="1942"/>
        <v>0</v>
      </c>
      <c r="DF667" s="95">
        <f t="shared" si="1943"/>
        <v>0</v>
      </c>
      <c r="DG667" s="95">
        <f t="shared" si="1944"/>
        <v>0</v>
      </c>
      <c r="DH667" s="95">
        <f t="shared" si="1945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1920"/>
        <v/>
      </c>
      <c r="CA668" s="582" t="str">
        <f t="shared" si="1921"/>
        <v/>
      </c>
      <c r="CB668" s="582" t="str">
        <f t="shared" si="1922"/>
        <v/>
      </c>
      <c r="CC668" s="670" t="str">
        <f t="shared" si="1923"/>
        <v/>
      </c>
      <c r="CD668" s="988" t="str">
        <f t="shared" si="1924"/>
        <v/>
      </c>
      <c r="CE668" s="989" t="str">
        <f t="shared" si="1916"/>
        <v/>
      </c>
      <c r="CF668" s="989" t="str">
        <f t="shared" si="1916"/>
        <v/>
      </c>
      <c r="CG668" s="989" t="str">
        <f t="shared" si="1916"/>
        <v/>
      </c>
      <c r="CH668" s="990" t="str">
        <f t="shared" si="1916"/>
        <v/>
      </c>
      <c r="CI668" s="990" t="str">
        <f t="shared" si="1916"/>
        <v/>
      </c>
      <c r="CJ668" s="989" t="str">
        <f t="shared" si="1916"/>
        <v/>
      </c>
      <c r="CK668" s="989" t="str">
        <f t="shared" si="1916"/>
        <v/>
      </c>
      <c r="CL668" s="989" t="str">
        <f t="shared" si="1916"/>
        <v/>
      </c>
      <c r="CM668" s="988" t="str">
        <f t="shared" si="1916"/>
        <v/>
      </c>
      <c r="CN668" s="533" t="str">
        <f t="shared" si="1925"/>
        <v/>
      </c>
      <c r="CO668" s="534" t="str">
        <f t="shared" si="1926"/>
        <v/>
      </c>
      <c r="CP668" s="535" t="str">
        <f t="shared" si="1927"/>
        <v/>
      </c>
      <c r="CQ668" s="535" t="str">
        <f t="shared" si="1928"/>
        <v/>
      </c>
      <c r="CR668" s="535" t="str">
        <f t="shared" si="1929"/>
        <v/>
      </c>
      <c r="CS668" s="535" t="str">
        <f t="shared" si="1930"/>
        <v/>
      </c>
      <c r="CT668" s="535" t="str">
        <f t="shared" si="1931"/>
        <v/>
      </c>
      <c r="CU668" s="536" t="str">
        <f t="shared" si="1932"/>
        <v/>
      </c>
      <c r="CV668" s="536" t="str">
        <f t="shared" si="1933"/>
        <v/>
      </c>
      <c r="CW668" s="536" t="str">
        <f t="shared" si="1934"/>
        <v/>
      </c>
      <c r="CX668" s="535" t="str">
        <f t="shared" si="1935"/>
        <v/>
      </c>
      <c r="CY668" s="535" t="str">
        <f t="shared" si="1936"/>
        <v/>
      </c>
      <c r="CZ668" s="535" t="str">
        <f t="shared" si="1937"/>
        <v/>
      </c>
      <c r="DA668" s="535" t="str">
        <f t="shared" si="1938"/>
        <v/>
      </c>
      <c r="DB668" s="535" t="str">
        <f t="shared" si="1939"/>
        <v/>
      </c>
      <c r="DC668" s="534" t="str">
        <f t="shared" si="1940"/>
        <v/>
      </c>
      <c r="DD668" s="533" t="str">
        <f t="shared" si="1941"/>
        <v/>
      </c>
      <c r="DE668" s="635">
        <f t="shared" si="1942"/>
        <v>0</v>
      </c>
      <c r="DF668" s="95">
        <f t="shared" si="1943"/>
        <v>0</v>
      </c>
      <c r="DG668" s="95">
        <f t="shared" si="1944"/>
        <v>0</v>
      </c>
      <c r="DH668" s="95">
        <f t="shared" si="1945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1920"/>
        <v/>
      </c>
      <c r="CA669" s="582" t="str">
        <f t="shared" si="1921"/>
        <v/>
      </c>
      <c r="CB669" s="582" t="str">
        <f t="shared" si="1922"/>
        <v/>
      </c>
      <c r="CC669" s="670" t="str">
        <f t="shared" si="1923"/>
        <v/>
      </c>
      <c r="CD669" s="988" t="str">
        <f t="shared" si="1924"/>
        <v/>
      </c>
      <c r="CE669" s="989" t="str">
        <f t="shared" si="1916"/>
        <v/>
      </c>
      <c r="CF669" s="989" t="str">
        <f t="shared" si="1916"/>
        <v/>
      </c>
      <c r="CG669" s="989" t="str">
        <f t="shared" si="1916"/>
        <v/>
      </c>
      <c r="CH669" s="990" t="str">
        <f t="shared" si="1916"/>
        <v/>
      </c>
      <c r="CI669" s="990" t="str">
        <f t="shared" si="1916"/>
        <v/>
      </c>
      <c r="CJ669" s="989" t="str">
        <f t="shared" si="1916"/>
        <v/>
      </c>
      <c r="CK669" s="989" t="str">
        <f t="shared" si="1916"/>
        <v/>
      </c>
      <c r="CL669" s="989" t="str">
        <f t="shared" si="1916"/>
        <v/>
      </c>
      <c r="CM669" s="988" t="str">
        <f t="shared" si="1916"/>
        <v/>
      </c>
      <c r="CN669" s="533" t="str">
        <f t="shared" si="1925"/>
        <v/>
      </c>
      <c r="CO669" s="534" t="str">
        <f t="shared" si="1926"/>
        <v/>
      </c>
      <c r="CP669" s="535" t="str">
        <f t="shared" si="1927"/>
        <v/>
      </c>
      <c r="CQ669" s="535" t="str">
        <f t="shared" si="1928"/>
        <v/>
      </c>
      <c r="CR669" s="535" t="str">
        <f t="shared" si="1929"/>
        <v/>
      </c>
      <c r="CS669" s="535" t="str">
        <f t="shared" si="1930"/>
        <v/>
      </c>
      <c r="CT669" s="535" t="str">
        <f t="shared" si="1931"/>
        <v/>
      </c>
      <c r="CU669" s="536" t="str">
        <f t="shared" si="1932"/>
        <v/>
      </c>
      <c r="CV669" s="536" t="str">
        <f t="shared" si="1933"/>
        <v/>
      </c>
      <c r="CW669" s="536" t="str">
        <f t="shared" si="1934"/>
        <v/>
      </c>
      <c r="CX669" s="535" t="str">
        <f t="shared" si="1935"/>
        <v/>
      </c>
      <c r="CY669" s="535" t="str">
        <f t="shared" si="1936"/>
        <v/>
      </c>
      <c r="CZ669" s="535" t="str">
        <f t="shared" si="1937"/>
        <v/>
      </c>
      <c r="DA669" s="535" t="str">
        <f t="shared" si="1938"/>
        <v/>
      </c>
      <c r="DB669" s="535" t="str">
        <f t="shared" si="1939"/>
        <v/>
      </c>
      <c r="DC669" s="534" t="str">
        <f t="shared" si="1940"/>
        <v/>
      </c>
      <c r="DD669" s="533" t="str">
        <f t="shared" si="1941"/>
        <v/>
      </c>
      <c r="DE669" s="635">
        <f t="shared" si="1942"/>
        <v>0</v>
      </c>
      <c r="DF669" s="95">
        <f t="shared" si="1943"/>
        <v>0</v>
      </c>
      <c r="DG669" s="95">
        <f t="shared" si="1944"/>
        <v>0</v>
      </c>
      <c r="DH669" s="95">
        <f t="shared" si="1945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1950">IF(B668="","",B668*B669/0.6/B$46/365)</f>
        <v/>
      </c>
      <c r="C670" s="615" t="str">
        <f t="shared" si="1950"/>
        <v/>
      </c>
      <c r="D670" s="615" t="str">
        <f t="shared" si="1950"/>
        <v/>
      </c>
      <c r="E670" s="615" t="str">
        <f t="shared" si="1950"/>
        <v/>
      </c>
      <c r="F670" s="615" t="str">
        <f t="shared" si="1950"/>
        <v/>
      </c>
      <c r="G670" s="615" t="str">
        <f t="shared" si="1950"/>
        <v/>
      </c>
      <c r="H670" s="615" t="str">
        <f t="shared" si="1950"/>
        <v/>
      </c>
      <c r="I670" s="615" t="str">
        <f t="shared" si="1950"/>
        <v/>
      </c>
      <c r="J670" s="615" t="str">
        <f t="shared" si="1950"/>
        <v/>
      </c>
      <c r="K670" s="615" t="str">
        <f t="shared" si="1950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1951">IF(T668="","",T668*T669/0.6/T$46/365)</f>
        <v/>
      </c>
      <c r="U670" s="615" t="str">
        <f t="shared" si="1951"/>
        <v/>
      </c>
      <c r="V670" s="615" t="str">
        <f t="shared" si="1951"/>
        <v/>
      </c>
      <c r="W670" s="615" t="str">
        <f t="shared" si="1951"/>
        <v/>
      </c>
      <c r="X670" s="615" t="str">
        <f t="shared" si="1951"/>
        <v/>
      </c>
      <c r="Y670" s="615" t="str">
        <f t="shared" si="1951"/>
        <v/>
      </c>
      <c r="Z670" s="615" t="str">
        <f t="shared" si="1951"/>
        <v/>
      </c>
      <c r="AA670" s="615" t="str">
        <f t="shared" si="1951"/>
        <v/>
      </c>
      <c r="AB670" s="615" t="str">
        <f t="shared" si="1951"/>
        <v/>
      </c>
      <c r="AC670" s="615" t="str">
        <f t="shared" si="1951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1952">IF(AL668="","",AL668*AL669/0.6/AL$46/365)</f>
        <v/>
      </c>
      <c r="AM670" s="615" t="str">
        <f t="shared" si="1952"/>
        <v/>
      </c>
      <c r="AN670" s="615" t="str">
        <f t="shared" si="1952"/>
        <v/>
      </c>
      <c r="AO670" s="615" t="str">
        <f t="shared" si="1952"/>
        <v/>
      </c>
      <c r="AP670" s="615" t="str">
        <f t="shared" si="1952"/>
        <v/>
      </c>
      <c r="AQ670" s="615" t="str">
        <f t="shared" si="1952"/>
        <v/>
      </c>
      <c r="AR670" s="615" t="str">
        <f t="shared" si="1952"/>
        <v/>
      </c>
      <c r="AS670" s="615" t="str">
        <f t="shared" si="1952"/>
        <v/>
      </c>
      <c r="AT670" s="615" t="str">
        <f t="shared" si="1952"/>
        <v/>
      </c>
      <c r="AU670" s="615" t="str">
        <f t="shared" si="1952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1953">IF(BD668="","",BD668*BD669/0.6/BD$46/365)</f>
        <v/>
      </c>
      <c r="BE670" s="1202" t="str">
        <f t="shared" si="1953"/>
        <v/>
      </c>
      <c r="BF670" s="1202" t="str">
        <f t="shared" si="1953"/>
        <v/>
      </c>
      <c r="BG670" s="1202" t="str">
        <f t="shared" si="1953"/>
        <v/>
      </c>
      <c r="BH670" s="1202" t="str">
        <f t="shared" si="1953"/>
        <v/>
      </c>
      <c r="BI670" s="1202" t="str">
        <f t="shared" si="1953"/>
        <v/>
      </c>
      <c r="BJ670" s="1202" t="str">
        <f t="shared" si="1953"/>
        <v/>
      </c>
      <c r="BK670" s="1202" t="str">
        <f t="shared" si="1953"/>
        <v/>
      </c>
      <c r="BL670" s="1202" t="str">
        <f t="shared" si="1953"/>
        <v/>
      </c>
      <c r="BM670" s="1202" t="str">
        <f t="shared" si="1953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1920"/>
        <v/>
      </c>
      <c r="CA670" s="607" t="str">
        <f t="shared" si="1921"/>
        <v/>
      </c>
      <c r="CB670" s="607" t="str">
        <f t="shared" si="1922"/>
        <v/>
      </c>
      <c r="CC670" s="673" t="str">
        <f t="shared" si="1923"/>
        <v/>
      </c>
      <c r="CD670" s="991" t="str">
        <f t="shared" si="1924"/>
        <v/>
      </c>
      <c r="CE670" s="992" t="str">
        <f t="shared" si="1916"/>
        <v/>
      </c>
      <c r="CF670" s="992" t="str">
        <f t="shared" si="1916"/>
        <v/>
      </c>
      <c r="CG670" s="992" t="str">
        <f t="shared" si="1916"/>
        <v/>
      </c>
      <c r="CH670" s="993" t="str">
        <f t="shared" si="1916"/>
        <v/>
      </c>
      <c r="CI670" s="993" t="str">
        <f t="shared" si="1916"/>
        <v/>
      </c>
      <c r="CJ670" s="992" t="str">
        <f t="shared" si="1916"/>
        <v/>
      </c>
      <c r="CK670" s="992" t="str">
        <f t="shared" si="1916"/>
        <v/>
      </c>
      <c r="CL670" s="992" t="str">
        <f t="shared" si="1916"/>
        <v/>
      </c>
      <c r="CM670" s="991" t="str">
        <f t="shared" si="1916"/>
        <v/>
      </c>
      <c r="CN670" s="521" t="str">
        <f t="shared" si="1925"/>
        <v/>
      </c>
      <c r="CO670" s="522" t="str">
        <f t="shared" si="1926"/>
        <v/>
      </c>
      <c r="CP670" s="523" t="str">
        <f t="shared" si="1927"/>
        <v/>
      </c>
      <c r="CQ670" s="523" t="str">
        <f t="shared" si="1928"/>
        <v/>
      </c>
      <c r="CR670" s="523" t="str">
        <f t="shared" si="1929"/>
        <v/>
      </c>
      <c r="CS670" s="523" t="str">
        <f t="shared" si="1930"/>
        <v/>
      </c>
      <c r="CT670" s="523" t="str">
        <f t="shared" si="1931"/>
        <v/>
      </c>
      <c r="CU670" s="524" t="str">
        <f t="shared" si="1932"/>
        <v/>
      </c>
      <c r="CV670" s="524" t="str">
        <f t="shared" si="1933"/>
        <v/>
      </c>
      <c r="CW670" s="524" t="str">
        <f t="shared" si="1934"/>
        <v/>
      </c>
      <c r="CX670" s="523" t="str">
        <f t="shared" si="1935"/>
        <v/>
      </c>
      <c r="CY670" s="523" t="str">
        <f t="shared" si="1936"/>
        <v/>
      </c>
      <c r="CZ670" s="523" t="str">
        <f t="shared" si="1937"/>
        <v/>
      </c>
      <c r="DA670" s="523" t="str">
        <f t="shared" si="1938"/>
        <v/>
      </c>
      <c r="DB670" s="523" t="str">
        <f t="shared" si="1939"/>
        <v/>
      </c>
      <c r="DC670" s="522" t="str">
        <f t="shared" si="1940"/>
        <v/>
      </c>
      <c r="DD670" s="521" t="str">
        <f t="shared" si="1941"/>
        <v/>
      </c>
      <c r="DE670" s="635">
        <f t="shared" si="1942"/>
        <v>0</v>
      </c>
      <c r="DF670" s="95">
        <f t="shared" si="1943"/>
        <v>0</v>
      </c>
      <c r="DG670" s="95">
        <f t="shared" si="1944"/>
        <v>0</v>
      </c>
      <c r="DH670" s="95">
        <f t="shared" si="1945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1920"/>
        <v/>
      </c>
      <c r="CA671" s="582" t="str">
        <f t="shared" si="1921"/>
        <v/>
      </c>
      <c r="CB671" s="582" t="str">
        <f t="shared" si="1922"/>
        <v/>
      </c>
      <c r="CC671" s="670" t="str">
        <f t="shared" si="1923"/>
        <v/>
      </c>
      <c r="CD671" s="988" t="str">
        <f t="shared" si="1924"/>
        <v/>
      </c>
      <c r="CE671" s="989" t="str">
        <f t="shared" si="1916"/>
        <v/>
      </c>
      <c r="CF671" s="989" t="str">
        <f t="shared" si="1916"/>
        <v/>
      </c>
      <c r="CG671" s="989" t="str">
        <f t="shared" si="1916"/>
        <v/>
      </c>
      <c r="CH671" s="990" t="str">
        <f t="shared" si="1916"/>
        <v/>
      </c>
      <c r="CI671" s="990" t="str">
        <f t="shared" si="1916"/>
        <v/>
      </c>
      <c r="CJ671" s="989" t="str">
        <f t="shared" si="1916"/>
        <v/>
      </c>
      <c r="CK671" s="989" t="str">
        <f t="shared" si="1916"/>
        <v/>
      </c>
      <c r="CL671" s="989" t="str">
        <f t="shared" si="1916"/>
        <v/>
      </c>
      <c r="CM671" s="988" t="str">
        <f t="shared" si="1916"/>
        <v/>
      </c>
      <c r="CN671" s="533" t="str">
        <f t="shared" si="1925"/>
        <v/>
      </c>
      <c r="CO671" s="534" t="str">
        <f t="shared" si="1926"/>
        <v/>
      </c>
      <c r="CP671" s="535" t="str">
        <f t="shared" si="1927"/>
        <v/>
      </c>
      <c r="CQ671" s="535" t="str">
        <f t="shared" si="1928"/>
        <v/>
      </c>
      <c r="CR671" s="535" t="str">
        <f t="shared" si="1929"/>
        <v/>
      </c>
      <c r="CS671" s="535" t="str">
        <f t="shared" si="1930"/>
        <v/>
      </c>
      <c r="CT671" s="535" t="str">
        <f t="shared" si="1931"/>
        <v/>
      </c>
      <c r="CU671" s="536" t="str">
        <f t="shared" si="1932"/>
        <v/>
      </c>
      <c r="CV671" s="536" t="str">
        <f t="shared" si="1933"/>
        <v/>
      </c>
      <c r="CW671" s="536" t="str">
        <f t="shared" si="1934"/>
        <v/>
      </c>
      <c r="CX671" s="535" t="str">
        <f t="shared" si="1935"/>
        <v/>
      </c>
      <c r="CY671" s="535" t="str">
        <f t="shared" si="1936"/>
        <v/>
      </c>
      <c r="CZ671" s="535" t="str">
        <f t="shared" si="1937"/>
        <v/>
      </c>
      <c r="DA671" s="535" t="str">
        <f t="shared" si="1938"/>
        <v/>
      </c>
      <c r="DB671" s="535" t="str">
        <f t="shared" si="1939"/>
        <v/>
      </c>
      <c r="DC671" s="534" t="str">
        <f t="shared" si="1940"/>
        <v/>
      </c>
      <c r="DD671" s="533" t="str">
        <f t="shared" si="1941"/>
        <v/>
      </c>
      <c r="DE671" s="635">
        <f t="shared" si="1942"/>
        <v>0</v>
      </c>
      <c r="DF671" s="95">
        <f t="shared" si="1943"/>
        <v>0</v>
      </c>
      <c r="DG671" s="95">
        <f t="shared" si="1944"/>
        <v>0</v>
      </c>
      <c r="DH671" s="95">
        <f t="shared" si="1945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1920"/>
        <v/>
      </c>
      <c r="CA672" s="582" t="str">
        <f t="shared" si="1921"/>
        <v/>
      </c>
      <c r="CB672" s="582" t="str">
        <f t="shared" si="1922"/>
        <v/>
      </c>
      <c r="CC672" s="670" t="str">
        <f t="shared" si="1923"/>
        <v/>
      </c>
      <c r="CD672" s="988" t="str">
        <f t="shared" si="1924"/>
        <v/>
      </c>
      <c r="CE672" s="989" t="str">
        <f t="shared" si="1916"/>
        <v/>
      </c>
      <c r="CF672" s="989" t="str">
        <f t="shared" si="1916"/>
        <v/>
      </c>
      <c r="CG672" s="989" t="str">
        <f t="shared" si="1916"/>
        <v/>
      </c>
      <c r="CH672" s="990" t="str">
        <f t="shared" si="1916"/>
        <v/>
      </c>
      <c r="CI672" s="990" t="str">
        <f t="shared" si="1916"/>
        <v/>
      </c>
      <c r="CJ672" s="989" t="str">
        <f t="shared" si="1916"/>
        <v/>
      </c>
      <c r="CK672" s="989" t="str">
        <f t="shared" si="1916"/>
        <v/>
      </c>
      <c r="CL672" s="989" t="str">
        <f t="shared" si="1916"/>
        <v/>
      </c>
      <c r="CM672" s="988" t="str">
        <f t="shared" si="1916"/>
        <v/>
      </c>
      <c r="CN672" s="533" t="str">
        <f t="shared" si="1925"/>
        <v/>
      </c>
      <c r="CO672" s="534" t="str">
        <f t="shared" si="1926"/>
        <v/>
      </c>
      <c r="CP672" s="535" t="str">
        <f t="shared" si="1927"/>
        <v/>
      </c>
      <c r="CQ672" s="535" t="str">
        <f t="shared" si="1928"/>
        <v/>
      </c>
      <c r="CR672" s="535" t="str">
        <f t="shared" si="1929"/>
        <v/>
      </c>
      <c r="CS672" s="535" t="str">
        <f t="shared" si="1930"/>
        <v/>
      </c>
      <c r="CT672" s="535" t="str">
        <f t="shared" si="1931"/>
        <v/>
      </c>
      <c r="CU672" s="536" t="str">
        <f t="shared" si="1932"/>
        <v/>
      </c>
      <c r="CV672" s="536" t="str">
        <f t="shared" si="1933"/>
        <v/>
      </c>
      <c r="CW672" s="536" t="str">
        <f t="shared" si="1934"/>
        <v/>
      </c>
      <c r="CX672" s="535" t="str">
        <f t="shared" si="1935"/>
        <v/>
      </c>
      <c r="CY672" s="535" t="str">
        <f t="shared" si="1936"/>
        <v/>
      </c>
      <c r="CZ672" s="535" t="str">
        <f t="shared" si="1937"/>
        <v/>
      </c>
      <c r="DA672" s="535" t="str">
        <f t="shared" si="1938"/>
        <v/>
      </c>
      <c r="DB672" s="535" t="str">
        <f t="shared" si="1939"/>
        <v/>
      </c>
      <c r="DC672" s="534" t="str">
        <f t="shared" si="1940"/>
        <v/>
      </c>
      <c r="DD672" s="533" t="str">
        <f t="shared" si="1941"/>
        <v/>
      </c>
      <c r="DE672" s="635">
        <f t="shared" si="1942"/>
        <v>0</v>
      </c>
      <c r="DF672" s="95">
        <f t="shared" si="1943"/>
        <v>0</v>
      </c>
      <c r="DG672" s="95">
        <f t="shared" si="1944"/>
        <v>0</v>
      </c>
      <c r="DH672" s="95">
        <f t="shared" si="1945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1954">IF(B671="","",B671*B672/0.62/B$46/365)</f>
        <v/>
      </c>
      <c r="C673" s="615" t="str">
        <f t="shared" si="1954"/>
        <v/>
      </c>
      <c r="D673" s="615" t="str">
        <f t="shared" si="1954"/>
        <v/>
      </c>
      <c r="E673" s="615" t="str">
        <f t="shared" si="1954"/>
        <v/>
      </c>
      <c r="F673" s="615" t="str">
        <f t="shared" si="1954"/>
        <v/>
      </c>
      <c r="G673" s="615" t="str">
        <f t="shared" si="1954"/>
        <v/>
      </c>
      <c r="H673" s="615" t="str">
        <f t="shared" si="1954"/>
        <v/>
      </c>
      <c r="I673" s="615" t="str">
        <f t="shared" si="1954"/>
        <v/>
      </c>
      <c r="J673" s="615" t="str">
        <f t="shared" si="1954"/>
        <v/>
      </c>
      <c r="K673" s="615" t="str">
        <f t="shared" si="1954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1955">IF(T671="","",T671*T672/0.62/T$46/365)</f>
        <v/>
      </c>
      <c r="U673" s="615" t="str">
        <f t="shared" si="1955"/>
        <v/>
      </c>
      <c r="V673" s="615" t="str">
        <f t="shared" si="1955"/>
        <v/>
      </c>
      <c r="W673" s="615" t="str">
        <f t="shared" si="1955"/>
        <v/>
      </c>
      <c r="X673" s="615" t="str">
        <f t="shared" si="1955"/>
        <v/>
      </c>
      <c r="Y673" s="615" t="str">
        <f t="shared" si="1955"/>
        <v/>
      </c>
      <c r="Z673" s="615" t="str">
        <f t="shared" si="1955"/>
        <v/>
      </c>
      <c r="AA673" s="615" t="str">
        <f t="shared" si="1955"/>
        <v/>
      </c>
      <c r="AB673" s="615" t="str">
        <f t="shared" si="1955"/>
        <v/>
      </c>
      <c r="AC673" s="615" t="str">
        <f t="shared" si="1955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1956">IF(AL671="","",AL671*AL672/0.62/AL$46/365)</f>
        <v/>
      </c>
      <c r="AM673" s="615" t="str">
        <f t="shared" si="1956"/>
        <v/>
      </c>
      <c r="AN673" s="615" t="str">
        <f t="shared" si="1956"/>
        <v/>
      </c>
      <c r="AO673" s="615" t="str">
        <f t="shared" si="1956"/>
        <v/>
      </c>
      <c r="AP673" s="615" t="str">
        <f t="shared" si="1956"/>
        <v/>
      </c>
      <c r="AQ673" s="615" t="str">
        <f t="shared" si="1956"/>
        <v/>
      </c>
      <c r="AR673" s="615" t="str">
        <f t="shared" si="1956"/>
        <v/>
      </c>
      <c r="AS673" s="615" t="str">
        <f t="shared" si="1956"/>
        <v/>
      </c>
      <c r="AT673" s="615" t="str">
        <f t="shared" si="1956"/>
        <v/>
      </c>
      <c r="AU673" s="615" t="str">
        <f t="shared" si="1956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1957">IF(BD671="","",BD671*BD672/0.62/BD$46/365)</f>
        <v/>
      </c>
      <c r="BE673" s="1202" t="str">
        <f t="shared" si="1957"/>
        <v/>
      </c>
      <c r="BF673" s="1202" t="str">
        <f t="shared" si="1957"/>
        <v/>
      </c>
      <c r="BG673" s="1202" t="str">
        <f t="shared" si="1957"/>
        <v/>
      </c>
      <c r="BH673" s="1202" t="str">
        <f t="shared" si="1957"/>
        <v/>
      </c>
      <c r="BI673" s="1202" t="str">
        <f t="shared" si="1957"/>
        <v/>
      </c>
      <c r="BJ673" s="1202" t="str">
        <f t="shared" si="1957"/>
        <v/>
      </c>
      <c r="BK673" s="1202" t="str">
        <f t="shared" si="1957"/>
        <v/>
      </c>
      <c r="BL673" s="1202" t="str">
        <f t="shared" si="1957"/>
        <v/>
      </c>
      <c r="BM673" s="1202" t="str">
        <f t="shared" si="1957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1920"/>
        <v/>
      </c>
      <c r="CA673" s="607" t="str">
        <f t="shared" si="1921"/>
        <v/>
      </c>
      <c r="CB673" s="607" t="str">
        <f t="shared" si="1922"/>
        <v/>
      </c>
      <c r="CC673" s="673" t="str">
        <f t="shared" si="1923"/>
        <v/>
      </c>
      <c r="CD673" s="991" t="str">
        <f t="shared" si="1924"/>
        <v/>
      </c>
      <c r="CE673" s="992" t="str">
        <f t="shared" si="1916"/>
        <v/>
      </c>
      <c r="CF673" s="992" t="str">
        <f t="shared" si="1916"/>
        <v/>
      </c>
      <c r="CG673" s="992" t="str">
        <f t="shared" si="1916"/>
        <v/>
      </c>
      <c r="CH673" s="993" t="str">
        <f t="shared" si="1916"/>
        <v/>
      </c>
      <c r="CI673" s="993" t="str">
        <f t="shared" si="1916"/>
        <v/>
      </c>
      <c r="CJ673" s="992" t="str">
        <f t="shared" si="1916"/>
        <v/>
      </c>
      <c r="CK673" s="992" t="str">
        <f t="shared" si="1916"/>
        <v/>
      </c>
      <c r="CL673" s="992" t="str">
        <f t="shared" si="1916"/>
        <v/>
      </c>
      <c r="CM673" s="991" t="str">
        <f t="shared" si="1916"/>
        <v/>
      </c>
      <c r="CN673" s="521" t="str">
        <f t="shared" si="1925"/>
        <v/>
      </c>
      <c r="CO673" s="522" t="str">
        <f t="shared" si="1926"/>
        <v/>
      </c>
      <c r="CP673" s="523" t="str">
        <f t="shared" si="1927"/>
        <v/>
      </c>
      <c r="CQ673" s="523" t="str">
        <f t="shared" si="1928"/>
        <v/>
      </c>
      <c r="CR673" s="523" t="str">
        <f t="shared" si="1929"/>
        <v/>
      </c>
      <c r="CS673" s="523" t="str">
        <f t="shared" si="1930"/>
        <v/>
      </c>
      <c r="CT673" s="523" t="str">
        <f t="shared" si="1931"/>
        <v/>
      </c>
      <c r="CU673" s="524" t="str">
        <f t="shared" si="1932"/>
        <v/>
      </c>
      <c r="CV673" s="524" t="str">
        <f t="shared" si="1933"/>
        <v/>
      </c>
      <c r="CW673" s="524" t="str">
        <f t="shared" si="1934"/>
        <v/>
      </c>
      <c r="CX673" s="523" t="str">
        <f t="shared" si="1935"/>
        <v/>
      </c>
      <c r="CY673" s="523" t="str">
        <f t="shared" si="1936"/>
        <v/>
      </c>
      <c r="CZ673" s="523" t="str">
        <f t="shared" si="1937"/>
        <v/>
      </c>
      <c r="DA673" s="523" t="str">
        <f t="shared" si="1938"/>
        <v/>
      </c>
      <c r="DB673" s="523" t="str">
        <f t="shared" si="1939"/>
        <v/>
      </c>
      <c r="DC673" s="522" t="str">
        <f t="shared" si="1940"/>
        <v/>
      </c>
      <c r="DD673" s="521" t="str">
        <f t="shared" si="1941"/>
        <v/>
      </c>
      <c r="DE673" s="635">
        <f t="shared" si="1942"/>
        <v>0</v>
      </c>
      <c r="DF673" s="95">
        <f t="shared" si="1943"/>
        <v>0</v>
      </c>
      <c r="DG673" s="95">
        <f t="shared" si="1944"/>
        <v>0</v>
      </c>
      <c r="DH673" s="95">
        <f t="shared" si="1945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1920"/>
        <v/>
      </c>
      <c r="CA674" s="582" t="str">
        <f t="shared" si="1921"/>
        <v/>
      </c>
      <c r="CB674" s="582" t="str">
        <f t="shared" si="1922"/>
        <v/>
      </c>
      <c r="CC674" s="670" t="str">
        <f t="shared" si="1923"/>
        <v/>
      </c>
      <c r="CD674" s="988" t="str">
        <f t="shared" si="1924"/>
        <v/>
      </c>
      <c r="CE674" s="989" t="str">
        <f t="shared" si="1916"/>
        <v/>
      </c>
      <c r="CF674" s="989" t="str">
        <f t="shared" si="1916"/>
        <v/>
      </c>
      <c r="CG674" s="989" t="str">
        <f t="shared" si="1916"/>
        <v/>
      </c>
      <c r="CH674" s="990" t="str">
        <f t="shared" si="1916"/>
        <v/>
      </c>
      <c r="CI674" s="990" t="str">
        <f t="shared" si="1916"/>
        <v/>
      </c>
      <c r="CJ674" s="989" t="str">
        <f t="shared" si="1916"/>
        <v/>
      </c>
      <c r="CK674" s="989" t="str">
        <f t="shared" si="1916"/>
        <v/>
      </c>
      <c r="CL674" s="989" t="str">
        <f t="shared" si="1916"/>
        <v/>
      </c>
      <c r="CM674" s="988" t="str">
        <f t="shared" si="1916"/>
        <v/>
      </c>
      <c r="CN674" s="533" t="str">
        <f t="shared" si="1925"/>
        <v/>
      </c>
      <c r="CO674" s="534" t="str">
        <f t="shared" si="1926"/>
        <v/>
      </c>
      <c r="CP674" s="535" t="str">
        <f t="shared" si="1927"/>
        <v/>
      </c>
      <c r="CQ674" s="535" t="str">
        <f t="shared" si="1928"/>
        <v/>
      </c>
      <c r="CR674" s="535" t="str">
        <f t="shared" si="1929"/>
        <v/>
      </c>
      <c r="CS674" s="535" t="str">
        <f t="shared" si="1930"/>
        <v/>
      </c>
      <c r="CT674" s="535" t="str">
        <f t="shared" si="1931"/>
        <v/>
      </c>
      <c r="CU674" s="536" t="str">
        <f t="shared" si="1932"/>
        <v/>
      </c>
      <c r="CV674" s="536" t="str">
        <f t="shared" si="1933"/>
        <v/>
      </c>
      <c r="CW674" s="536" t="str">
        <f t="shared" si="1934"/>
        <v/>
      </c>
      <c r="CX674" s="535" t="str">
        <f t="shared" si="1935"/>
        <v/>
      </c>
      <c r="CY674" s="535" t="str">
        <f t="shared" si="1936"/>
        <v/>
      </c>
      <c r="CZ674" s="535" t="str">
        <f t="shared" si="1937"/>
        <v/>
      </c>
      <c r="DA674" s="535" t="str">
        <f t="shared" si="1938"/>
        <v/>
      </c>
      <c r="DB674" s="535" t="str">
        <f t="shared" si="1939"/>
        <v/>
      </c>
      <c r="DC674" s="534" t="str">
        <f t="shared" si="1940"/>
        <v/>
      </c>
      <c r="DD674" s="533" t="str">
        <f t="shared" si="1941"/>
        <v/>
      </c>
      <c r="DE674" s="635">
        <f t="shared" si="1942"/>
        <v>0</v>
      </c>
      <c r="DF674" s="95">
        <f t="shared" si="1943"/>
        <v>0</v>
      </c>
      <c r="DG674" s="95">
        <f t="shared" si="1944"/>
        <v>0</v>
      </c>
      <c r="DH674" s="95">
        <f t="shared" si="1945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1920"/>
        <v/>
      </c>
      <c r="CA675" s="582" t="str">
        <f t="shared" si="1921"/>
        <v/>
      </c>
      <c r="CB675" s="582" t="str">
        <f t="shared" si="1922"/>
        <v/>
      </c>
      <c r="CC675" s="670" t="str">
        <f t="shared" si="1923"/>
        <v/>
      </c>
      <c r="CD675" s="988" t="str">
        <f t="shared" si="1924"/>
        <v/>
      </c>
      <c r="CE675" s="989" t="str">
        <f t="shared" si="1916"/>
        <v/>
      </c>
      <c r="CF675" s="989" t="str">
        <f t="shared" si="1916"/>
        <v/>
      </c>
      <c r="CG675" s="989" t="str">
        <f t="shared" si="1916"/>
        <v/>
      </c>
      <c r="CH675" s="990" t="str">
        <f t="shared" si="1916"/>
        <v/>
      </c>
      <c r="CI675" s="990" t="str">
        <f t="shared" si="1916"/>
        <v/>
      </c>
      <c r="CJ675" s="989" t="str">
        <f t="shared" si="1916"/>
        <v/>
      </c>
      <c r="CK675" s="989" t="str">
        <f t="shared" si="1916"/>
        <v/>
      </c>
      <c r="CL675" s="989" t="str">
        <f t="shared" si="1916"/>
        <v/>
      </c>
      <c r="CM675" s="988" t="str">
        <f t="shared" si="1916"/>
        <v/>
      </c>
      <c r="CN675" s="533" t="str">
        <f t="shared" si="1925"/>
        <v/>
      </c>
      <c r="CO675" s="534" t="str">
        <f t="shared" si="1926"/>
        <v/>
      </c>
      <c r="CP675" s="535" t="str">
        <f t="shared" si="1927"/>
        <v/>
      </c>
      <c r="CQ675" s="535" t="str">
        <f t="shared" si="1928"/>
        <v/>
      </c>
      <c r="CR675" s="535" t="str">
        <f t="shared" si="1929"/>
        <v/>
      </c>
      <c r="CS675" s="535" t="str">
        <f t="shared" si="1930"/>
        <v/>
      </c>
      <c r="CT675" s="535" t="str">
        <f t="shared" si="1931"/>
        <v/>
      </c>
      <c r="CU675" s="536" t="str">
        <f t="shared" si="1932"/>
        <v/>
      </c>
      <c r="CV675" s="536" t="str">
        <f t="shared" si="1933"/>
        <v/>
      </c>
      <c r="CW675" s="536" t="str">
        <f t="shared" si="1934"/>
        <v/>
      </c>
      <c r="CX675" s="535" t="str">
        <f t="shared" si="1935"/>
        <v/>
      </c>
      <c r="CY675" s="535" t="str">
        <f t="shared" si="1936"/>
        <v/>
      </c>
      <c r="CZ675" s="535" t="str">
        <f t="shared" si="1937"/>
        <v/>
      </c>
      <c r="DA675" s="535" t="str">
        <f t="shared" si="1938"/>
        <v/>
      </c>
      <c r="DB675" s="535" t="str">
        <f t="shared" si="1939"/>
        <v/>
      </c>
      <c r="DC675" s="534" t="str">
        <f t="shared" si="1940"/>
        <v/>
      </c>
      <c r="DD675" s="533" t="str">
        <f t="shared" si="1941"/>
        <v/>
      </c>
      <c r="DE675" s="635">
        <f t="shared" si="1942"/>
        <v>0</v>
      </c>
      <c r="DF675" s="95">
        <f t="shared" si="1943"/>
        <v>0</v>
      </c>
      <c r="DG675" s="95">
        <f t="shared" si="1944"/>
        <v>0</v>
      </c>
      <c r="DH675" s="95">
        <f t="shared" si="1945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1958">IF(B674="","",B674*B675/0.23/B$46/365)</f>
        <v/>
      </c>
      <c r="C676" s="615" t="str">
        <f t="shared" si="1958"/>
        <v/>
      </c>
      <c r="D676" s="615" t="str">
        <f t="shared" si="1958"/>
        <v/>
      </c>
      <c r="E676" s="615" t="str">
        <f t="shared" si="1958"/>
        <v/>
      </c>
      <c r="F676" s="615" t="str">
        <f t="shared" si="1958"/>
        <v/>
      </c>
      <c r="G676" s="615" t="str">
        <f t="shared" si="1958"/>
        <v/>
      </c>
      <c r="H676" s="615" t="str">
        <f t="shared" si="1958"/>
        <v/>
      </c>
      <c r="I676" s="615" t="str">
        <f t="shared" si="1958"/>
        <v/>
      </c>
      <c r="J676" s="615" t="str">
        <f t="shared" si="1958"/>
        <v/>
      </c>
      <c r="K676" s="615" t="str">
        <f t="shared" si="1958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1959">IF(T674="","",T674*T675/0.23/T$46/365)</f>
        <v/>
      </c>
      <c r="U676" s="615" t="str">
        <f t="shared" si="1959"/>
        <v/>
      </c>
      <c r="V676" s="615" t="str">
        <f t="shared" si="1959"/>
        <v/>
      </c>
      <c r="W676" s="615" t="str">
        <f t="shared" si="1959"/>
        <v/>
      </c>
      <c r="X676" s="615" t="str">
        <f t="shared" si="1959"/>
        <v/>
      </c>
      <c r="Y676" s="615" t="str">
        <f t="shared" si="1959"/>
        <v/>
      </c>
      <c r="Z676" s="615" t="str">
        <f t="shared" si="1959"/>
        <v/>
      </c>
      <c r="AA676" s="615" t="str">
        <f t="shared" si="1959"/>
        <v/>
      </c>
      <c r="AB676" s="615" t="str">
        <f t="shared" si="1959"/>
        <v/>
      </c>
      <c r="AC676" s="615" t="str">
        <f t="shared" si="1959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1960">IF(AL674="","",AL674*AL675/0.23/AL$46/365)</f>
        <v/>
      </c>
      <c r="AM676" s="615" t="str">
        <f t="shared" si="1960"/>
        <v/>
      </c>
      <c r="AN676" s="615" t="str">
        <f t="shared" si="1960"/>
        <v/>
      </c>
      <c r="AO676" s="615" t="str">
        <f t="shared" si="1960"/>
        <v/>
      </c>
      <c r="AP676" s="615" t="str">
        <f t="shared" si="1960"/>
        <v/>
      </c>
      <c r="AQ676" s="615" t="str">
        <f t="shared" si="1960"/>
        <v/>
      </c>
      <c r="AR676" s="615" t="str">
        <f t="shared" si="1960"/>
        <v/>
      </c>
      <c r="AS676" s="615" t="str">
        <f t="shared" si="1960"/>
        <v/>
      </c>
      <c r="AT676" s="615" t="str">
        <f t="shared" si="1960"/>
        <v/>
      </c>
      <c r="AU676" s="615" t="str">
        <f t="shared" si="1960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1961">IF(BD674="","",BD674*BD675/0.23/BD$46/365)</f>
        <v/>
      </c>
      <c r="BE676" s="1202" t="str">
        <f t="shared" si="1961"/>
        <v/>
      </c>
      <c r="BF676" s="1202" t="str">
        <f t="shared" si="1961"/>
        <v/>
      </c>
      <c r="BG676" s="1202" t="str">
        <f t="shared" si="1961"/>
        <v/>
      </c>
      <c r="BH676" s="1202" t="str">
        <f t="shared" si="1961"/>
        <v/>
      </c>
      <c r="BI676" s="1202" t="str">
        <f t="shared" si="1961"/>
        <v/>
      </c>
      <c r="BJ676" s="1202" t="str">
        <f t="shared" si="1961"/>
        <v/>
      </c>
      <c r="BK676" s="1202" t="str">
        <f t="shared" si="1961"/>
        <v/>
      </c>
      <c r="BL676" s="1202" t="str">
        <f t="shared" si="1961"/>
        <v/>
      </c>
      <c r="BM676" s="1202" t="str">
        <f t="shared" si="1961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1920"/>
        <v/>
      </c>
      <c r="CA676" s="607" t="str">
        <f t="shared" si="1921"/>
        <v/>
      </c>
      <c r="CB676" s="607" t="str">
        <f t="shared" si="1922"/>
        <v/>
      </c>
      <c r="CC676" s="673" t="str">
        <f t="shared" si="1923"/>
        <v/>
      </c>
      <c r="CD676" s="991" t="str">
        <f t="shared" si="1924"/>
        <v/>
      </c>
      <c r="CE676" s="992" t="str">
        <f t="shared" si="1916"/>
        <v/>
      </c>
      <c r="CF676" s="992" t="str">
        <f t="shared" si="1916"/>
        <v/>
      </c>
      <c r="CG676" s="992" t="str">
        <f t="shared" si="1916"/>
        <v/>
      </c>
      <c r="CH676" s="993" t="str">
        <f t="shared" si="1916"/>
        <v/>
      </c>
      <c r="CI676" s="993" t="str">
        <f t="shared" si="1916"/>
        <v/>
      </c>
      <c r="CJ676" s="992" t="str">
        <f t="shared" si="1916"/>
        <v/>
      </c>
      <c r="CK676" s="992" t="str">
        <f t="shared" si="1916"/>
        <v/>
      </c>
      <c r="CL676" s="992" t="str">
        <f t="shared" si="1916"/>
        <v/>
      </c>
      <c r="CM676" s="991" t="str">
        <f t="shared" si="1916"/>
        <v/>
      </c>
      <c r="CN676" s="521" t="str">
        <f t="shared" si="1925"/>
        <v/>
      </c>
      <c r="CO676" s="522" t="str">
        <f t="shared" si="1926"/>
        <v/>
      </c>
      <c r="CP676" s="523" t="str">
        <f t="shared" si="1927"/>
        <v/>
      </c>
      <c r="CQ676" s="523" t="str">
        <f t="shared" si="1928"/>
        <v/>
      </c>
      <c r="CR676" s="523" t="str">
        <f t="shared" si="1929"/>
        <v/>
      </c>
      <c r="CS676" s="523" t="str">
        <f t="shared" si="1930"/>
        <v/>
      </c>
      <c r="CT676" s="523" t="str">
        <f t="shared" si="1931"/>
        <v/>
      </c>
      <c r="CU676" s="524" t="str">
        <f t="shared" si="1932"/>
        <v/>
      </c>
      <c r="CV676" s="524" t="str">
        <f t="shared" si="1933"/>
        <v/>
      </c>
      <c r="CW676" s="524" t="str">
        <f t="shared" si="1934"/>
        <v/>
      </c>
      <c r="CX676" s="523" t="str">
        <f t="shared" si="1935"/>
        <v/>
      </c>
      <c r="CY676" s="523" t="str">
        <f t="shared" si="1936"/>
        <v/>
      </c>
      <c r="CZ676" s="523" t="str">
        <f t="shared" si="1937"/>
        <v/>
      </c>
      <c r="DA676" s="523" t="str">
        <f t="shared" si="1938"/>
        <v/>
      </c>
      <c r="DB676" s="523" t="str">
        <f t="shared" si="1939"/>
        <v/>
      </c>
      <c r="DC676" s="522" t="str">
        <f t="shared" si="1940"/>
        <v/>
      </c>
      <c r="DD676" s="521" t="str">
        <f t="shared" si="1941"/>
        <v/>
      </c>
      <c r="DE676" s="635">
        <f t="shared" si="1942"/>
        <v>0</v>
      </c>
      <c r="DF676" s="95">
        <f t="shared" si="1943"/>
        <v>0</v>
      </c>
      <c r="DG676" s="95">
        <f t="shared" si="1944"/>
        <v>0</v>
      </c>
      <c r="DH676" s="95">
        <f t="shared" si="1945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1920"/>
        <v/>
      </c>
      <c r="CA677" s="574" t="str">
        <f t="shared" si="1921"/>
        <v/>
      </c>
      <c r="CB677" s="574" t="str">
        <f t="shared" si="1922"/>
        <v/>
      </c>
      <c r="CC677" s="669" t="str">
        <f t="shared" si="1923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1920"/>
        <v/>
      </c>
      <c r="CA678" s="582" t="str">
        <f t="shared" si="1921"/>
        <v/>
      </c>
      <c r="CB678" s="582" t="str">
        <f t="shared" si="1922"/>
        <v/>
      </c>
      <c r="CC678" s="670" t="str">
        <f t="shared" si="1923"/>
        <v/>
      </c>
      <c r="CD678" s="988" t="str">
        <f t="shared" ref="CD678:CM678" si="196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1962"/>
        <v/>
      </c>
      <c r="CF678" s="989" t="str">
        <f t="shared" si="1962"/>
        <v/>
      </c>
      <c r="CG678" s="989" t="str">
        <f t="shared" si="1962"/>
        <v/>
      </c>
      <c r="CH678" s="990" t="str">
        <f t="shared" si="1962"/>
        <v/>
      </c>
      <c r="CI678" s="990" t="str">
        <f t="shared" si="1962"/>
        <v/>
      </c>
      <c r="CJ678" s="989" t="str">
        <f t="shared" si="1962"/>
        <v/>
      </c>
      <c r="CK678" s="989" t="str">
        <f t="shared" si="1962"/>
        <v/>
      </c>
      <c r="CL678" s="989" t="str">
        <f t="shared" si="1962"/>
        <v/>
      </c>
      <c r="CM678" s="988" t="str">
        <f t="shared" si="1962"/>
        <v/>
      </c>
      <c r="CN678" s="533" t="str">
        <f t="shared" ref="CN678:CW681" si="196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1963"/>
        <v/>
      </c>
      <c r="CP678" s="535" t="str">
        <f t="shared" si="1963"/>
        <v/>
      </c>
      <c r="CQ678" s="535" t="str">
        <f t="shared" si="1963"/>
        <v/>
      </c>
      <c r="CR678" s="535" t="str">
        <f t="shared" si="1963"/>
        <v/>
      </c>
      <c r="CS678" s="535" t="str">
        <f t="shared" si="1963"/>
        <v/>
      </c>
      <c r="CT678" s="535" t="str">
        <f t="shared" si="1963"/>
        <v/>
      </c>
      <c r="CU678" s="536" t="str">
        <f t="shared" si="1963"/>
        <v/>
      </c>
      <c r="CV678" s="536" t="str">
        <f t="shared" si="1963"/>
        <v/>
      </c>
      <c r="CW678" s="536" t="str">
        <f t="shared" si="1963"/>
        <v/>
      </c>
      <c r="CX678" s="535" t="str">
        <f t="shared" ref="CX678:DD681" si="196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1964"/>
        <v/>
      </c>
      <c r="CZ678" s="535" t="str">
        <f t="shared" si="1964"/>
        <v/>
      </c>
      <c r="DA678" s="535" t="str">
        <f t="shared" si="1964"/>
        <v/>
      </c>
      <c r="DB678" s="535" t="str">
        <f t="shared" si="1964"/>
        <v/>
      </c>
      <c r="DC678" s="534" t="str">
        <f t="shared" si="1964"/>
        <v/>
      </c>
      <c r="DD678" s="533" t="str">
        <f t="shared" si="1964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1920"/>
        <v/>
      </c>
      <c r="CA679" s="582" t="str">
        <f t="shared" si="1921"/>
        <v/>
      </c>
      <c r="CB679" s="582" t="str">
        <f t="shared" si="1922"/>
        <v/>
      </c>
      <c r="CC679" s="670" t="str">
        <f t="shared" si="1923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196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1965"/>
        <v/>
      </c>
      <c r="CG679" s="989" t="str">
        <f t="shared" si="1965"/>
        <v/>
      </c>
      <c r="CH679" s="990" t="str">
        <f t="shared" si="1965"/>
        <v/>
      </c>
      <c r="CI679" s="990" t="str">
        <f t="shared" si="1965"/>
        <v/>
      </c>
      <c r="CJ679" s="989" t="str">
        <f t="shared" si="1965"/>
        <v/>
      </c>
      <c r="CK679" s="989" t="str">
        <f t="shared" si="1965"/>
        <v/>
      </c>
      <c r="CL679" s="989" t="str">
        <f t="shared" si="1965"/>
        <v/>
      </c>
      <c r="CM679" s="988" t="str">
        <f t="shared" si="1965"/>
        <v/>
      </c>
      <c r="CN679" s="533" t="str">
        <f t="shared" si="1963"/>
        <v/>
      </c>
      <c r="CO679" s="534" t="str">
        <f t="shared" si="1963"/>
        <v/>
      </c>
      <c r="CP679" s="535" t="str">
        <f t="shared" si="1963"/>
        <v/>
      </c>
      <c r="CQ679" s="535" t="str">
        <f t="shared" si="1963"/>
        <v/>
      </c>
      <c r="CR679" s="535" t="str">
        <f t="shared" si="1963"/>
        <v/>
      </c>
      <c r="CS679" s="535" t="str">
        <f t="shared" si="1963"/>
        <v/>
      </c>
      <c r="CT679" s="535" t="str">
        <f t="shared" si="1963"/>
        <v/>
      </c>
      <c r="CU679" s="536" t="str">
        <f t="shared" si="1963"/>
        <v/>
      </c>
      <c r="CV679" s="536" t="str">
        <f t="shared" si="1963"/>
        <v/>
      </c>
      <c r="CW679" s="536" t="str">
        <f t="shared" si="1963"/>
        <v/>
      </c>
      <c r="CX679" s="535" t="str">
        <f t="shared" si="1964"/>
        <v/>
      </c>
      <c r="CY679" s="535" t="str">
        <f t="shared" si="1964"/>
        <v/>
      </c>
      <c r="CZ679" s="535" t="str">
        <f t="shared" si="1964"/>
        <v/>
      </c>
      <c r="DA679" s="535" t="str">
        <f t="shared" si="1964"/>
        <v/>
      </c>
      <c r="DB679" s="535" t="str">
        <f t="shared" si="1964"/>
        <v/>
      </c>
      <c r="DC679" s="534" t="str">
        <f t="shared" si="1964"/>
        <v/>
      </c>
      <c r="DD679" s="533" t="str">
        <f t="shared" si="1964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1966">4000*$K$1</f>
        <v>16747.2</v>
      </c>
      <c r="D680" s="740">
        <f t="shared" si="1966"/>
        <v>16747.2</v>
      </c>
      <c r="E680" s="740">
        <f t="shared" si="1966"/>
        <v>16747.2</v>
      </c>
      <c r="F680" s="740">
        <f t="shared" si="1966"/>
        <v>16747.2</v>
      </c>
      <c r="G680" s="740">
        <f t="shared" si="1966"/>
        <v>16747.2</v>
      </c>
      <c r="H680" s="740">
        <f t="shared" si="1966"/>
        <v>16747.2</v>
      </c>
      <c r="I680" s="740">
        <f t="shared" si="1966"/>
        <v>16747.2</v>
      </c>
      <c r="J680" s="740">
        <f t="shared" si="1966"/>
        <v>16747.2</v>
      </c>
      <c r="K680" s="740">
        <f t="shared" si="1966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1967">4000*$K$1</f>
        <v>16747.2</v>
      </c>
      <c r="V680" s="740">
        <f t="shared" si="1967"/>
        <v>16747.2</v>
      </c>
      <c r="W680" s="740">
        <f t="shared" si="1967"/>
        <v>16747.2</v>
      </c>
      <c r="X680" s="740">
        <f t="shared" si="1967"/>
        <v>16747.2</v>
      </c>
      <c r="Y680" s="740">
        <f t="shared" si="1967"/>
        <v>16747.2</v>
      </c>
      <c r="Z680" s="740">
        <f t="shared" si="1967"/>
        <v>16747.2</v>
      </c>
      <c r="AA680" s="740">
        <f t="shared" si="1967"/>
        <v>16747.2</v>
      </c>
      <c r="AB680" s="740">
        <f t="shared" si="1967"/>
        <v>16747.2</v>
      </c>
      <c r="AC680" s="740">
        <f t="shared" si="1967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1968">4000*$K$1</f>
        <v>16747.2</v>
      </c>
      <c r="AN680" s="740">
        <f t="shared" si="1968"/>
        <v>16747.2</v>
      </c>
      <c r="AO680" s="740">
        <f t="shared" si="1968"/>
        <v>16747.2</v>
      </c>
      <c r="AP680" s="740">
        <f t="shared" si="1968"/>
        <v>16747.2</v>
      </c>
      <c r="AQ680" s="740">
        <f t="shared" si="1968"/>
        <v>16747.2</v>
      </c>
      <c r="AR680" s="740">
        <f t="shared" si="1968"/>
        <v>16747.2</v>
      </c>
      <c r="AS680" s="740">
        <f t="shared" si="1968"/>
        <v>16747.2</v>
      </c>
      <c r="AT680" s="740">
        <f t="shared" si="1968"/>
        <v>16747.2</v>
      </c>
      <c r="AU680" s="740">
        <f t="shared" si="1968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1969">4000*$K$1</f>
        <v>16747.2</v>
      </c>
      <c r="BF680" s="1236">
        <f t="shared" si="1969"/>
        <v>16747.2</v>
      </c>
      <c r="BG680" s="1236">
        <f t="shared" si="1969"/>
        <v>16747.2</v>
      </c>
      <c r="BH680" s="1236">
        <f t="shared" si="1969"/>
        <v>16747.2</v>
      </c>
      <c r="BI680" s="1236">
        <f t="shared" si="1969"/>
        <v>16747.2</v>
      </c>
      <c r="BJ680" s="1236">
        <f t="shared" si="1969"/>
        <v>16747.2</v>
      </c>
      <c r="BK680" s="1236">
        <f t="shared" si="1969"/>
        <v>16747.2</v>
      </c>
      <c r="BL680" s="1236">
        <f t="shared" si="1969"/>
        <v>16747.2</v>
      </c>
      <c r="BM680" s="1236">
        <f t="shared" si="1969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>4000*$K$1</f>
        <v>16747.2</v>
      </c>
      <c r="BW680" s="740">
        <f>4000*$K$1</f>
        <v>16747.2</v>
      </c>
      <c r="BX680" s="740">
        <f>4000*$K$1</f>
        <v>16747.2</v>
      </c>
      <c r="BY680" s="740">
        <f>4000*$K$1</f>
        <v>16747.2</v>
      </c>
      <c r="BZ680" s="582">
        <f t="shared" si="1920"/>
        <v>16747.2</v>
      </c>
      <c r="CA680" s="582">
        <f t="shared" si="1921"/>
        <v>16747.2</v>
      </c>
      <c r="CB680" s="582">
        <f t="shared" si="1922"/>
        <v>16747.2</v>
      </c>
      <c r="CC680" s="670">
        <f t="shared" si="1923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1965"/>
        <v>16747.2</v>
      </c>
      <c r="CF680" s="989">
        <f t="shared" si="1965"/>
        <v>16747.2</v>
      </c>
      <c r="CG680" s="989">
        <f t="shared" si="1965"/>
        <v>16747.2</v>
      </c>
      <c r="CH680" s="990">
        <f t="shared" si="1965"/>
        <v>16747.2</v>
      </c>
      <c r="CI680" s="990">
        <f t="shared" si="1965"/>
        <v>16747.2</v>
      </c>
      <c r="CJ680" s="989">
        <f t="shared" si="1965"/>
        <v>16747.2</v>
      </c>
      <c r="CK680" s="989">
        <f t="shared" si="1965"/>
        <v>16747.2</v>
      </c>
      <c r="CL680" s="989">
        <f t="shared" si="1965"/>
        <v>16747.2</v>
      </c>
      <c r="CM680" s="988">
        <f t="shared" si="1965"/>
        <v>16747.2</v>
      </c>
      <c r="CN680" s="533" t="str">
        <f t="shared" si="1963"/>
        <v/>
      </c>
      <c r="CO680" s="534" t="str">
        <f t="shared" si="1963"/>
        <v/>
      </c>
      <c r="CP680" s="535" t="str">
        <f t="shared" si="1963"/>
        <v/>
      </c>
      <c r="CQ680" s="535" t="str">
        <f t="shared" si="1963"/>
        <v/>
      </c>
      <c r="CR680" s="535">
        <f t="shared" si="1963"/>
        <v>16747.2</v>
      </c>
      <c r="CS680" s="535">
        <f t="shared" si="1963"/>
        <v>16747.2</v>
      </c>
      <c r="CT680" s="535">
        <f t="shared" si="1963"/>
        <v>16747.2</v>
      </c>
      <c r="CU680" s="536">
        <f t="shared" si="1963"/>
        <v>16747.2</v>
      </c>
      <c r="CV680" s="536">
        <f t="shared" si="1963"/>
        <v>16747.2</v>
      </c>
      <c r="CW680" s="536">
        <f t="shared" si="1963"/>
        <v>16747.2</v>
      </c>
      <c r="CX680" s="535">
        <f t="shared" si="1964"/>
        <v>16747.2</v>
      </c>
      <c r="CY680" s="535">
        <f t="shared" si="1964"/>
        <v>16747.2</v>
      </c>
      <c r="CZ680" s="535">
        <f t="shared" si="1964"/>
        <v>16747.2</v>
      </c>
      <c r="DA680" s="535">
        <f t="shared" si="1964"/>
        <v>16747.2</v>
      </c>
      <c r="DB680" s="535" t="str">
        <f t="shared" si="1964"/>
        <v/>
      </c>
      <c r="DC680" s="534" t="str">
        <f t="shared" si="1964"/>
        <v/>
      </c>
      <c r="DD680" s="533" t="str">
        <f t="shared" si="1964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1970">IF(B678="","",B678*B679*B680/B$46/365/$G$1)</f>
        <v/>
      </c>
      <c r="C681" s="615" t="str">
        <f t="shared" si="1970"/>
        <v/>
      </c>
      <c r="D681" s="615" t="str">
        <f t="shared" si="1970"/>
        <v/>
      </c>
      <c r="E681" s="615" t="str">
        <f t="shared" si="1970"/>
        <v/>
      </c>
      <c r="F681" s="615" t="str">
        <f t="shared" si="1970"/>
        <v/>
      </c>
      <c r="G681" s="615" t="str">
        <f t="shared" si="1970"/>
        <v/>
      </c>
      <c r="H681" s="615" t="str">
        <f t="shared" si="1970"/>
        <v/>
      </c>
      <c r="I681" s="615" t="str">
        <f t="shared" si="1970"/>
        <v/>
      </c>
      <c r="J681" s="615" t="str">
        <f t="shared" si="1970"/>
        <v/>
      </c>
      <c r="K681" s="615" t="str">
        <f t="shared" si="1970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1971">IF(T678="","",T678*T679*T680/T$46/365/$G$1)</f>
        <v/>
      </c>
      <c r="U681" s="615" t="str">
        <f t="shared" si="1971"/>
        <v/>
      </c>
      <c r="V681" s="615" t="str">
        <f t="shared" si="1971"/>
        <v/>
      </c>
      <c r="W681" s="615" t="str">
        <f t="shared" si="1971"/>
        <v/>
      </c>
      <c r="X681" s="615" t="str">
        <f t="shared" si="1971"/>
        <v/>
      </c>
      <c r="Y681" s="615" t="str">
        <f t="shared" si="1971"/>
        <v/>
      </c>
      <c r="Z681" s="615" t="str">
        <f t="shared" si="1971"/>
        <v/>
      </c>
      <c r="AA681" s="615" t="str">
        <f t="shared" si="1971"/>
        <v/>
      </c>
      <c r="AB681" s="615" t="str">
        <f t="shared" si="1971"/>
        <v/>
      </c>
      <c r="AC681" s="615" t="str">
        <f t="shared" si="1971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1972">IF(AL678="","",AL678*AL679*AL680/AL$46/365/$G$1)</f>
        <v/>
      </c>
      <c r="AM681" s="615" t="str">
        <f t="shared" si="1972"/>
        <v/>
      </c>
      <c r="AN681" s="615" t="str">
        <f t="shared" si="1972"/>
        <v/>
      </c>
      <c r="AO681" s="615" t="str">
        <f t="shared" si="1972"/>
        <v/>
      </c>
      <c r="AP681" s="615" t="str">
        <f t="shared" si="1972"/>
        <v/>
      </c>
      <c r="AQ681" s="615" t="str">
        <f t="shared" si="1972"/>
        <v/>
      </c>
      <c r="AR681" s="615" t="str">
        <f t="shared" si="1972"/>
        <v/>
      </c>
      <c r="AS681" s="615" t="str">
        <f t="shared" si="1972"/>
        <v/>
      </c>
      <c r="AT681" s="615" t="str">
        <f t="shared" si="1972"/>
        <v/>
      </c>
      <c r="AU681" s="615" t="str">
        <f t="shared" si="1972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1973">IF(BD678="","",BD678*BD679*BD680/BD$46/365/$G$1)</f>
        <v/>
      </c>
      <c r="BE681" s="1202" t="str">
        <f t="shared" si="1973"/>
        <v/>
      </c>
      <c r="BF681" s="1202" t="str">
        <f t="shared" si="1973"/>
        <v/>
      </c>
      <c r="BG681" s="1202" t="str">
        <f t="shared" si="1973"/>
        <v/>
      </c>
      <c r="BH681" s="1202" t="str">
        <f t="shared" si="1973"/>
        <v/>
      </c>
      <c r="BI681" s="1202" t="str">
        <f t="shared" si="1973"/>
        <v/>
      </c>
      <c r="BJ681" s="1202" t="str">
        <f t="shared" si="1973"/>
        <v/>
      </c>
      <c r="BK681" s="1202" t="str">
        <f t="shared" si="1973"/>
        <v/>
      </c>
      <c r="BL681" s="1202" t="str">
        <f t="shared" si="1973"/>
        <v/>
      </c>
      <c r="BM681" s="1202" t="str">
        <f t="shared" si="1973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1920"/>
        <v/>
      </c>
      <c r="CA681" s="607" t="str">
        <f t="shared" si="1921"/>
        <v/>
      </c>
      <c r="CB681" s="607" t="str">
        <f t="shared" si="1922"/>
        <v/>
      </c>
      <c r="CC681" s="673" t="str">
        <f t="shared" si="1923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1965"/>
        <v/>
      </c>
      <c r="CF681" s="992" t="str">
        <f t="shared" si="1965"/>
        <v/>
      </c>
      <c r="CG681" s="992" t="str">
        <f t="shared" si="1965"/>
        <v/>
      </c>
      <c r="CH681" s="993" t="str">
        <f t="shared" si="1965"/>
        <v/>
      </c>
      <c r="CI681" s="993" t="str">
        <f t="shared" si="1965"/>
        <v/>
      </c>
      <c r="CJ681" s="992" t="str">
        <f t="shared" si="1965"/>
        <v/>
      </c>
      <c r="CK681" s="992" t="str">
        <f t="shared" si="1965"/>
        <v/>
      </c>
      <c r="CL681" s="992" t="str">
        <f t="shared" si="1965"/>
        <v/>
      </c>
      <c r="CM681" s="991" t="str">
        <f t="shared" si="1965"/>
        <v/>
      </c>
      <c r="CN681" s="521" t="str">
        <f t="shared" si="1963"/>
        <v/>
      </c>
      <c r="CO681" s="522" t="str">
        <f t="shared" si="1963"/>
        <v/>
      </c>
      <c r="CP681" s="523" t="str">
        <f t="shared" si="1963"/>
        <v/>
      </c>
      <c r="CQ681" s="523" t="str">
        <f t="shared" si="1963"/>
        <v/>
      </c>
      <c r="CR681" s="523" t="str">
        <f t="shared" si="1963"/>
        <v/>
      </c>
      <c r="CS681" s="523" t="str">
        <f t="shared" si="1963"/>
        <v/>
      </c>
      <c r="CT681" s="523" t="str">
        <f t="shared" si="1963"/>
        <v/>
      </c>
      <c r="CU681" s="524" t="str">
        <f t="shared" si="1963"/>
        <v/>
      </c>
      <c r="CV681" s="524" t="str">
        <f t="shared" si="1963"/>
        <v/>
      </c>
      <c r="CW681" s="524" t="str">
        <f t="shared" si="1963"/>
        <v/>
      </c>
      <c r="CX681" s="523" t="str">
        <f t="shared" si="1964"/>
        <v/>
      </c>
      <c r="CY681" s="523" t="str">
        <f t="shared" si="1964"/>
        <v/>
      </c>
      <c r="CZ681" s="523" t="str">
        <f t="shared" si="1964"/>
        <v/>
      </c>
      <c r="DA681" s="523" t="str">
        <f t="shared" si="1964"/>
        <v/>
      </c>
      <c r="DB681" s="523" t="str">
        <f t="shared" si="1964"/>
        <v/>
      </c>
      <c r="DC681" s="522" t="str">
        <f t="shared" si="1964"/>
        <v/>
      </c>
      <c r="DD681" s="521" t="str">
        <f t="shared" si="1964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19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1974"/>
        <v/>
      </c>
      <c r="CF683" s="989" t="str">
        <f t="shared" si="1974"/>
        <v/>
      </c>
      <c r="CG683" s="989" t="str">
        <f t="shared" si="1974"/>
        <v/>
      </c>
      <c r="CH683" s="990" t="str">
        <f t="shared" si="1974"/>
        <v/>
      </c>
      <c r="CI683" s="990" t="str">
        <f t="shared" si="1974"/>
        <v/>
      </c>
      <c r="CJ683" s="989" t="str">
        <f t="shared" si="1974"/>
        <v/>
      </c>
      <c r="CK683" s="989" t="str">
        <f t="shared" si="1974"/>
        <v/>
      </c>
      <c r="CL683" s="989" t="str">
        <f t="shared" si="1974"/>
        <v/>
      </c>
      <c r="CM683" s="988" t="str">
        <f t="shared" si="1974"/>
        <v/>
      </c>
      <c r="CN683" s="533" t="str">
        <f t="shared" ref="CN683:CW686" si="197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1975"/>
        <v/>
      </c>
      <c r="CP683" s="535" t="str">
        <f t="shared" si="1975"/>
        <v/>
      </c>
      <c r="CQ683" s="535" t="str">
        <f t="shared" si="1975"/>
        <v/>
      </c>
      <c r="CR683" s="535" t="str">
        <f t="shared" si="1975"/>
        <v/>
      </c>
      <c r="CS683" s="535" t="str">
        <f t="shared" si="1975"/>
        <v/>
      </c>
      <c r="CT683" s="535" t="str">
        <f t="shared" si="1975"/>
        <v/>
      </c>
      <c r="CU683" s="536" t="str">
        <f t="shared" si="1975"/>
        <v/>
      </c>
      <c r="CV683" s="536" t="str">
        <f t="shared" si="1975"/>
        <v/>
      </c>
      <c r="CW683" s="536" t="str">
        <f t="shared" si="1975"/>
        <v/>
      </c>
      <c r="CX683" s="535" t="str">
        <f t="shared" ref="CX683:DD686" si="197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1976"/>
        <v/>
      </c>
      <c r="CZ683" s="535" t="str">
        <f t="shared" si="1976"/>
        <v/>
      </c>
      <c r="DA683" s="535" t="str">
        <f t="shared" si="1976"/>
        <v/>
      </c>
      <c r="DB683" s="535" t="str">
        <f t="shared" si="1976"/>
        <v/>
      </c>
      <c r="DC683" s="534" t="str">
        <f t="shared" si="1976"/>
        <v/>
      </c>
      <c r="DD683" s="533" t="str">
        <f t="shared" si="1976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197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1977"/>
        <v/>
      </c>
      <c r="CG684" s="989" t="str">
        <f t="shared" si="1977"/>
        <v/>
      </c>
      <c r="CH684" s="990" t="str">
        <f t="shared" si="1977"/>
        <v/>
      </c>
      <c r="CI684" s="990" t="str">
        <f t="shared" si="1977"/>
        <v/>
      </c>
      <c r="CJ684" s="989" t="str">
        <f t="shared" si="1977"/>
        <v/>
      </c>
      <c r="CK684" s="989" t="str">
        <f t="shared" si="1977"/>
        <v/>
      </c>
      <c r="CL684" s="989" t="str">
        <f t="shared" si="1977"/>
        <v/>
      </c>
      <c r="CM684" s="988" t="str">
        <f t="shared" si="1977"/>
        <v/>
      </c>
      <c r="CN684" s="533" t="str">
        <f t="shared" si="1975"/>
        <v/>
      </c>
      <c r="CO684" s="534" t="str">
        <f t="shared" si="1975"/>
        <v/>
      </c>
      <c r="CP684" s="535" t="str">
        <f t="shared" si="1975"/>
        <v/>
      </c>
      <c r="CQ684" s="535" t="str">
        <f t="shared" si="1975"/>
        <v/>
      </c>
      <c r="CR684" s="535" t="str">
        <f t="shared" si="1975"/>
        <v/>
      </c>
      <c r="CS684" s="535" t="str">
        <f t="shared" si="1975"/>
        <v/>
      </c>
      <c r="CT684" s="535" t="str">
        <f t="shared" si="1975"/>
        <v/>
      </c>
      <c r="CU684" s="536" t="str">
        <f t="shared" si="1975"/>
        <v/>
      </c>
      <c r="CV684" s="536" t="str">
        <f t="shared" si="1975"/>
        <v/>
      </c>
      <c r="CW684" s="536" t="str">
        <f t="shared" si="1975"/>
        <v/>
      </c>
      <c r="CX684" s="535" t="str">
        <f t="shared" si="1976"/>
        <v/>
      </c>
      <c r="CY684" s="535" t="str">
        <f t="shared" si="1976"/>
        <v/>
      </c>
      <c r="CZ684" s="535" t="str">
        <f t="shared" si="1976"/>
        <v/>
      </c>
      <c r="DA684" s="535" t="str">
        <f t="shared" si="1976"/>
        <v/>
      </c>
      <c r="DB684" s="535" t="str">
        <f t="shared" si="1976"/>
        <v/>
      </c>
      <c r="DC684" s="534" t="str">
        <f t="shared" si="1976"/>
        <v/>
      </c>
      <c r="DD684" s="533" t="str">
        <f t="shared" si="1976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1978">2020*$K$1</f>
        <v>8457.3359999999993</v>
      </c>
      <c r="D685" s="740">
        <f t="shared" si="1978"/>
        <v>8457.3359999999993</v>
      </c>
      <c r="E685" s="740">
        <f t="shared" si="1978"/>
        <v>8457.3359999999993</v>
      </c>
      <c r="F685" s="740">
        <f t="shared" si="1978"/>
        <v>8457.3359999999993</v>
      </c>
      <c r="G685" s="740">
        <f t="shared" si="1978"/>
        <v>8457.3359999999993</v>
      </c>
      <c r="H685" s="740">
        <f t="shared" si="1978"/>
        <v>8457.3359999999993</v>
      </c>
      <c r="I685" s="740">
        <f t="shared" si="1978"/>
        <v>8457.3359999999993</v>
      </c>
      <c r="J685" s="740">
        <f t="shared" si="1978"/>
        <v>8457.3359999999993</v>
      </c>
      <c r="K685" s="740">
        <f t="shared" si="1978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1979">2020*$K$1</f>
        <v>8457.3359999999993</v>
      </c>
      <c r="V685" s="740">
        <f t="shared" si="1979"/>
        <v>8457.3359999999993</v>
      </c>
      <c r="W685" s="740">
        <f t="shared" si="1979"/>
        <v>8457.3359999999993</v>
      </c>
      <c r="X685" s="740">
        <f t="shared" si="1979"/>
        <v>8457.3359999999993</v>
      </c>
      <c r="Y685" s="740">
        <f t="shared" si="1979"/>
        <v>8457.3359999999993</v>
      </c>
      <c r="Z685" s="740">
        <f t="shared" si="1979"/>
        <v>8457.3359999999993</v>
      </c>
      <c r="AA685" s="740">
        <f t="shared" si="1979"/>
        <v>8457.3359999999993</v>
      </c>
      <c r="AB685" s="740">
        <f t="shared" si="1979"/>
        <v>8457.3359999999993</v>
      </c>
      <c r="AC685" s="740">
        <f t="shared" si="1979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1980">2020*$K$1</f>
        <v>8457.3359999999993</v>
      </c>
      <c r="AN685" s="740">
        <f t="shared" si="1980"/>
        <v>8457.3359999999993</v>
      </c>
      <c r="AO685" s="740">
        <f t="shared" si="1980"/>
        <v>8457.3359999999993</v>
      </c>
      <c r="AP685" s="740">
        <f t="shared" si="1980"/>
        <v>8457.3359999999993</v>
      </c>
      <c r="AQ685" s="740">
        <f t="shared" si="1980"/>
        <v>8457.3359999999993</v>
      </c>
      <c r="AR685" s="740">
        <f t="shared" si="1980"/>
        <v>8457.3359999999993</v>
      </c>
      <c r="AS685" s="740">
        <f t="shared" si="1980"/>
        <v>8457.3359999999993</v>
      </c>
      <c r="AT685" s="740">
        <f t="shared" si="1980"/>
        <v>8457.3359999999993</v>
      </c>
      <c r="AU685" s="740">
        <f t="shared" si="1980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1981">2020*$K$1</f>
        <v>8457.3359999999993</v>
      </c>
      <c r="BF685" s="1236">
        <f t="shared" si="1981"/>
        <v>8457.3359999999993</v>
      </c>
      <c r="BG685" s="1236">
        <f t="shared" si="1981"/>
        <v>8457.3359999999993</v>
      </c>
      <c r="BH685" s="1236">
        <f t="shared" si="1981"/>
        <v>8457.3359999999993</v>
      </c>
      <c r="BI685" s="1236">
        <f t="shared" si="1981"/>
        <v>8457.3359999999993</v>
      </c>
      <c r="BJ685" s="1236">
        <f t="shared" si="1981"/>
        <v>8457.3359999999993</v>
      </c>
      <c r="BK685" s="1236">
        <f t="shared" si="1981"/>
        <v>8457.3359999999993</v>
      </c>
      <c r="BL685" s="1236">
        <f t="shared" si="1981"/>
        <v>8457.3359999999993</v>
      </c>
      <c r="BM685" s="1236">
        <f t="shared" si="1981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>2020*$K$1</f>
        <v>8457.3359999999993</v>
      </c>
      <c r="BW685" s="740">
        <f>2020*$K$1</f>
        <v>8457.3359999999993</v>
      </c>
      <c r="BX685" s="740">
        <f>2020*$K$1</f>
        <v>8457.3359999999993</v>
      </c>
      <c r="BY685" s="740">
        <f>2020*$K$1</f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1977"/>
        <v>8457.3359999999993</v>
      </c>
      <c r="CF685" s="989">
        <f t="shared" si="1977"/>
        <v>8457.3359999999993</v>
      </c>
      <c r="CG685" s="989">
        <f t="shared" si="1977"/>
        <v>8457.3359999999993</v>
      </c>
      <c r="CH685" s="990">
        <f t="shared" si="1977"/>
        <v>8457.3359999999993</v>
      </c>
      <c r="CI685" s="990">
        <f t="shared" si="1977"/>
        <v>8457.3359999999993</v>
      </c>
      <c r="CJ685" s="989">
        <f t="shared" si="1977"/>
        <v>8457.3359999999993</v>
      </c>
      <c r="CK685" s="989">
        <f t="shared" si="1977"/>
        <v>8457.3359999999993</v>
      </c>
      <c r="CL685" s="989">
        <f t="shared" si="1977"/>
        <v>8457.3359999999993</v>
      </c>
      <c r="CM685" s="988">
        <f t="shared" si="1977"/>
        <v>8457.3359999999993</v>
      </c>
      <c r="CN685" s="533" t="str">
        <f t="shared" si="1975"/>
        <v/>
      </c>
      <c r="CO685" s="534" t="str">
        <f t="shared" si="1975"/>
        <v/>
      </c>
      <c r="CP685" s="535" t="str">
        <f t="shared" si="1975"/>
        <v/>
      </c>
      <c r="CQ685" s="535" t="str">
        <f t="shared" si="1975"/>
        <v/>
      </c>
      <c r="CR685" s="535">
        <f t="shared" si="1975"/>
        <v>8457.3359999999993</v>
      </c>
      <c r="CS685" s="535">
        <f t="shared" si="1975"/>
        <v>8457.3359999999993</v>
      </c>
      <c r="CT685" s="535">
        <f t="shared" si="1975"/>
        <v>8457.3359999999993</v>
      </c>
      <c r="CU685" s="536">
        <f t="shared" si="1975"/>
        <v>8457.3359999999993</v>
      </c>
      <c r="CV685" s="536">
        <f t="shared" si="1975"/>
        <v>8457.3359999999993</v>
      </c>
      <c r="CW685" s="536">
        <f t="shared" si="1975"/>
        <v>8457.3359999999993</v>
      </c>
      <c r="CX685" s="535">
        <f t="shared" si="1976"/>
        <v>8457.3359999999993</v>
      </c>
      <c r="CY685" s="535">
        <f t="shared" si="1976"/>
        <v>8457.3359999999993</v>
      </c>
      <c r="CZ685" s="535">
        <f t="shared" si="1976"/>
        <v>8457.3359999999993</v>
      </c>
      <c r="DA685" s="535">
        <f t="shared" si="1976"/>
        <v>8457.3359999999993</v>
      </c>
      <c r="DB685" s="535" t="str">
        <f t="shared" si="1976"/>
        <v/>
      </c>
      <c r="DC685" s="534" t="str">
        <f t="shared" si="1976"/>
        <v/>
      </c>
      <c r="DD685" s="533" t="str">
        <f t="shared" si="1976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1982">IF(B683="","",B683*B684*B685/B$46/365/$G$1)</f>
        <v/>
      </c>
      <c r="C686" s="615" t="str">
        <f t="shared" si="1982"/>
        <v/>
      </c>
      <c r="D686" s="615" t="str">
        <f t="shared" si="1982"/>
        <v/>
      </c>
      <c r="E686" s="615" t="str">
        <f t="shared" si="1982"/>
        <v/>
      </c>
      <c r="F686" s="615" t="str">
        <f t="shared" si="1982"/>
        <v/>
      </c>
      <c r="G686" s="615" t="str">
        <f t="shared" si="1982"/>
        <v/>
      </c>
      <c r="H686" s="615" t="str">
        <f t="shared" si="1982"/>
        <v/>
      </c>
      <c r="I686" s="615" t="str">
        <f t="shared" si="1982"/>
        <v/>
      </c>
      <c r="J686" s="615" t="str">
        <f t="shared" si="1982"/>
        <v/>
      </c>
      <c r="K686" s="615" t="str">
        <f t="shared" si="198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1983">IF(T683="","",T683*T684*T685/T$46/365/$G$1)</f>
        <v/>
      </c>
      <c r="U686" s="615" t="str">
        <f t="shared" si="1983"/>
        <v/>
      </c>
      <c r="V686" s="615" t="str">
        <f t="shared" si="1983"/>
        <v/>
      </c>
      <c r="W686" s="615" t="str">
        <f t="shared" si="1983"/>
        <v/>
      </c>
      <c r="X686" s="615" t="str">
        <f t="shared" si="1983"/>
        <v/>
      </c>
      <c r="Y686" s="615" t="str">
        <f t="shared" si="1983"/>
        <v/>
      </c>
      <c r="Z686" s="615" t="str">
        <f t="shared" si="1983"/>
        <v/>
      </c>
      <c r="AA686" s="615" t="str">
        <f t="shared" si="1983"/>
        <v/>
      </c>
      <c r="AB686" s="615" t="str">
        <f t="shared" si="1983"/>
        <v/>
      </c>
      <c r="AC686" s="615" t="str">
        <f t="shared" si="198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1984">IF(AL683="","",AL683*AL684*AL685/AL$46/365/$G$1)</f>
        <v/>
      </c>
      <c r="AM686" s="615" t="str">
        <f t="shared" si="1984"/>
        <v/>
      </c>
      <c r="AN686" s="615" t="str">
        <f t="shared" si="1984"/>
        <v/>
      </c>
      <c r="AO686" s="615" t="str">
        <f t="shared" si="1984"/>
        <v/>
      </c>
      <c r="AP686" s="615" t="str">
        <f t="shared" si="1984"/>
        <v/>
      </c>
      <c r="AQ686" s="615" t="str">
        <f t="shared" si="1984"/>
        <v/>
      </c>
      <c r="AR686" s="615" t="str">
        <f t="shared" si="1984"/>
        <v/>
      </c>
      <c r="AS686" s="615" t="str">
        <f t="shared" si="1984"/>
        <v/>
      </c>
      <c r="AT686" s="615" t="str">
        <f t="shared" si="1984"/>
        <v/>
      </c>
      <c r="AU686" s="615" t="str">
        <f t="shared" si="198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1985">IF(BD683="","",BD683*BD684*BD685/BD$46/365/$G$1)</f>
        <v/>
      </c>
      <c r="BE686" s="1202" t="str">
        <f t="shared" si="1985"/>
        <v/>
      </c>
      <c r="BF686" s="1202" t="str">
        <f t="shared" si="1985"/>
        <v/>
      </c>
      <c r="BG686" s="1202" t="str">
        <f t="shared" si="1985"/>
        <v/>
      </c>
      <c r="BH686" s="1202" t="str">
        <f t="shared" si="1985"/>
        <v/>
      </c>
      <c r="BI686" s="1202" t="str">
        <f t="shared" si="1985"/>
        <v/>
      </c>
      <c r="BJ686" s="1202" t="str">
        <f t="shared" si="1985"/>
        <v/>
      </c>
      <c r="BK686" s="1202" t="str">
        <f t="shared" si="1985"/>
        <v/>
      </c>
      <c r="BL686" s="1202" t="str">
        <f t="shared" si="1985"/>
        <v/>
      </c>
      <c r="BM686" s="1202" t="str">
        <f t="shared" si="198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1977"/>
        <v/>
      </c>
      <c r="CF686" s="992" t="str">
        <f t="shared" si="1977"/>
        <v/>
      </c>
      <c r="CG686" s="992" t="str">
        <f t="shared" si="1977"/>
        <v/>
      </c>
      <c r="CH686" s="993" t="str">
        <f t="shared" si="1977"/>
        <v/>
      </c>
      <c r="CI686" s="993" t="str">
        <f t="shared" si="1977"/>
        <v/>
      </c>
      <c r="CJ686" s="992" t="str">
        <f t="shared" si="1977"/>
        <v/>
      </c>
      <c r="CK686" s="992" t="str">
        <f t="shared" si="1977"/>
        <v/>
      </c>
      <c r="CL686" s="992" t="str">
        <f t="shared" si="1977"/>
        <v/>
      </c>
      <c r="CM686" s="991" t="str">
        <f t="shared" si="1977"/>
        <v/>
      </c>
      <c r="CN686" s="521" t="str">
        <f t="shared" si="1975"/>
        <v/>
      </c>
      <c r="CO686" s="522" t="str">
        <f t="shared" si="1975"/>
        <v/>
      </c>
      <c r="CP686" s="523" t="str">
        <f t="shared" si="1975"/>
        <v/>
      </c>
      <c r="CQ686" s="523" t="str">
        <f t="shared" si="1975"/>
        <v/>
      </c>
      <c r="CR686" s="523" t="str">
        <f t="shared" si="1975"/>
        <v/>
      </c>
      <c r="CS686" s="523" t="str">
        <f t="shared" si="1975"/>
        <v/>
      </c>
      <c r="CT686" s="523" t="str">
        <f t="shared" si="1975"/>
        <v/>
      </c>
      <c r="CU686" s="524" t="str">
        <f t="shared" si="1975"/>
        <v/>
      </c>
      <c r="CV686" s="524" t="str">
        <f t="shared" si="1975"/>
        <v/>
      </c>
      <c r="CW686" s="524" t="str">
        <f t="shared" si="1975"/>
        <v/>
      </c>
      <c r="CX686" s="523" t="str">
        <f t="shared" si="1976"/>
        <v/>
      </c>
      <c r="CY686" s="523" t="str">
        <f t="shared" si="1976"/>
        <v/>
      </c>
      <c r="CZ686" s="523" t="str">
        <f t="shared" si="1976"/>
        <v/>
      </c>
      <c r="DA686" s="523" t="str">
        <f t="shared" si="1976"/>
        <v/>
      </c>
      <c r="DB686" s="523" t="str">
        <f t="shared" si="1976"/>
        <v/>
      </c>
      <c r="DC686" s="522" t="str">
        <f t="shared" si="1976"/>
        <v/>
      </c>
      <c r="DD686" s="521" t="str">
        <f t="shared" si="1976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19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1986"/>
        <v/>
      </c>
      <c r="CF688" s="989" t="str">
        <f t="shared" si="1986"/>
        <v/>
      </c>
      <c r="CG688" s="989" t="str">
        <f t="shared" si="1986"/>
        <v/>
      </c>
      <c r="CH688" s="990" t="str">
        <f t="shared" si="1986"/>
        <v/>
      </c>
      <c r="CI688" s="990" t="str">
        <f t="shared" si="1986"/>
        <v/>
      </c>
      <c r="CJ688" s="989" t="str">
        <f t="shared" si="1986"/>
        <v/>
      </c>
      <c r="CK688" s="989" t="str">
        <f t="shared" si="1986"/>
        <v/>
      </c>
      <c r="CL688" s="989" t="str">
        <f t="shared" si="1986"/>
        <v/>
      </c>
      <c r="CM688" s="988" t="str">
        <f t="shared" si="1986"/>
        <v/>
      </c>
      <c r="CN688" s="533" t="str">
        <f t="shared" ref="CN688:CW691" si="198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1987"/>
        <v/>
      </c>
      <c r="CP688" s="535" t="str">
        <f t="shared" si="1987"/>
        <v/>
      </c>
      <c r="CQ688" s="535" t="str">
        <f t="shared" si="1987"/>
        <v/>
      </c>
      <c r="CR688" s="535" t="str">
        <f t="shared" si="1987"/>
        <v/>
      </c>
      <c r="CS688" s="535" t="str">
        <f t="shared" si="1987"/>
        <v/>
      </c>
      <c r="CT688" s="535" t="str">
        <f t="shared" si="1987"/>
        <v/>
      </c>
      <c r="CU688" s="536" t="str">
        <f t="shared" si="1987"/>
        <v/>
      </c>
      <c r="CV688" s="536" t="str">
        <f t="shared" si="1987"/>
        <v/>
      </c>
      <c r="CW688" s="536" t="str">
        <f t="shared" si="1987"/>
        <v/>
      </c>
      <c r="CX688" s="535" t="str">
        <f t="shared" ref="CX688:DD691" si="198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1988"/>
        <v/>
      </c>
      <c r="CZ688" s="535" t="str">
        <f t="shared" si="1988"/>
        <v/>
      </c>
      <c r="DA688" s="535" t="str">
        <f t="shared" si="1988"/>
        <v/>
      </c>
      <c r="DB688" s="535" t="str">
        <f t="shared" si="1988"/>
        <v/>
      </c>
      <c r="DC688" s="534" t="str">
        <f t="shared" si="1988"/>
        <v/>
      </c>
      <c r="DD688" s="533" t="str">
        <f t="shared" si="198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198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1989"/>
        <v/>
      </c>
      <c r="CG689" s="989" t="str">
        <f t="shared" si="1989"/>
        <v/>
      </c>
      <c r="CH689" s="990" t="str">
        <f t="shared" si="1989"/>
        <v/>
      </c>
      <c r="CI689" s="990" t="str">
        <f t="shared" si="1989"/>
        <v/>
      </c>
      <c r="CJ689" s="989" t="str">
        <f t="shared" si="1989"/>
        <v/>
      </c>
      <c r="CK689" s="989" t="str">
        <f t="shared" si="1989"/>
        <v/>
      </c>
      <c r="CL689" s="989" t="str">
        <f t="shared" si="1989"/>
        <v/>
      </c>
      <c r="CM689" s="988" t="str">
        <f t="shared" si="1989"/>
        <v/>
      </c>
      <c r="CN689" s="533" t="str">
        <f t="shared" si="1987"/>
        <v/>
      </c>
      <c r="CO689" s="534" t="str">
        <f t="shared" si="1987"/>
        <v/>
      </c>
      <c r="CP689" s="535" t="str">
        <f t="shared" si="1987"/>
        <v/>
      </c>
      <c r="CQ689" s="535" t="str">
        <f t="shared" si="1987"/>
        <v/>
      </c>
      <c r="CR689" s="535" t="str">
        <f t="shared" si="1987"/>
        <v/>
      </c>
      <c r="CS689" s="535" t="str">
        <f t="shared" si="1987"/>
        <v/>
      </c>
      <c r="CT689" s="535" t="str">
        <f t="shared" si="1987"/>
        <v/>
      </c>
      <c r="CU689" s="536" t="str">
        <f t="shared" si="1987"/>
        <v/>
      </c>
      <c r="CV689" s="536" t="str">
        <f t="shared" si="1987"/>
        <v/>
      </c>
      <c r="CW689" s="536" t="str">
        <f t="shared" si="1987"/>
        <v/>
      </c>
      <c r="CX689" s="535" t="str">
        <f t="shared" si="1988"/>
        <v/>
      </c>
      <c r="CY689" s="535" t="str">
        <f t="shared" si="1988"/>
        <v/>
      </c>
      <c r="CZ689" s="535" t="str">
        <f t="shared" si="1988"/>
        <v/>
      </c>
      <c r="DA689" s="535" t="str">
        <f t="shared" si="1988"/>
        <v/>
      </c>
      <c r="DB689" s="535" t="str">
        <f t="shared" si="1988"/>
        <v/>
      </c>
      <c r="DC689" s="534" t="str">
        <f t="shared" si="1988"/>
        <v/>
      </c>
      <c r="DD689" s="533" t="str">
        <f t="shared" si="198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1990">3620*$K$1</f>
        <v>15156.216</v>
      </c>
      <c r="D690" s="740">
        <f t="shared" si="1990"/>
        <v>15156.216</v>
      </c>
      <c r="E690" s="740">
        <f t="shared" si="1990"/>
        <v>15156.216</v>
      </c>
      <c r="F690" s="740">
        <f t="shared" si="1990"/>
        <v>15156.216</v>
      </c>
      <c r="G690" s="740">
        <f t="shared" si="1990"/>
        <v>15156.216</v>
      </c>
      <c r="H690" s="740">
        <f t="shared" si="1990"/>
        <v>15156.216</v>
      </c>
      <c r="I690" s="740">
        <f t="shared" si="1990"/>
        <v>15156.216</v>
      </c>
      <c r="J690" s="740">
        <f t="shared" si="1990"/>
        <v>15156.216</v>
      </c>
      <c r="K690" s="740">
        <f t="shared" si="199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1991">3620*$K$1</f>
        <v>15156.216</v>
      </c>
      <c r="V690" s="740">
        <f t="shared" si="1991"/>
        <v>15156.216</v>
      </c>
      <c r="W690" s="740">
        <f t="shared" si="1991"/>
        <v>15156.216</v>
      </c>
      <c r="X690" s="740">
        <f t="shared" si="1991"/>
        <v>15156.216</v>
      </c>
      <c r="Y690" s="740">
        <f t="shared" si="1991"/>
        <v>15156.216</v>
      </c>
      <c r="Z690" s="740">
        <f t="shared" si="1991"/>
        <v>15156.216</v>
      </c>
      <c r="AA690" s="740">
        <f t="shared" si="1991"/>
        <v>15156.216</v>
      </c>
      <c r="AB690" s="740">
        <f t="shared" si="1991"/>
        <v>15156.216</v>
      </c>
      <c r="AC690" s="740">
        <f t="shared" si="199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1992">3620*$K$1</f>
        <v>15156.216</v>
      </c>
      <c r="AN690" s="740">
        <f t="shared" si="1992"/>
        <v>15156.216</v>
      </c>
      <c r="AO690" s="740">
        <f t="shared" si="1992"/>
        <v>15156.216</v>
      </c>
      <c r="AP690" s="740">
        <f t="shared" si="1992"/>
        <v>15156.216</v>
      </c>
      <c r="AQ690" s="740">
        <f t="shared" si="1992"/>
        <v>15156.216</v>
      </c>
      <c r="AR690" s="740">
        <f t="shared" si="1992"/>
        <v>15156.216</v>
      </c>
      <c r="AS690" s="740">
        <f t="shared" si="1992"/>
        <v>15156.216</v>
      </c>
      <c r="AT690" s="740">
        <f t="shared" si="1992"/>
        <v>15156.216</v>
      </c>
      <c r="AU690" s="740">
        <f t="shared" si="199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1993">3620*$K$1</f>
        <v>15156.216</v>
      </c>
      <c r="BF690" s="1236">
        <f t="shared" si="1993"/>
        <v>15156.216</v>
      </c>
      <c r="BG690" s="1236">
        <f t="shared" si="1993"/>
        <v>15156.216</v>
      </c>
      <c r="BH690" s="1236">
        <f t="shared" si="1993"/>
        <v>15156.216</v>
      </c>
      <c r="BI690" s="1236">
        <f t="shared" si="1993"/>
        <v>15156.216</v>
      </c>
      <c r="BJ690" s="1236">
        <f t="shared" si="1993"/>
        <v>15156.216</v>
      </c>
      <c r="BK690" s="1236">
        <f t="shared" si="1993"/>
        <v>15156.216</v>
      </c>
      <c r="BL690" s="1236">
        <f t="shared" si="1993"/>
        <v>15156.216</v>
      </c>
      <c r="BM690" s="1236">
        <f t="shared" si="199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>3620*$K$1</f>
        <v>15156.216</v>
      </c>
      <c r="BW690" s="740">
        <f>3620*$K$1</f>
        <v>15156.216</v>
      </c>
      <c r="BX690" s="740">
        <f>3620*$K$1</f>
        <v>15156.216</v>
      </c>
      <c r="BY690" s="740">
        <f>3620*$K$1</f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1989"/>
        <v>15156.216</v>
      </c>
      <c r="CF690" s="989">
        <f t="shared" si="1989"/>
        <v>15156.216</v>
      </c>
      <c r="CG690" s="989">
        <f t="shared" si="1989"/>
        <v>15156.216</v>
      </c>
      <c r="CH690" s="990">
        <f t="shared" si="1989"/>
        <v>15156.216</v>
      </c>
      <c r="CI690" s="990">
        <f t="shared" si="1989"/>
        <v>15156.216</v>
      </c>
      <c r="CJ690" s="989">
        <f t="shared" si="1989"/>
        <v>15156.216</v>
      </c>
      <c r="CK690" s="989">
        <f t="shared" si="1989"/>
        <v>15156.216</v>
      </c>
      <c r="CL690" s="989">
        <f t="shared" si="1989"/>
        <v>15156.216</v>
      </c>
      <c r="CM690" s="988">
        <f t="shared" si="1989"/>
        <v>15156.216</v>
      </c>
      <c r="CN690" s="533" t="str">
        <f t="shared" si="1987"/>
        <v/>
      </c>
      <c r="CO690" s="534" t="str">
        <f t="shared" si="1987"/>
        <v/>
      </c>
      <c r="CP690" s="535" t="str">
        <f t="shared" si="1987"/>
        <v/>
      </c>
      <c r="CQ690" s="535" t="str">
        <f t="shared" si="1987"/>
        <v/>
      </c>
      <c r="CR690" s="535">
        <f t="shared" si="1987"/>
        <v>15156.216</v>
      </c>
      <c r="CS690" s="535">
        <f t="shared" si="1987"/>
        <v>15156.216</v>
      </c>
      <c r="CT690" s="535">
        <f t="shared" si="1987"/>
        <v>15156.216</v>
      </c>
      <c r="CU690" s="536">
        <f t="shared" si="1987"/>
        <v>15156.216</v>
      </c>
      <c r="CV690" s="536">
        <f t="shared" si="1987"/>
        <v>15156.216</v>
      </c>
      <c r="CW690" s="536">
        <f t="shared" si="1987"/>
        <v>15156.216</v>
      </c>
      <c r="CX690" s="535">
        <f t="shared" si="1988"/>
        <v>15156.216</v>
      </c>
      <c r="CY690" s="535">
        <f t="shared" si="1988"/>
        <v>15156.216</v>
      </c>
      <c r="CZ690" s="535">
        <f t="shared" si="1988"/>
        <v>15156.216</v>
      </c>
      <c r="DA690" s="535">
        <f t="shared" si="1988"/>
        <v>15156.216</v>
      </c>
      <c r="DB690" s="535" t="str">
        <f t="shared" si="1988"/>
        <v/>
      </c>
      <c r="DC690" s="534" t="str">
        <f t="shared" si="1988"/>
        <v/>
      </c>
      <c r="DD690" s="533" t="str">
        <f t="shared" si="198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1994">IF(B688="","",B688*B689*B690/B$46/365/$G$1)</f>
        <v/>
      </c>
      <c r="C691" s="615" t="str">
        <f t="shared" si="1994"/>
        <v/>
      </c>
      <c r="D691" s="615" t="str">
        <f t="shared" si="1994"/>
        <v/>
      </c>
      <c r="E691" s="615" t="str">
        <f t="shared" si="1994"/>
        <v/>
      </c>
      <c r="F691" s="615" t="str">
        <f t="shared" si="1994"/>
        <v/>
      </c>
      <c r="G691" s="615" t="str">
        <f t="shared" si="1994"/>
        <v/>
      </c>
      <c r="H691" s="615" t="str">
        <f t="shared" si="1994"/>
        <v/>
      </c>
      <c r="I691" s="615" t="str">
        <f t="shared" si="1994"/>
        <v/>
      </c>
      <c r="J691" s="615" t="str">
        <f t="shared" si="1994"/>
        <v/>
      </c>
      <c r="K691" s="615" t="str">
        <f t="shared" si="1994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1995">IF(T688="","",T688*T689*T690/T$46/365/$G$1)</f>
        <v/>
      </c>
      <c r="U691" s="615" t="str">
        <f t="shared" si="1995"/>
        <v/>
      </c>
      <c r="V691" s="615" t="str">
        <f t="shared" si="1995"/>
        <v/>
      </c>
      <c r="W691" s="615" t="str">
        <f t="shared" si="1995"/>
        <v/>
      </c>
      <c r="X691" s="615" t="str">
        <f t="shared" si="1995"/>
        <v/>
      </c>
      <c r="Y691" s="615" t="str">
        <f t="shared" si="1995"/>
        <v/>
      </c>
      <c r="Z691" s="615" t="str">
        <f t="shared" si="1995"/>
        <v/>
      </c>
      <c r="AA691" s="615" t="str">
        <f t="shared" si="1995"/>
        <v/>
      </c>
      <c r="AB691" s="615" t="str">
        <f t="shared" si="1995"/>
        <v/>
      </c>
      <c r="AC691" s="615" t="str">
        <f t="shared" si="1995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1996">IF(AL688="","",AL688*AL689*AL690/AL$46/365/$G$1)</f>
        <v/>
      </c>
      <c r="AM691" s="615" t="str">
        <f t="shared" si="1996"/>
        <v/>
      </c>
      <c r="AN691" s="615" t="str">
        <f t="shared" si="1996"/>
        <v/>
      </c>
      <c r="AO691" s="615" t="str">
        <f t="shared" si="1996"/>
        <v/>
      </c>
      <c r="AP691" s="615" t="str">
        <f t="shared" si="1996"/>
        <v/>
      </c>
      <c r="AQ691" s="615" t="str">
        <f t="shared" si="1996"/>
        <v/>
      </c>
      <c r="AR691" s="615" t="str">
        <f t="shared" si="1996"/>
        <v/>
      </c>
      <c r="AS691" s="615" t="str">
        <f t="shared" si="1996"/>
        <v/>
      </c>
      <c r="AT691" s="615" t="str">
        <f t="shared" si="1996"/>
        <v/>
      </c>
      <c r="AU691" s="615" t="str">
        <f t="shared" si="1996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1997">IF(BD688="","",BD688*BD689*BD690/BD$46/365/$G$1)</f>
        <v/>
      </c>
      <c r="BE691" s="1202" t="str">
        <f t="shared" si="1997"/>
        <v/>
      </c>
      <c r="BF691" s="1202" t="str">
        <f t="shared" si="1997"/>
        <v/>
      </c>
      <c r="BG691" s="1202" t="str">
        <f t="shared" si="1997"/>
        <v/>
      </c>
      <c r="BH691" s="1202" t="str">
        <f t="shared" si="1997"/>
        <v/>
      </c>
      <c r="BI691" s="1202" t="str">
        <f t="shared" si="1997"/>
        <v/>
      </c>
      <c r="BJ691" s="1202" t="str">
        <f t="shared" si="1997"/>
        <v/>
      </c>
      <c r="BK691" s="1202" t="str">
        <f t="shared" si="1997"/>
        <v/>
      </c>
      <c r="BL691" s="1202" t="str">
        <f t="shared" si="1997"/>
        <v/>
      </c>
      <c r="BM691" s="1202" t="str">
        <f t="shared" si="1997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1989"/>
        <v/>
      </c>
      <c r="CF691" s="992" t="str">
        <f t="shared" si="1989"/>
        <v/>
      </c>
      <c r="CG691" s="992" t="str">
        <f t="shared" si="1989"/>
        <v/>
      </c>
      <c r="CH691" s="993" t="str">
        <f t="shared" si="1989"/>
        <v/>
      </c>
      <c r="CI691" s="993" t="str">
        <f t="shared" si="1989"/>
        <v/>
      </c>
      <c r="CJ691" s="992" t="str">
        <f t="shared" si="1989"/>
        <v/>
      </c>
      <c r="CK691" s="992" t="str">
        <f t="shared" si="1989"/>
        <v/>
      </c>
      <c r="CL691" s="992" t="str">
        <f t="shared" si="1989"/>
        <v/>
      </c>
      <c r="CM691" s="991" t="str">
        <f t="shared" si="1989"/>
        <v/>
      </c>
      <c r="CN691" s="521" t="str">
        <f t="shared" si="1987"/>
        <v/>
      </c>
      <c r="CO691" s="522" t="str">
        <f t="shared" si="1987"/>
        <v/>
      </c>
      <c r="CP691" s="523" t="str">
        <f t="shared" si="1987"/>
        <v/>
      </c>
      <c r="CQ691" s="523" t="str">
        <f t="shared" si="1987"/>
        <v/>
      </c>
      <c r="CR691" s="523" t="str">
        <f t="shared" si="1987"/>
        <v/>
      </c>
      <c r="CS691" s="523" t="str">
        <f t="shared" si="1987"/>
        <v/>
      </c>
      <c r="CT691" s="523" t="str">
        <f t="shared" si="1987"/>
        <v/>
      </c>
      <c r="CU691" s="524" t="str">
        <f t="shared" si="1987"/>
        <v/>
      </c>
      <c r="CV691" s="524" t="str">
        <f t="shared" si="1987"/>
        <v/>
      </c>
      <c r="CW691" s="524" t="str">
        <f t="shared" si="1987"/>
        <v/>
      </c>
      <c r="CX691" s="523" t="str">
        <f t="shared" si="1988"/>
        <v/>
      </c>
      <c r="CY691" s="523" t="str">
        <f t="shared" si="1988"/>
        <v/>
      </c>
      <c r="CZ691" s="523" t="str">
        <f t="shared" si="1988"/>
        <v/>
      </c>
      <c r="DA691" s="523" t="str">
        <f t="shared" si="1988"/>
        <v/>
      </c>
      <c r="DB691" s="523" t="str">
        <f t="shared" si="1988"/>
        <v/>
      </c>
      <c r="DC691" s="522" t="str">
        <f t="shared" si="1988"/>
        <v/>
      </c>
      <c r="DD691" s="521" t="str">
        <f t="shared" si="198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1998">IF(DE693&lt;3,"",(SUM(B693:R693)-MIN(B693:R693)-MAX(B693:R693))/(DE693-2))</f>
        <v/>
      </c>
      <c r="CA693" s="582" t="str">
        <f t="shared" ref="CA693:CA701" si="1999">IF(DF693&lt;3,"",(SUM(T693:AJ693)-MIN(T693:AJ693)-MAX(T693:AJ693))/(DF693-2))</f>
        <v/>
      </c>
      <c r="CB693" s="582" t="str">
        <f t="shared" ref="CB693:CB701" si="2000">IF(DG693&lt;3,"",(SUM(AL693:BB693)-MIN(AL693:BB693)-MAX(AL693:BB693))/(DG693-2))</f>
        <v/>
      </c>
      <c r="CC693" s="670" t="str">
        <f t="shared" ref="CC693:CC701" si="2001">IF(DH693&lt;3,"",(SUM(BD693:BT693)-MIN(BD693:BT693)-MAX(BD693:BT693))/(DH693-2))</f>
        <v/>
      </c>
      <c r="CD693" s="988" t="str">
        <f t="shared" ref="CD693:CM693" si="20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002"/>
        <v/>
      </c>
      <c r="CF693" s="989" t="str">
        <f t="shared" si="2002"/>
        <v/>
      </c>
      <c r="CG693" s="989" t="str">
        <f t="shared" si="2002"/>
        <v/>
      </c>
      <c r="CH693" s="990" t="str">
        <f t="shared" si="2002"/>
        <v/>
      </c>
      <c r="CI693" s="990" t="str">
        <f t="shared" si="2002"/>
        <v/>
      </c>
      <c r="CJ693" s="989" t="str">
        <f t="shared" si="2002"/>
        <v/>
      </c>
      <c r="CK693" s="989" t="str">
        <f t="shared" si="2002"/>
        <v/>
      </c>
      <c r="CL693" s="989" t="str">
        <f t="shared" si="2002"/>
        <v/>
      </c>
      <c r="CM693" s="988" t="str">
        <f t="shared" si="2002"/>
        <v/>
      </c>
      <c r="CN693" s="533" t="str">
        <f t="shared" ref="CN693:CW696" si="200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003"/>
        <v/>
      </c>
      <c r="CP693" s="535" t="str">
        <f t="shared" si="2003"/>
        <v/>
      </c>
      <c r="CQ693" s="535" t="str">
        <f t="shared" si="2003"/>
        <v/>
      </c>
      <c r="CR693" s="535" t="str">
        <f t="shared" si="2003"/>
        <v/>
      </c>
      <c r="CS693" s="535" t="str">
        <f t="shared" si="2003"/>
        <v/>
      </c>
      <c r="CT693" s="535" t="str">
        <f t="shared" si="2003"/>
        <v/>
      </c>
      <c r="CU693" s="536" t="str">
        <f t="shared" si="2003"/>
        <v/>
      </c>
      <c r="CV693" s="536" t="str">
        <f t="shared" si="2003"/>
        <v/>
      </c>
      <c r="CW693" s="536" t="str">
        <f t="shared" si="2003"/>
        <v/>
      </c>
      <c r="CX693" s="535" t="str">
        <f t="shared" ref="CX693:DD696" si="200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004"/>
        <v/>
      </c>
      <c r="CZ693" s="535" t="str">
        <f t="shared" si="2004"/>
        <v/>
      </c>
      <c r="DA693" s="535" t="str">
        <f t="shared" si="2004"/>
        <v/>
      </c>
      <c r="DB693" s="535" t="str">
        <f t="shared" si="2004"/>
        <v/>
      </c>
      <c r="DC693" s="534" t="str">
        <f t="shared" si="2004"/>
        <v/>
      </c>
      <c r="DD693" s="533" t="str">
        <f t="shared" si="2004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1998"/>
        <v/>
      </c>
      <c r="CA694" s="582" t="str">
        <f t="shared" si="1999"/>
        <v/>
      </c>
      <c r="CB694" s="582" t="str">
        <f t="shared" si="2000"/>
        <v/>
      </c>
      <c r="CC694" s="670" t="str">
        <f t="shared" si="2001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00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005"/>
        <v/>
      </c>
      <c r="CG694" s="989" t="str">
        <f t="shared" si="2005"/>
        <v/>
      </c>
      <c r="CH694" s="990" t="str">
        <f t="shared" si="2005"/>
        <v/>
      </c>
      <c r="CI694" s="990" t="str">
        <f t="shared" si="2005"/>
        <v/>
      </c>
      <c r="CJ694" s="989" t="str">
        <f t="shared" si="2005"/>
        <v/>
      </c>
      <c r="CK694" s="989" t="str">
        <f t="shared" si="2005"/>
        <v/>
      </c>
      <c r="CL694" s="989" t="str">
        <f t="shared" si="2005"/>
        <v/>
      </c>
      <c r="CM694" s="988" t="str">
        <f t="shared" si="2005"/>
        <v/>
      </c>
      <c r="CN694" s="533" t="str">
        <f t="shared" si="2003"/>
        <v/>
      </c>
      <c r="CO694" s="534" t="str">
        <f t="shared" si="2003"/>
        <v/>
      </c>
      <c r="CP694" s="535" t="str">
        <f t="shared" si="2003"/>
        <v/>
      </c>
      <c r="CQ694" s="535" t="str">
        <f t="shared" si="2003"/>
        <v/>
      </c>
      <c r="CR694" s="535" t="str">
        <f t="shared" si="2003"/>
        <v/>
      </c>
      <c r="CS694" s="535" t="str">
        <f t="shared" si="2003"/>
        <v/>
      </c>
      <c r="CT694" s="535" t="str">
        <f t="shared" si="2003"/>
        <v/>
      </c>
      <c r="CU694" s="536" t="str">
        <f t="shared" si="2003"/>
        <v/>
      </c>
      <c r="CV694" s="536" t="str">
        <f t="shared" si="2003"/>
        <v/>
      </c>
      <c r="CW694" s="536" t="str">
        <f t="shared" si="2003"/>
        <v/>
      </c>
      <c r="CX694" s="535" t="str">
        <f t="shared" si="2004"/>
        <v/>
      </c>
      <c r="CY694" s="535" t="str">
        <f t="shared" si="2004"/>
        <v/>
      </c>
      <c r="CZ694" s="535" t="str">
        <f t="shared" si="2004"/>
        <v/>
      </c>
      <c r="DA694" s="535" t="str">
        <f t="shared" si="2004"/>
        <v/>
      </c>
      <c r="DB694" s="535" t="str">
        <f t="shared" si="2004"/>
        <v/>
      </c>
      <c r="DC694" s="534" t="str">
        <f t="shared" si="2004"/>
        <v/>
      </c>
      <c r="DD694" s="533" t="str">
        <f t="shared" si="2004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006">4000*$K$1</f>
        <v>16747.2</v>
      </c>
      <c r="D695" s="740">
        <f t="shared" si="2006"/>
        <v>16747.2</v>
      </c>
      <c r="E695" s="740">
        <f t="shared" si="2006"/>
        <v>16747.2</v>
      </c>
      <c r="F695" s="740">
        <f t="shared" si="2006"/>
        <v>16747.2</v>
      </c>
      <c r="G695" s="740">
        <f t="shared" si="2006"/>
        <v>16747.2</v>
      </c>
      <c r="H695" s="740">
        <f t="shared" si="2006"/>
        <v>16747.2</v>
      </c>
      <c r="I695" s="740">
        <f t="shared" si="2006"/>
        <v>16747.2</v>
      </c>
      <c r="J695" s="740">
        <f t="shared" si="2006"/>
        <v>16747.2</v>
      </c>
      <c r="K695" s="740">
        <f t="shared" si="2006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007">4000*$K$1</f>
        <v>16747.2</v>
      </c>
      <c r="V695" s="740">
        <f t="shared" si="2007"/>
        <v>16747.2</v>
      </c>
      <c r="W695" s="740">
        <f t="shared" si="2007"/>
        <v>16747.2</v>
      </c>
      <c r="X695" s="740">
        <f t="shared" si="2007"/>
        <v>16747.2</v>
      </c>
      <c r="Y695" s="740">
        <f t="shared" si="2007"/>
        <v>16747.2</v>
      </c>
      <c r="Z695" s="740">
        <f t="shared" si="2007"/>
        <v>16747.2</v>
      </c>
      <c r="AA695" s="740">
        <f t="shared" si="2007"/>
        <v>16747.2</v>
      </c>
      <c r="AB695" s="740">
        <f t="shared" si="2007"/>
        <v>16747.2</v>
      </c>
      <c r="AC695" s="740">
        <f t="shared" si="2007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008">4000*$K$1</f>
        <v>16747.2</v>
      </c>
      <c r="AN695" s="740">
        <f t="shared" si="2008"/>
        <v>16747.2</v>
      </c>
      <c r="AO695" s="740">
        <f t="shared" si="2008"/>
        <v>16747.2</v>
      </c>
      <c r="AP695" s="740">
        <f t="shared" si="2008"/>
        <v>16747.2</v>
      </c>
      <c r="AQ695" s="740">
        <f t="shared" si="2008"/>
        <v>16747.2</v>
      </c>
      <c r="AR695" s="740">
        <f t="shared" si="2008"/>
        <v>16747.2</v>
      </c>
      <c r="AS695" s="740">
        <f t="shared" si="2008"/>
        <v>16747.2</v>
      </c>
      <c r="AT695" s="740">
        <f t="shared" si="2008"/>
        <v>16747.2</v>
      </c>
      <c r="AU695" s="740">
        <f t="shared" si="2008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009">4000*$K$1</f>
        <v>16747.2</v>
      </c>
      <c r="BF695" s="1236">
        <f t="shared" si="2009"/>
        <v>16747.2</v>
      </c>
      <c r="BG695" s="1236">
        <f t="shared" si="2009"/>
        <v>16747.2</v>
      </c>
      <c r="BH695" s="1236">
        <f t="shared" si="2009"/>
        <v>16747.2</v>
      </c>
      <c r="BI695" s="1236">
        <f t="shared" si="2009"/>
        <v>16747.2</v>
      </c>
      <c r="BJ695" s="1236">
        <f t="shared" si="2009"/>
        <v>16747.2</v>
      </c>
      <c r="BK695" s="1236">
        <f t="shared" si="2009"/>
        <v>16747.2</v>
      </c>
      <c r="BL695" s="1236">
        <f t="shared" si="2009"/>
        <v>16747.2</v>
      </c>
      <c r="BM695" s="1236">
        <f t="shared" si="2009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>4000*$K$1</f>
        <v>16747.2</v>
      </c>
      <c r="BW695" s="740">
        <f>4000*$K$1</f>
        <v>16747.2</v>
      </c>
      <c r="BX695" s="740">
        <f>4000*$K$1</f>
        <v>16747.2</v>
      </c>
      <c r="BY695" s="740">
        <f>4000*$K$1</f>
        <v>16747.2</v>
      </c>
      <c r="BZ695" s="582">
        <f t="shared" si="1998"/>
        <v>16747.2</v>
      </c>
      <c r="CA695" s="582">
        <f t="shared" si="1999"/>
        <v>16747.2</v>
      </c>
      <c r="CB695" s="582">
        <f t="shared" si="2000"/>
        <v>16747.2</v>
      </c>
      <c r="CC695" s="670">
        <f t="shared" si="2001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005"/>
        <v>16747.2</v>
      </c>
      <c r="CF695" s="989">
        <f t="shared" si="2005"/>
        <v>16747.2</v>
      </c>
      <c r="CG695" s="989">
        <f t="shared" si="2005"/>
        <v>16747.2</v>
      </c>
      <c r="CH695" s="990">
        <f t="shared" si="2005"/>
        <v>16747.2</v>
      </c>
      <c r="CI695" s="990">
        <f t="shared" si="2005"/>
        <v>16747.2</v>
      </c>
      <c r="CJ695" s="989">
        <f t="shared" si="2005"/>
        <v>16747.2</v>
      </c>
      <c r="CK695" s="989">
        <f t="shared" si="2005"/>
        <v>16747.2</v>
      </c>
      <c r="CL695" s="989">
        <f t="shared" si="2005"/>
        <v>16747.2</v>
      </c>
      <c r="CM695" s="988">
        <f t="shared" si="2005"/>
        <v>16747.2</v>
      </c>
      <c r="CN695" s="533" t="str">
        <f t="shared" si="2003"/>
        <v/>
      </c>
      <c r="CO695" s="534" t="str">
        <f t="shared" si="2003"/>
        <v/>
      </c>
      <c r="CP695" s="535" t="str">
        <f t="shared" si="2003"/>
        <v/>
      </c>
      <c r="CQ695" s="535" t="str">
        <f t="shared" si="2003"/>
        <v/>
      </c>
      <c r="CR695" s="535">
        <f t="shared" si="2003"/>
        <v>16747.2</v>
      </c>
      <c r="CS695" s="535">
        <f t="shared" si="2003"/>
        <v>16747.2</v>
      </c>
      <c r="CT695" s="535">
        <f t="shared" si="2003"/>
        <v>16747.2</v>
      </c>
      <c r="CU695" s="536">
        <f t="shared" si="2003"/>
        <v>16747.2</v>
      </c>
      <c r="CV695" s="536">
        <f t="shared" si="2003"/>
        <v>16747.2</v>
      </c>
      <c r="CW695" s="536">
        <f t="shared" si="2003"/>
        <v>16747.2</v>
      </c>
      <c r="CX695" s="535">
        <f t="shared" si="2004"/>
        <v>16747.2</v>
      </c>
      <c r="CY695" s="535">
        <f t="shared" si="2004"/>
        <v>16747.2</v>
      </c>
      <c r="CZ695" s="535">
        <f t="shared" si="2004"/>
        <v>16747.2</v>
      </c>
      <c r="DA695" s="535">
        <f t="shared" si="2004"/>
        <v>16747.2</v>
      </c>
      <c r="DB695" s="535" t="str">
        <f t="shared" si="2004"/>
        <v/>
      </c>
      <c r="DC695" s="534" t="str">
        <f t="shared" si="2004"/>
        <v/>
      </c>
      <c r="DD695" s="533" t="str">
        <f t="shared" si="2004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010">IF(B693="","",B693*B694*B695/B$46/365/$G$1)</f>
        <v/>
      </c>
      <c r="C696" s="615" t="str">
        <f t="shared" si="2010"/>
        <v/>
      </c>
      <c r="D696" s="615" t="str">
        <f t="shared" si="2010"/>
        <v/>
      </c>
      <c r="E696" s="615" t="str">
        <f t="shared" si="2010"/>
        <v/>
      </c>
      <c r="F696" s="615" t="str">
        <f t="shared" si="2010"/>
        <v/>
      </c>
      <c r="G696" s="615" t="str">
        <f t="shared" si="2010"/>
        <v/>
      </c>
      <c r="H696" s="615" t="str">
        <f t="shared" si="2010"/>
        <v/>
      </c>
      <c r="I696" s="615" t="str">
        <f t="shared" si="2010"/>
        <v/>
      </c>
      <c r="J696" s="615" t="str">
        <f t="shared" si="2010"/>
        <v/>
      </c>
      <c r="K696" s="615" t="str">
        <f t="shared" si="2010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011">IF(T693="","",T693*T694*T695/T$46/365/$G$1)</f>
        <v/>
      </c>
      <c r="U696" s="615" t="str">
        <f t="shared" si="2011"/>
        <v/>
      </c>
      <c r="V696" s="615" t="str">
        <f t="shared" si="2011"/>
        <v/>
      </c>
      <c r="W696" s="615" t="str">
        <f t="shared" si="2011"/>
        <v/>
      </c>
      <c r="X696" s="615" t="str">
        <f t="shared" si="2011"/>
        <v/>
      </c>
      <c r="Y696" s="615" t="str">
        <f t="shared" si="2011"/>
        <v/>
      </c>
      <c r="Z696" s="615" t="str">
        <f t="shared" si="2011"/>
        <v/>
      </c>
      <c r="AA696" s="615" t="str">
        <f t="shared" si="2011"/>
        <v/>
      </c>
      <c r="AB696" s="615" t="str">
        <f t="shared" si="2011"/>
        <v/>
      </c>
      <c r="AC696" s="615" t="str">
        <f t="shared" si="2011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012">IF(AL693="","",AL693*AL694*AL695/AL$46/365/$G$1)</f>
        <v/>
      </c>
      <c r="AM696" s="615" t="str">
        <f t="shared" si="2012"/>
        <v/>
      </c>
      <c r="AN696" s="615" t="str">
        <f t="shared" si="2012"/>
        <v/>
      </c>
      <c r="AO696" s="615" t="str">
        <f t="shared" si="2012"/>
        <v/>
      </c>
      <c r="AP696" s="615" t="str">
        <f t="shared" si="2012"/>
        <v/>
      </c>
      <c r="AQ696" s="615" t="str">
        <f t="shared" si="2012"/>
        <v/>
      </c>
      <c r="AR696" s="615" t="str">
        <f t="shared" si="2012"/>
        <v/>
      </c>
      <c r="AS696" s="615" t="str">
        <f t="shared" si="2012"/>
        <v/>
      </c>
      <c r="AT696" s="615" t="str">
        <f t="shared" si="2012"/>
        <v/>
      </c>
      <c r="AU696" s="615" t="str">
        <f t="shared" si="2012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013">IF(BD693="","",BD693*BD694*BD695/BD$46/365/$G$1)</f>
        <v/>
      </c>
      <c r="BE696" s="1202" t="str">
        <f t="shared" si="2013"/>
        <v/>
      </c>
      <c r="BF696" s="1202" t="str">
        <f t="shared" si="2013"/>
        <v/>
      </c>
      <c r="BG696" s="1202" t="str">
        <f t="shared" si="2013"/>
        <v/>
      </c>
      <c r="BH696" s="1202" t="str">
        <f t="shared" si="2013"/>
        <v/>
      </c>
      <c r="BI696" s="1202" t="str">
        <f t="shared" si="2013"/>
        <v/>
      </c>
      <c r="BJ696" s="1202" t="str">
        <f t="shared" si="2013"/>
        <v/>
      </c>
      <c r="BK696" s="1202" t="str">
        <f t="shared" si="2013"/>
        <v/>
      </c>
      <c r="BL696" s="1202" t="str">
        <f t="shared" si="2013"/>
        <v/>
      </c>
      <c r="BM696" s="1202" t="str">
        <f t="shared" si="2013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1998"/>
        <v/>
      </c>
      <c r="CA696" s="607" t="str">
        <f t="shared" si="1999"/>
        <v/>
      </c>
      <c r="CB696" s="607" t="str">
        <f t="shared" si="2000"/>
        <v/>
      </c>
      <c r="CC696" s="673" t="str">
        <f t="shared" si="2001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005"/>
        <v/>
      </c>
      <c r="CF696" s="992" t="str">
        <f t="shared" si="2005"/>
        <v/>
      </c>
      <c r="CG696" s="992" t="str">
        <f t="shared" si="2005"/>
        <v/>
      </c>
      <c r="CH696" s="993" t="str">
        <f t="shared" si="2005"/>
        <v/>
      </c>
      <c r="CI696" s="993" t="str">
        <f t="shared" si="2005"/>
        <v/>
      </c>
      <c r="CJ696" s="992" t="str">
        <f t="shared" si="2005"/>
        <v/>
      </c>
      <c r="CK696" s="992" t="str">
        <f t="shared" si="2005"/>
        <v/>
      </c>
      <c r="CL696" s="992" t="str">
        <f t="shared" si="2005"/>
        <v/>
      </c>
      <c r="CM696" s="991" t="str">
        <f t="shared" si="2005"/>
        <v/>
      </c>
      <c r="CN696" s="521" t="str">
        <f t="shared" si="2003"/>
        <v/>
      </c>
      <c r="CO696" s="522" t="str">
        <f t="shared" si="2003"/>
        <v/>
      </c>
      <c r="CP696" s="523" t="str">
        <f t="shared" si="2003"/>
        <v/>
      </c>
      <c r="CQ696" s="523" t="str">
        <f t="shared" si="2003"/>
        <v/>
      </c>
      <c r="CR696" s="523" t="str">
        <f t="shared" si="2003"/>
        <v/>
      </c>
      <c r="CS696" s="523" t="str">
        <f t="shared" si="2003"/>
        <v/>
      </c>
      <c r="CT696" s="523" t="str">
        <f t="shared" si="2003"/>
        <v/>
      </c>
      <c r="CU696" s="524" t="str">
        <f t="shared" si="2003"/>
        <v/>
      </c>
      <c r="CV696" s="524" t="str">
        <f t="shared" si="2003"/>
        <v/>
      </c>
      <c r="CW696" s="524" t="str">
        <f t="shared" si="2003"/>
        <v/>
      </c>
      <c r="CX696" s="523" t="str">
        <f t="shared" si="2004"/>
        <v/>
      </c>
      <c r="CY696" s="523" t="str">
        <f t="shared" si="2004"/>
        <v/>
      </c>
      <c r="CZ696" s="523" t="str">
        <f t="shared" si="2004"/>
        <v/>
      </c>
      <c r="DA696" s="523" t="str">
        <f t="shared" si="2004"/>
        <v/>
      </c>
      <c r="DB696" s="523" t="str">
        <f t="shared" si="2004"/>
        <v/>
      </c>
      <c r="DC696" s="522" t="str">
        <f t="shared" si="2004"/>
        <v/>
      </c>
      <c r="DD696" s="521" t="str">
        <f t="shared" si="2004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1998"/>
        <v/>
      </c>
      <c r="CA697" s="574" t="str">
        <f t="shared" si="1999"/>
        <v/>
      </c>
      <c r="CB697" s="574" t="str">
        <f t="shared" si="2000"/>
        <v/>
      </c>
      <c r="CC697" s="669" t="str">
        <f t="shared" si="2001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1998"/>
        <v/>
      </c>
      <c r="CA698" s="582" t="str">
        <f t="shared" si="1999"/>
        <v/>
      </c>
      <c r="CB698" s="582" t="str">
        <f t="shared" si="2000"/>
        <v/>
      </c>
      <c r="CC698" s="670" t="str">
        <f t="shared" si="2001"/>
        <v/>
      </c>
      <c r="CD698" s="988" t="str">
        <f t="shared" ref="CD698:CM698" si="20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014"/>
        <v/>
      </c>
      <c r="CF698" s="989" t="str">
        <f t="shared" si="2014"/>
        <v/>
      </c>
      <c r="CG698" s="989" t="str">
        <f t="shared" si="2014"/>
        <v/>
      </c>
      <c r="CH698" s="990" t="str">
        <f t="shared" si="2014"/>
        <v/>
      </c>
      <c r="CI698" s="990" t="str">
        <f t="shared" si="2014"/>
        <v/>
      </c>
      <c r="CJ698" s="989" t="str">
        <f t="shared" si="2014"/>
        <v/>
      </c>
      <c r="CK698" s="989" t="str">
        <f t="shared" si="2014"/>
        <v/>
      </c>
      <c r="CL698" s="989" t="str">
        <f t="shared" si="2014"/>
        <v/>
      </c>
      <c r="CM698" s="988" t="str">
        <f t="shared" si="2014"/>
        <v/>
      </c>
      <c r="CN698" s="533" t="str">
        <f t="shared" ref="CN698:CW701" si="201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015"/>
        <v/>
      </c>
      <c r="CP698" s="535" t="str">
        <f t="shared" si="2015"/>
        <v/>
      </c>
      <c r="CQ698" s="535" t="str">
        <f t="shared" si="2015"/>
        <v/>
      </c>
      <c r="CR698" s="535" t="str">
        <f t="shared" si="2015"/>
        <v/>
      </c>
      <c r="CS698" s="535" t="str">
        <f t="shared" si="2015"/>
        <v/>
      </c>
      <c r="CT698" s="535" t="str">
        <f t="shared" si="2015"/>
        <v/>
      </c>
      <c r="CU698" s="536" t="str">
        <f t="shared" si="2015"/>
        <v/>
      </c>
      <c r="CV698" s="536" t="str">
        <f t="shared" si="2015"/>
        <v/>
      </c>
      <c r="CW698" s="536" t="str">
        <f t="shared" si="2015"/>
        <v/>
      </c>
      <c r="CX698" s="535" t="str">
        <f t="shared" ref="CX698:DD701" si="201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016"/>
        <v/>
      </c>
      <c r="CZ698" s="535" t="str">
        <f t="shared" si="2016"/>
        <v/>
      </c>
      <c r="DA698" s="535" t="str">
        <f t="shared" si="2016"/>
        <v/>
      </c>
      <c r="DB698" s="535" t="str">
        <f t="shared" si="2016"/>
        <v/>
      </c>
      <c r="DC698" s="534" t="str">
        <f t="shared" si="2016"/>
        <v/>
      </c>
      <c r="DD698" s="533" t="str">
        <f t="shared" si="2016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1998"/>
        <v/>
      </c>
      <c r="CA699" s="582" t="str">
        <f t="shared" si="1999"/>
        <v/>
      </c>
      <c r="CB699" s="582" t="str">
        <f t="shared" si="2000"/>
        <v/>
      </c>
      <c r="CC699" s="670" t="str">
        <f t="shared" si="2001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0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017"/>
        <v/>
      </c>
      <c r="CG699" s="989" t="str">
        <f t="shared" si="2017"/>
        <v/>
      </c>
      <c r="CH699" s="990" t="str">
        <f t="shared" si="2017"/>
        <v/>
      </c>
      <c r="CI699" s="990" t="str">
        <f t="shared" si="2017"/>
        <v/>
      </c>
      <c r="CJ699" s="989" t="str">
        <f t="shared" si="2017"/>
        <v/>
      </c>
      <c r="CK699" s="989" t="str">
        <f t="shared" si="2017"/>
        <v/>
      </c>
      <c r="CL699" s="989" t="str">
        <f t="shared" si="2017"/>
        <v/>
      </c>
      <c r="CM699" s="988" t="str">
        <f t="shared" si="2017"/>
        <v/>
      </c>
      <c r="CN699" s="533" t="str">
        <f t="shared" si="2015"/>
        <v/>
      </c>
      <c r="CO699" s="534" t="str">
        <f t="shared" si="2015"/>
        <v/>
      </c>
      <c r="CP699" s="535" t="str">
        <f t="shared" si="2015"/>
        <v/>
      </c>
      <c r="CQ699" s="535" t="str">
        <f t="shared" si="2015"/>
        <v/>
      </c>
      <c r="CR699" s="535" t="str">
        <f t="shared" si="2015"/>
        <v/>
      </c>
      <c r="CS699" s="535" t="str">
        <f t="shared" si="2015"/>
        <v/>
      </c>
      <c r="CT699" s="535" t="str">
        <f t="shared" si="2015"/>
        <v/>
      </c>
      <c r="CU699" s="536" t="str">
        <f t="shared" si="2015"/>
        <v/>
      </c>
      <c r="CV699" s="536" t="str">
        <f t="shared" si="2015"/>
        <v/>
      </c>
      <c r="CW699" s="536" t="str">
        <f t="shared" si="2015"/>
        <v/>
      </c>
      <c r="CX699" s="535" t="str">
        <f t="shared" si="2016"/>
        <v/>
      </c>
      <c r="CY699" s="535" t="str">
        <f t="shared" si="2016"/>
        <v/>
      </c>
      <c r="CZ699" s="535" t="str">
        <f t="shared" si="2016"/>
        <v/>
      </c>
      <c r="DA699" s="535" t="str">
        <f t="shared" si="2016"/>
        <v/>
      </c>
      <c r="DB699" s="535" t="str">
        <f t="shared" si="2016"/>
        <v/>
      </c>
      <c r="DC699" s="534" t="str">
        <f t="shared" si="2016"/>
        <v/>
      </c>
      <c r="DD699" s="533" t="str">
        <f t="shared" si="2016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1998"/>
        <v/>
      </c>
      <c r="CA700" s="582" t="str">
        <f t="shared" si="1999"/>
        <v/>
      </c>
      <c r="CB700" s="582" t="str">
        <f t="shared" si="2000"/>
        <v/>
      </c>
      <c r="CC700" s="670" t="str">
        <f t="shared" si="2001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017"/>
        <v/>
      </c>
      <c r="CF700" s="989" t="str">
        <f t="shared" si="2017"/>
        <v/>
      </c>
      <c r="CG700" s="989" t="str">
        <f t="shared" si="2017"/>
        <v/>
      </c>
      <c r="CH700" s="990" t="str">
        <f t="shared" si="2017"/>
        <v/>
      </c>
      <c r="CI700" s="990" t="str">
        <f t="shared" si="2017"/>
        <v/>
      </c>
      <c r="CJ700" s="989" t="str">
        <f t="shared" si="2017"/>
        <v/>
      </c>
      <c r="CK700" s="989" t="str">
        <f t="shared" si="2017"/>
        <v/>
      </c>
      <c r="CL700" s="989" t="str">
        <f t="shared" si="2017"/>
        <v/>
      </c>
      <c r="CM700" s="988" t="str">
        <f t="shared" si="2017"/>
        <v/>
      </c>
      <c r="CN700" s="533" t="str">
        <f t="shared" si="2015"/>
        <v/>
      </c>
      <c r="CO700" s="534" t="str">
        <f t="shared" si="2015"/>
        <v/>
      </c>
      <c r="CP700" s="535" t="str">
        <f t="shared" si="2015"/>
        <v/>
      </c>
      <c r="CQ700" s="535" t="str">
        <f t="shared" si="2015"/>
        <v/>
      </c>
      <c r="CR700" s="535" t="str">
        <f t="shared" si="2015"/>
        <v/>
      </c>
      <c r="CS700" s="535" t="str">
        <f t="shared" si="2015"/>
        <v/>
      </c>
      <c r="CT700" s="535" t="str">
        <f t="shared" si="2015"/>
        <v/>
      </c>
      <c r="CU700" s="536" t="str">
        <f t="shared" si="2015"/>
        <v/>
      </c>
      <c r="CV700" s="536" t="str">
        <f t="shared" si="2015"/>
        <v/>
      </c>
      <c r="CW700" s="536" t="str">
        <f t="shared" si="2015"/>
        <v/>
      </c>
      <c r="CX700" s="535" t="str">
        <f t="shared" si="2016"/>
        <v/>
      </c>
      <c r="CY700" s="535" t="str">
        <f t="shared" si="2016"/>
        <v/>
      </c>
      <c r="CZ700" s="535" t="str">
        <f t="shared" si="2016"/>
        <v/>
      </c>
      <c r="DA700" s="535" t="str">
        <f t="shared" si="2016"/>
        <v/>
      </c>
      <c r="DB700" s="535" t="str">
        <f t="shared" si="2016"/>
        <v/>
      </c>
      <c r="DC700" s="534" t="str">
        <f t="shared" si="2016"/>
        <v/>
      </c>
      <c r="DD700" s="533" t="str">
        <f t="shared" si="2016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018">IF(B698="","",B698*B699*B700/B$46/365/$G$1)</f>
        <v/>
      </c>
      <c r="C701" s="615" t="str">
        <f t="shared" si="2018"/>
        <v/>
      </c>
      <c r="D701" s="615" t="str">
        <f t="shared" si="2018"/>
        <v/>
      </c>
      <c r="E701" s="615" t="str">
        <f t="shared" si="2018"/>
        <v/>
      </c>
      <c r="F701" s="615" t="str">
        <f t="shared" si="2018"/>
        <v/>
      </c>
      <c r="G701" s="615" t="str">
        <f t="shared" si="2018"/>
        <v/>
      </c>
      <c r="H701" s="615" t="str">
        <f t="shared" si="2018"/>
        <v/>
      </c>
      <c r="I701" s="615" t="str">
        <f t="shared" si="2018"/>
        <v/>
      </c>
      <c r="J701" s="615" t="str">
        <f t="shared" si="2018"/>
        <v/>
      </c>
      <c r="K701" s="615" t="str">
        <f t="shared" si="2018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019">IF(T698="","",T698*T699*T700/T$46/365/$G$1)</f>
        <v/>
      </c>
      <c r="U701" s="615" t="str">
        <f t="shared" si="2019"/>
        <v/>
      </c>
      <c r="V701" s="615" t="str">
        <f t="shared" si="2019"/>
        <v/>
      </c>
      <c r="W701" s="615" t="str">
        <f t="shared" si="2019"/>
        <v/>
      </c>
      <c r="X701" s="615" t="str">
        <f t="shared" si="2019"/>
        <v/>
      </c>
      <c r="Y701" s="615" t="str">
        <f t="shared" si="2019"/>
        <v/>
      </c>
      <c r="Z701" s="615" t="str">
        <f t="shared" si="2019"/>
        <v/>
      </c>
      <c r="AA701" s="615" t="str">
        <f t="shared" si="2019"/>
        <v/>
      </c>
      <c r="AB701" s="615" t="str">
        <f t="shared" si="2019"/>
        <v/>
      </c>
      <c r="AC701" s="615" t="str">
        <f t="shared" si="2019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020">IF(AL698="","",AL698*AL699*AL700/AL$46/365/$G$1)</f>
        <v/>
      </c>
      <c r="AM701" s="615" t="str">
        <f t="shared" si="2020"/>
        <v/>
      </c>
      <c r="AN701" s="615" t="str">
        <f t="shared" si="2020"/>
        <v/>
      </c>
      <c r="AO701" s="615" t="str">
        <f t="shared" si="2020"/>
        <v/>
      </c>
      <c r="AP701" s="615" t="str">
        <f t="shared" si="2020"/>
        <v/>
      </c>
      <c r="AQ701" s="615" t="str">
        <f t="shared" si="2020"/>
        <v/>
      </c>
      <c r="AR701" s="615" t="str">
        <f t="shared" si="2020"/>
        <v/>
      </c>
      <c r="AS701" s="615" t="str">
        <f t="shared" si="2020"/>
        <v/>
      </c>
      <c r="AT701" s="615" t="str">
        <f t="shared" si="2020"/>
        <v/>
      </c>
      <c r="AU701" s="615" t="str">
        <f t="shared" si="2020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021">IF(BD698="","",BD698*BD699*BD700/BD$46/365/$G$1)</f>
        <v/>
      </c>
      <c r="BE701" s="1202" t="str">
        <f t="shared" si="2021"/>
        <v/>
      </c>
      <c r="BF701" s="1202" t="str">
        <f t="shared" si="2021"/>
        <v/>
      </c>
      <c r="BG701" s="1202" t="str">
        <f t="shared" si="2021"/>
        <v/>
      </c>
      <c r="BH701" s="1202" t="str">
        <f t="shared" si="2021"/>
        <v/>
      </c>
      <c r="BI701" s="1202" t="str">
        <f t="shared" si="2021"/>
        <v/>
      </c>
      <c r="BJ701" s="1202" t="str">
        <f t="shared" si="2021"/>
        <v/>
      </c>
      <c r="BK701" s="1202" t="str">
        <f t="shared" si="2021"/>
        <v/>
      </c>
      <c r="BL701" s="1202" t="str">
        <f t="shared" si="2021"/>
        <v/>
      </c>
      <c r="BM701" s="1202" t="str">
        <f t="shared" si="2021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1998"/>
        <v/>
      </c>
      <c r="CA701" s="607" t="str">
        <f t="shared" si="1999"/>
        <v/>
      </c>
      <c r="CB701" s="607" t="str">
        <f t="shared" si="2000"/>
        <v/>
      </c>
      <c r="CC701" s="673" t="str">
        <f t="shared" si="2001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017"/>
        <v/>
      </c>
      <c r="CF701" s="992" t="str">
        <f t="shared" si="2017"/>
        <v/>
      </c>
      <c r="CG701" s="992" t="str">
        <f t="shared" si="2017"/>
        <v/>
      </c>
      <c r="CH701" s="993" t="str">
        <f t="shared" si="2017"/>
        <v/>
      </c>
      <c r="CI701" s="993" t="str">
        <f t="shared" si="2017"/>
        <v/>
      </c>
      <c r="CJ701" s="992" t="str">
        <f t="shared" si="2017"/>
        <v/>
      </c>
      <c r="CK701" s="992" t="str">
        <f t="shared" si="2017"/>
        <v/>
      </c>
      <c r="CL701" s="992" t="str">
        <f t="shared" si="2017"/>
        <v/>
      </c>
      <c r="CM701" s="991" t="str">
        <f t="shared" si="2017"/>
        <v/>
      </c>
      <c r="CN701" s="521" t="str">
        <f t="shared" si="2015"/>
        <v/>
      </c>
      <c r="CO701" s="522" t="str">
        <f t="shared" si="2015"/>
        <v/>
      </c>
      <c r="CP701" s="523" t="str">
        <f t="shared" si="2015"/>
        <v/>
      </c>
      <c r="CQ701" s="523" t="str">
        <f t="shared" si="2015"/>
        <v/>
      </c>
      <c r="CR701" s="523" t="str">
        <f t="shared" si="2015"/>
        <v/>
      </c>
      <c r="CS701" s="523" t="str">
        <f t="shared" si="2015"/>
        <v/>
      </c>
      <c r="CT701" s="523" t="str">
        <f t="shared" si="2015"/>
        <v/>
      </c>
      <c r="CU701" s="524" t="str">
        <f t="shared" si="2015"/>
        <v/>
      </c>
      <c r="CV701" s="524" t="str">
        <f t="shared" si="2015"/>
        <v/>
      </c>
      <c r="CW701" s="524" t="str">
        <f t="shared" si="2015"/>
        <v/>
      </c>
      <c r="CX701" s="523" t="str">
        <f t="shared" si="2016"/>
        <v/>
      </c>
      <c r="CY701" s="523" t="str">
        <f t="shared" si="2016"/>
        <v/>
      </c>
      <c r="CZ701" s="523" t="str">
        <f t="shared" si="2016"/>
        <v/>
      </c>
      <c r="DA701" s="523" t="str">
        <f t="shared" si="2016"/>
        <v/>
      </c>
      <c r="DB701" s="523" t="str">
        <f t="shared" si="2016"/>
        <v/>
      </c>
      <c r="DC701" s="522" t="str">
        <f t="shared" si="2016"/>
        <v/>
      </c>
      <c r="DD701" s="521" t="str">
        <f t="shared" si="2016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022">IF(DE704&lt;3,"",(SUM(B704:R704)-MIN(B704:R704)-MAX(B704:R704))/(DE704-2))</f>
        <v/>
      </c>
      <c r="CA704" s="582" t="str">
        <f t="shared" ref="CA704:CA727" si="2023">IF(DF704&lt;3,"",(SUM(T704:AJ704)-MIN(T704:AJ704)-MAX(T704:AJ704))/(DF704-2))</f>
        <v/>
      </c>
      <c r="CB704" s="582" t="str">
        <f t="shared" ref="CB704:CB727" si="2024">IF(DG704&lt;3,"",(SUM(AL704:BB704)-MIN(AL704:BB704)-MAX(AL704:BB704))/(DG704-2))</f>
        <v/>
      </c>
      <c r="CC704" s="670" t="str">
        <f t="shared" ref="CC704:CC727" si="2025">IF(DH704&lt;3,"",(SUM(BD704:BT704)-MIN(BD704:BT704)-MAX(BD704:BT704))/(DH704-2))</f>
        <v/>
      </c>
      <c r="CD704" s="988" t="str">
        <f t="shared" ref="CD704:CI707" si="20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026"/>
        <v/>
      </c>
      <c r="CF704" s="989" t="str">
        <f t="shared" si="2026"/>
        <v/>
      </c>
      <c r="CG704" s="989" t="str">
        <f t="shared" si="2026"/>
        <v/>
      </c>
      <c r="CH704" s="990" t="str">
        <f t="shared" si="2026"/>
        <v/>
      </c>
      <c r="CI704" s="990" t="str">
        <f t="shared" si="2026"/>
        <v/>
      </c>
      <c r="CJ704" s="989" t="str">
        <f t="shared" ref="CJ704:CM707" si="202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027"/>
        <v/>
      </c>
      <c r="CL704" s="989" t="str">
        <f t="shared" si="2027"/>
        <v/>
      </c>
      <c r="CM704" s="988" t="str">
        <f t="shared" si="2027"/>
        <v/>
      </c>
      <c r="CN704" s="533" t="str">
        <f t="shared" ref="CN704:CW708" si="202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028"/>
        <v/>
      </c>
      <c r="CP704" s="535" t="str">
        <f t="shared" si="2028"/>
        <v/>
      </c>
      <c r="CQ704" s="535" t="str">
        <f t="shared" si="2028"/>
        <v/>
      </c>
      <c r="CR704" s="535" t="str">
        <f t="shared" si="2028"/>
        <v/>
      </c>
      <c r="CS704" s="535" t="str">
        <f t="shared" si="2028"/>
        <v/>
      </c>
      <c r="CT704" s="535" t="str">
        <f t="shared" si="2028"/>
        <v/>
      </c>
      <c r="CU704" s="536" t="str">
        <f t="shared" si="2028"/>
        <v/>
      </c>
      <c r="CV704" s="536" t="str">
        <f t="shared" si="2028"/>
        <v/>
      </c>
      <c r="CW704" s="536" t="str">
        <f t="shared" si="2028"/>
        <v/>
      </c>
      <c r="CX704" s="535" t="str">
        <f t="shared" ref="CX704:DD708" si="202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029"/>
        <v/>
      </c>
      <c r="CZ704" s="535" t="str">
        <f t="shared" si="2029"/>
        <v/>
      </c>
      <c r="DA704" s="535" t="str">
        <f t="shared" si="2029"/>
        <v/>
      </c>
      <c r="DB704" s="535" t="str">
        <f t="shared" si="2029"/>
        <v/>
      </c>
      <c r="DC704" s="534" t="str">
        <f t="shared" si="2029"/>
        <v/>
      </c>
      <c r="DD704" s="533" t="str">
        <f t="shared" si="2029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022"/>
        <v/>
      </c>
      <c r="CA705" s="582" t="str">
        <f t="shared" si="2023"/>
        <v/>
      </c>
      <c r="CB705" s="582" t="str">
        <f t="shared" si="2024"/>
        <v/>
      </c>
      <c r="CC705" s="670" t="str">
        <f t="shared" si="2025"/>
        <v/>
      </c>
      <c r="CD705" s="988" t="str">
        <f t="shared" si="2026"/>
        <v/>
      </c>
      <c r="CE705" s="989" t="str">
        <f t="shared" si="2026"/>
        <v/>
      </c>
      <c r="CF705" s="989" t="str">
        <f t="shared" si="2026"/>
        <v/>
      </c>
      <c r="CG705" s="989" t="str">
        <f t="shared" si="2026"/>
        <v/>
      </c>
      <c r="CH705" s="990" t="str">
        <f t="shared" si="2026"/>
        <v/>
      </c>
      <c r="CI705" s="990" t="str">
        <f t="shared" si="2026"/>
        <v/>
      </c>
      <c r="CJ705" s="989" t="str">
        <f t="shared" si="2027"/>
        <v/>
      </c>
      <c r="CK705" s="989" t="str">
        <f t="shared" si="2027"/>
        <v/>
      </c>
      <c r="CL705" s="989" t="str">
        <f t="shared" si="2027"/>
        <v/>
      </c>
      <c r="CM705" s="988" t="str">
        <f t="shared" si="2027"/>
        <v/>
      </c>
      <c r="CN705" s="533" t="str">
        <f t="shared" si="2028"/>
        <v/>
      </c>
      <c r="CO705" s="534" t="str">
        <f t="shared" si="2028"/>
        <v/>
      </c>
      <c r="CP705" s="535" t="str">
        <f t="shared" si="2028"/>
        <v/>
      </c>
      <c r="CQ705" s="535" t="str">
        <f t="shared" si="2028"/>
        <v/>
      </c>
      <c r="CR705" s="535" t="str">
        <f t="shared" si="2028"/>
        <v/>
      </c>
      <c r="CS705" s="535" t="str">
        <f t="shared" si="2028"/>
        <v/>
      </c>
      <c r="CT705" s="535" t="str">
        <f t="shared" si="2028"/>
        <v/>
      </c>
      <c r="CU705" s="536" t="str">
        <f t="shared" si="2028"/>
        <v/>
      </c>
      <c r="CV705" s="536" t="str">
        <f t="shared" si="2028"/>
        <v/>
      </c>
      <c r="CW705" s="536" t="str">
        <f t="shared" si="2028"/>
        <v/>
      </c>
      <c r="CX705" s="535" t="str">
        <f t="shared" si="2029"/>
        <v/>
      </c>
      <c r="CY705" s="535" t="str">
        <f t="shared" si="2029"/>
        <v/>
      </c>
      <c r="CZ705" s="535" t="str">
        <f t="shared" si="2029"/>
        <v/>
      </c>
      <c r="DA705" s="535" t="str">
        <f t="shared" si="2029"/>
        <v/>
      </c>
      <c r="DB705" s="535" t="str">
        <f t="shared" si="2029"/>
        <v/>
      </c>
      <c r="DC705" s="534" t="str">
        <f t="shared" si="2029"/>
        <v/>
      </c>
      <c r="DD705" s="533" t="str">
        <f t="shared" si="2029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022"/>
        <v/>
      </c>
      <c r="CA706" s="582" t="str">
        <f t="shared" si="2023"/>
        <v/>
      </c>
      <c r="CB706" s="582" t="str">
        <f t="shared" si="2024"/>
        <v/>
      </c>
      <c r="CC706" s="670" t="str">
        <f t="shared" si="2025"/>
        <v/>
      </c>
      <c r="CD706" s="988" t="str">
        <f t="shared" si="2026"/>
        <v/>
      </c>
      <c r="CE706" s="989" t="str">
        <f t="shared" si="2026"/>
        <v/>
      </c>
      <c r="CF706" s="989" t="str">
        <f t="shared" si="2026"/>
        <v/>
      </c>
      <c r="CG706" s="989" t="str">
        <f t="shared" si="2026"/>
        <v/>
      </c>
      <c r="CH706" s="990" t="str">
        <f t="shared" si="2026"/>
        <v/>
      </c>
      <c r="CI706" s="990" t="str">
        <f t="shared" si="2026"/>
        <v/>
      </c>
      <c r="CJ706" s="989" t="str">
        <f t="shared" si="2027"/>
        <v/>
      </c>
      <c r="CK706" s="989" t="str">
        <f t="shared" si="2027"/>
        <v/>
      </c>
      <c r="CL706" s="989" t="str">
        <f t="shared" si="2027"/>
        <v/>
      </c>
      <c r="CM706" s="988" t="str">
        <f t="shared" si="2027"/>
        <v/>
      </c>
      <c r="CN706" s="533" t="str">
        <f t="shared" si="2028"/>
        <v/>
      </c>
      <c r="CO706" s="534" t="str">
        <f t="shared" si="2028"/>
        <v/>
      </c>
      <c r="CP706" s="535" t="str">
        <f t="shared" si="2028"/>
        <v/>
      </c>
      <c r="CQ706" s="535" t="str">
        <f t="shared" si="2028"/>
        <v/>
      </c>
      <c r="CR706" s="535" t="str">
        <f t="shared" si="2028"/>
        <v/>
      </c>
      <c r="CS706" s="535" t="str">
        <f t="shared" si="2028"/>
        <v/>
      </c>
      <c r="CT706" s="535" t="str">
        <f t="shared" si="2028"/>
        <v/>
      </c>
      <c r="CU706" s="536" t="str">
        <f t="shared" si="2028"/>
        <v/>
      </c>
      <c r="CV706" s="536" t="str">
        <f t="shared" si="2028"/>
        <v/>
      </c>
      <c r="CW706" s="536" t="str">
        <f t="shared" si="2028"/>
        <v/>
      </c>
      <c r="CX706" s="535" t="str">
        <f t="shared" si="2029"/>
        <v/>
      </c>
      <c r="CY706" s="535" t="str">
        <f t="shared" si="2029"/>
        <v/>
      </c>
      <c r="CZ706" s="535" t="str">
        <f t="shared" si="2029"/>
        <v/>
      </c>
      <c r="DA706" s="535" t="str">
        <f t="shared" si="2029"/>
        <v/>
      </c>
      <c r="DB706" s="535" t="str">
        <f t="shared" si="2029"/>
        <v/>
      </c>
      <c r="DC706" s="534" t="str">
        <f t="shared" si="2029"/>
        <v/>
      </c>
      <c r="DD706" s="533" t="str">
        <f t="shared" si="2029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022"/>
        <v/>
      </c>
      <c r="CA707" s="582" t="str">
        <f t="shared" si="2023"/>
        <v/>
      </c>
      <c r="CB707" s="582" t="str">
        <f t="shared" si="2024"/>
        <v/>
      </c>
      <c r="CC707" s="670" t="str">
        <f t="shared" si="2025"/>
        <v/>
      </c>
      <c r="CD707" s="988" t="str">
        <f t="shared" si="2026"/>
        <v/>
      </c>
      <c r="CE707" s="989" t="str">
        <f t="shared" si="2026"/>
        <v/>
      </c>
      <c r="CF707" s="989" t="str">
        <f t="shared" si="2026"/>
        <v/>
      </c>
      <c r="CG707" s="989" t="str">
        <f t="shared" si="2026"/>
        <v/>
      </c>
      <c r="CH707" s="990" t="str">
        <f t="shared" si="2026"/>
        <v/>
      </c>
      <c r="CI707" s="990" t="str">
        <f t="shared" si="2026"/>
        <v/>
      </c>
      <c r="CJ707" s="989" t="str">
        <f t="shared" si="2027"/>
        <v/>
      </c>
      <c r="CK707" s="989" t="str">
        <f t="shared" si="2027"/>
        <v/>
      </c>
      <c r="CL707" s="989" t="str">
        <f t="shared" si="2027"/>
        <v/>
      </c>
      <c r="CM707" s="988" t="str">
        <f t="shared" si="2027"/>
        <v/>
      </c>
      <c r="CN707" s="533" t="str">
        <f t="shared" si="2028"/>
        <v/>
      </c>
      <c r="CO707" s="534" t="str">
        <f t="shared" si="2028"/>
        <v/>
      </c>
      <c r="CP707" s="535" t="str">
        <f t="shared" si="2028"/>
        <v/>
      </c>
      <c r="CQ707" s="535" t="str">
        <f t="shared" si="2028"/>
        <v/>
      </c>
      <c r="CR707" s="535" t="str">
        <f t="shared" si="2028"/>
        <v/>
      </c>
      <c r="CS707" s="535" t="str">
        <f t="shared" si="2028"/>
        <v/>
      </c>
      <c r="CT707" s="535" t="str">
        <f t="shared" si="2028"/>
        <v/>
      </c>
      <c r="CU707" s="536" t="str">
        <f t="shared" si="2028"/>
        <v/>
      </c>
      <c r="CV707" s="536" t="str">
        <f t="shared" si="2028"/>
        <v/>
      </c>
      <c r="CW707" s="536" t="str">
        <f t="shared" si="2028"/>
        <v/>
      </c>
      <c r="CX707" s="535" t="str">
        <f t="shared" si="2029"/>
        <v/>
      </c>
      <c r="CY707" s="535" t="str">
        <f t="shared" si="2029"/>
        <v/>
      </c>
      <c r="CZ707" s="535" t="str">
        <f t="shared" si="2029"/>
        <v/>
      </c>
      <c r="DA707" s="535" t="str">
        <f t="shared" si="2029"/>
        <v/>
      </c>
      <c r="DB707" s="535" t="str">
        <f t="shared" si="2029"/>
        <v/>
      </c>
      <c r="DC707" s="534" t="str">
        <f t="shared" si="2029"/>
        <v/>
      </c>
      <c r="DD707" s="533" t="str">
        <f t="shared" si="2029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3780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022"/>
        <v>0</v>
      </c>
      <c r="CA708" s="582">
        <f t="shared" si="2023"/>
        <v>0</v>
      </c>
      <c r="CB708" s="582">
        <f t="shared" si="2024"/>
        <v>0</v>
      </c>
      <c r="CC708" s="670">
        <f t="shared" si="2025"/>
        <v>0</v>
      </c>
      <c r="CD708" s="988">
        <f t="shared" ref="CD708:CM708" si="20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030"/>
        <v>0</v>
      </c>
      <c r="CF708" s="989">
        <f t="shared" si="2030"/>
        <v>0</v>
      </c>
      <c r="CG708" s="989">
        <f t="shared" si="2030"/>
        <v>0</v>
      </c>
      <c r="CH708" s="990">
        <f t="shared" si="2030"/>
        <v>0</v>
      </c>
      <c r="CI708" s="990">
        <f t="shared" si="2030"/>
        <v>0</v>
      </c>
      <c r="CJ708" s="989">
        <f t="shared" si="2030"/>
        <v>0</v>
      </c>
      <c r="CK708" s="989">
        <f t="shared" si="2030"/>
        <v>0</v>
      </c>
      <c r="CL708" s="989">
        <f t="shared" si="2030"/>
        <v>0</v>
      </c>
      <c r="CM708" s="988">
        <f t="shared" si="2030"/>
        <v>0</v>
      </c>
      <c r="CN708" s="533" t="str">
        <f t="shared" si="2028"/>
        <v/>
      </c>
      <c r="CO708" s="534" t="str">
        <f t="shared" si="2028"/>
        <v/>
      </c>
      <c r="CP708" s="535" t="str">
        <f t="shared" si="2028"/>
        <v/>
      </c>
      <c r="CQ708" s="535" t="str">
        <f t="shared" si="2028"/>
        <v/>
      </c>
      <c r="CR708" s="535">
        <f t="shared" si="2028"/>
        <v>0</v>
      </c>
      <c r="CS708" s="535">
        <f t="shared" si="2028"/>
        <v>0</v>
      </c>
      <c r="CT708" s="535">
        <f t="shared" si="2028"/>
        <v>0</v>
      </c>
      <c r="CU708" s="536">
        <f t="shared" si="2028"/>
        <v>0</v>
      </c>
      <c r="CV708" s="536">
        <f t="shared" si="2028"/>
        <v>0</v>
      </c>
      <c r="CW708" s="536">
        <f t="shared" si="2028"/>
        <v>0</v>
      </c>
      <c r="CX708" s="535">
        <f t="shared" si="2029"/>
        <v>0</v>
      </c>
      <c r="CY708" s="535">
        <f t="shared" si="2029"/>
        <v>0</v>
      </c>
      <c r="CZ708" s="535">
        <f t="shared" si="2029"/>
        <v>0</v>
      </c>
      <c r="DA708" s="535">
        <f t="shared" si="2029"/>
        <v>0</v>
      </c>
      <c r="DB708" s="535" t="str">
        <f t="shared" si="2029"/>
        <v/>
      </c>
      <c r="DC708" s="534" t="str">
        <f t="shared" si="2029"/>
        <v/>
      </c>
      <c r="DD708" s="533" t="str">
        <f t="shared" si="2029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022"/>
        <v/>
      </c>
      <c r="CA709" s="574" t="str">
        <f t="shared" si="2023"/>
        <v/>
      </c>
      <c r="CB709" s="574" t="str">
        <f t="shared" si="2024"/>
        <v/>
      </c>
      <c r="CC709" s="669" t="str">
        <f t="shared" si="2025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022"/>
        <v/>
      </c>
      <c r="CA710" s="582" t="str">
        <f t="shared" si="2023"/>
        <v/>
      </c>
      <c r="CB710" s="582" t="str">
        <f t="shared" si="2024"/>
        <v/>
      </c>
      <c r="CC710" s="670" t="str">
        <f t="shared" si="2025"/>
        <v/>
      </c>
      <c r="CD710" s="988" t="str">
        <f t="shared" ref="CD710:CI713" si="20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031"/>
        <v/>
      </c>
      <c r="CF710" s="989" t="str">
        <f t="shared" si="2031"/>
        <v/>
      </c>
      <c r="CG710" s="989" t="str">
        <f t="shared" si="2031"/>
        <v/>
      </c>
      <c r="CH710" s="990" t="str">
        <f t="shared" si="2031"/>
        <v/>
      </c>
      <c r="CI710" s="990" t="str">
        <f t="shared" si="2031"/>
        <v/>
      </c>
      <c r="CJ710" s="989" t="str">
        <f t="shared" ref="CJ710:CM713" si="203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032"/>
        <v/>
      </c>
      <c r="CL710" s="989" t="str">
        <f t="shared" si="2032"/>
        <v/>
      </c>
      <c r="CM710" s="988" t="str">
        <f t="shared" si="2032"/>
        <v/>
      </c>
      <c r="CN710" s="533" t="str">
        <f t="shared" ref="CN710:CW714" si="203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033"/>
        <v/>
      </c>
      <c r="CP710" s="535" t="str">
        <f t="shared" si="2033"/>
        <v/>
      </c>
      <c r="CQ710" s="535" t="str">
        <f t="shared" si="2033"/>
        <v/>
      </c>
      <c r="CR710" s="535" t="str">
        <f t="shared" si="2033"/>
        <v/>
      </c>
      <c r="CS710" s="535" t="str">
        <f t="shared" si="2033"/>
        <v/>
      </c>
      <c r="CT710" s="535" t="str">
        <f t="shared" si="2033"/>
        <v/>
      </c>
      <c r="CU710" s="536" t="str">
        <f t="shared" si="2033"/>
        <v/>
      </c>
      <c r="CV710" s="536" t="str">
        <f t="shared" si="2033"/>
        <v/>
      </c>
      <c r="CW710" s="536" t="str">
        <f t="shared" si="2033"/>
        <v/>
      </c>
      <c r="CX710" s="535" t="str">
        <f t="shared" ref="CX710:DD714" si="203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034"/>
        <v/>
      </c>
      <c r="CZ710" s="535" t="str">
        <f t="shared" si="2034"/>
        <v/>
      </c>
      <c r="DA710" s="535" t="str">
        <f t="shared" si="2034"/>
        <v/>
      </c>
      <c r="DB710" s="535" t="str">
        <f t="shared" si="2034"/>
        <v/>
      </c>
      <c r="DC710" s="534" t="str">
        <f t="shared" si="2034"/>
        <v/>
      </c>
      <c r="DD710" s="533" t="str">
        <f t="shared" si="2034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022"/>
        <v/>
      </c>
      <c r="CA711" s="582" t="str">
        <f t="shared" si="2023"/>
        <v/>
      </c>
      <c r="CB711" s="582" t="str">
        <f t="shared" si="2024"/>
        <v/>
      </c>
      <c r="CC711" s="670" t="str">
        <f t="shared" si="2025"/>
        <v/>
      </c>
      <c r="CD711" s="988" t="str">
        <f t="shared" si="2031"/>
        <v/>
      </c>
      <c r="CE711" s="989" t="str">
        <f t="shared" si="2031"/>
        <v/>
      </c>
      <c r="CF711" s="989" t="str">
        <f t="shared" si="2031"/>
        <v/>
      </c>
      <c r="CG711" s="989" t="str">
        <f t="shared" si="2031"/>
        <v/>
      </c>
      <c r="CH711" s="990" t="str">
        <f t="shared" si="2031"/>
        <v/>
      </c>
      <c r="CI711" s="990" t="str">
        <f t="shared" si="2031"/>
        <v/>
      </c>
      <c r="CJ711" s="989" t="str">
        <f t="shared" si="2032"/>
        <v/>
      </c>
      <c r="CK711" s="989" t="str">
        <f t="shared" si="2032"/>
        <v/>
      </c>
      <c r="CL711" s="989" t="str">
        <f t="shared" si="2032"/>
        <v/>
      </c>
      <c r="CM711" s="988" t="str">
        <f t="shared" si="2032"/>
        <v/>
      </c>
      <c r="CN711" s="533" t="str">
        <f t="shared" si="2033"/>
        <v/>
      </c>
      <c r="CO711" s="534" t="str">
        <f t="shared" si="2033"/>
        <v/>
      </c>
      <c r="CP711" s="535" t="str">
        <f t="shared" si="2033"/>
        <v/>
      </c>
      <c r="CQ711" s="535" t="str">
        <f t="shared" si="2033"/>
        <v/>
      </c>
      <c r="CR711" s="535" t="str">
        <f t="shared" si="2033"/>
        <v/>
      </c>
      <c r="CS711" s="535" t="str">
        <f t="shared" si="2033"/>
        <v/>
      </c>
      <c r="CT711" s="535" t="str">
        <f t="shared" si="2033"/>
        <v/>
      </c>
      <c r="CU711" s="536" t="str">
        <f t="shared" si="2033"/>
        <v/>
      </c>
      <c r="CV711" s="536" t="str">
        <f t="shared" si="2033"/>
        <v/>
      </c>
      <c r="CW711" s="536" t="str">
        <f t="shared" si="2033"/>
        <v/>
      </c>
      <c r="CX711" s="535" t="str">
        <f t="shared" si="2034"/>
        <v/>
      </c>
      <c r="CY711" s="535" t="str">
        <f t="shared" si="2034"/>
        <v/>
      </c>
      <c r="CZ711" s="535" t="str">
        <f t="shared" si="2034"/>
        <v/>
      </c>
      <c r="DA711" s="535" t="str">
        <f t="shared" si="2034"/>
        <v/>
      </c>
      <c r="DB711" s="535" t="str">
        <f t="shared" si="2034"/>
        <v/>
      </c>
      <c r="DC711" s="534" t="str">
        <f t="shared" si="2034"/>
        <v/>
      </c>
      <c r="DD711" s="533" t="str">
        <f t="shared" si="2034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022"/>
        <v/>
      </c>
      <c r="CA712" s="582" t="str">
        <f t="shared" si="2023"/>
        <v/>
      </c>
      <c r="CB712" s="582" t="str">
        <f t="shared" si="2024"/>
        <v/>
      </c>
      <c r="CC712" s="670" t="str">
        <f t="shared" si="2025"/>
        <v/>
      </c>
      <c r="CD712" s="988" t="str">
        <f t="shared" si="2031"/>
        <v/>
      </c>
      <c r="CE712" s="989" t="str">
        <f t="shared" si="2031"/>
        <v/>
      </c>
      <c r="CF712" s="989" t="str">
        <f t="shared" si="2031"/>
        <v/>
      </c>
      <c r="CG712" s="989" t="str">
        <f t="shared" si="2031"/>
        <v/>
      </c>
      <c r="CH712" s="990" t="str">
        <f t="shared" si="2031"/>
        <v/>
      </c>
      <c r="CI712" s="990" t="str">
        <f t="shared" si="2031"/>
        <v/>
      </c>
      <c r="CJ712" s="989" t="str">
        <f t="shared" si="2032"/>
        <v/>
      </c>
      <c r="CK712" s="989" t="str">
        <f t="shared" si="2032"/>
        <v/>
      </c>
      <c r="CL712" s="989" t="str">
        <f t="shared" si="2032"/>
        <v/>
      </c>
      <c r="CM712" s="988" t="str">
        <f t="shared" si="2032"/>
        <v/>
      </c>
      <c r="CN712" s="533" t="str">
        <f t="shared" si="2033"/>
        <v/>
      </c>
      <c r="CO712" s="534" t="str">
        <f t="shared" si="2033"/>
        <v/>
      </c>
      <c r="CP712" s="535" t="str">
        <f t="shared" si="2033"/>
        <v/>
      </c>
      <c r="CQ712" s="535" t="str">
        <f t="shared" si="2033"/>
        <v/>
      </c>
      <c r="CR712" s="535" t="str">
        <f t="shared" si="2033"/>
        <v/>
      </c>
      <c r="CS712" s="535" t="str">
        <f t="shared" si="2033"/>
        <v/>
      </c>
      <c r="CT712" s="535" t="str">
        <f t="shared" si="2033"/>
        <v/>
      </c>
      <c r="CU712" s="536" t="str">
        <f t="shared" si="2033"/>
        <v/>
      </c>
      <c r="CV712" s="536" t="str">
        <f t="shared" si="2033"/>
        <v/>
      </c>
      <c r="CW712" s="536" t="str">
        <f t="shared" si="2033"/>
        <v/>
      </c>
      <c r="CX712" s="535" t="str">
        <f t="shared" si="2034"/>
        <v/>
      </c>
      <c r="CY712" s="535" t="str">
        <f t="shared" si="2034"/>
        <v/>
      </c>
      <c r="CZ712" s="535" t="str">
        <f t="shared" si="2034"/>
        <v/>
      </c>
      <c r="DA712" s="535" t="str">
        <f t="shared" si="2034"/>
        <v/>
      </c>
      <c r="DB712" s="535" t="str">
        <f t="shared" si="2034"/>
        <v/>
      </c>
      <c r="DC712" s="534" t="str">
        <f t="shared" si="2034"/>
        <v/>
      </c>
      <c r="DD712" s="533" t="str">
        <f t="shared" si="2034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022"/>
        <v/>
      </c>
      <c r="CA713" s="582" t="str">
        <f t="shared" si="2023"/>
        <v/>
      </c>
      <c r="CB713" s="582" t="str">
        <f t="shared" si="2024"/>
        <v/>
      </c>
      <c r="CC713" s="670" t="str">
        <f t="shared" si="2025"/>
        <v/>
      </c>
      <c r="CD713" s="988" t="str">
        <f t="shared" si="2031"/>
        <v/>
      </c>
      <c r="CE713" s="989" t="str">
        <f t="shared" si="2031"/>
        <v/>
      </c>
      <c r="CF713" s="989" t="str">
        <f t="shared" si="2031"/>
        <v/>
      </c>
      <c r="CG713" s="989" t="str">
        <f t="shared" si="2031"/>
        <v/>
      </c>
      <c r="CH713" s="990" t="str">
        <f t="shared" si="2031"/>
        <v/>
      </c>
      <c r="CI713" s="990" t="str">
        <f t="shared" si="2031"/>
        <v/>
      </c>
      <c r="CJ713" s="989" t="str">
        <f t="shared" si="2032"/>
        <v/>
      </c>
      <c r="CK713" s="989" t="str">
        <f t="shared" si="2032"/>
        <v/>
      </c>
      <c r="CL713" s="989" t="str">
        <f t="shared" si="2032"/>
        <v/>
      </c>
      <c r="CM713" s="988" t="str">
        <f t="shared" si="2032"/>
        <v/>
      </c>
      <c r="CN713" s="533" t="str">
        <f t="shared" si="2033"/>
        <v/>
      </c>
      <c r="CO713" s="534" t="str">
        <f t="shared" si="2033"/>
        <v/>
      </c>
      <c r="CP713" s="535" t="str">
        <f t="shared" si="2033"/>
        <v/>
      </c>
      <c r="CQ713" s="535" t="str">
        <f t="shared" si="2033"/>
        <v/>
      </c>
      <c r="CR713" s="535" t="str">
        <f t="shared" si="2033"/>
        <v/>
      </c>
      <c r="CS713" s="535" t="str">
        <f t="shared" si="2033"/>
        <v/>
      </c>
      <c r="CT713" s="535" t="str">
        <f t="shared" si="2033"/>
        <v/>
      </c>
      <c r="CU713" s="536" t="str">
        <f t="shared" si="2033"/>
        <v/>
      </c>
      <c r="CV713" s="536" t="str">
        <f t="shared" si="2033"/>
        <v/>
      </c>
      <c r="CW713" s="536" t="str">
        <f t="shared" si="2033"/>
        <v/>
      </c>
      <c r="CX713" s="535" t="str">
        <f t="shared" si="2034"/>
        <v/>
      </c>
      <c r="CY713" s="535" t="str">
        <f t="shared" si="2034"/>
        <v/>
      </c>
      <c r="CZ713" s="535" t="str">
        <f t="shared" si="2034"/>
        <v/>
      </c>
      <c r="DA713" s="535" t="str">
        <f t="shared" si="2034"/>
        <v/>
      </c>
      <c r="DB713" s="535" t="str">
        <f t="shared" si="2034"/>
        <v/>
      </c>
      <c r="DC713" s="534" t="str">
        <f t="shared" si="2034"/>
        <v/>
      </c>
      <c r="DD713" s="533" t="str">
        <f t="shared" si="2034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3850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022"/>
        <v>0</v>
      </c>
      <c r="CA714" s="582">
        <f t="shared" si="2023"/>
        <v>0</v>
      </c>
      <c r="CB714" s="582">
        <f t="shared" si="2024"/>
        <v>0</v>
      </c>
      <c r="CC714" s="670">
        <f t="shared" si="2025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0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035"/>
        <v>0</v>
      </c>
      <c r="CG714" s="989">
        <f t="shared" si="2035"/>
        <v>0</v>
      </c>
      <c r="CH714" s="990">
        <f t="shared" si="2035"/>
        <v>0</v>
      </c>
      <c r="CI714" s="990">
        <f t="shared" si="2035"/>
        <v>0</v>
      </c>
      <c r="CJ714" s="989">
        <f t="shared" si="2035"/>
        <v>0</v>
      </c>
      <c r="CK714" s="989">
        <f t="shared" si="2035"/>
        <v>0</v>
      </c>
      <c r="CL714" s="989">
        <f t="shared" si="2035"/>
        <v>0</v>
      </c>
      <c r="CM714" s="988">
        <f t="shared" si="2035"/>
        <v>0</v>
      </c>
      <c r="CN714" s="533" t="str">
        <f t="shared" si="2033"/>
        <v/>
      </c>
      <c r="CO714" s="534" t="str">
        <f t="shared" si="2033"/>
        <v/>
      </c>
      <c r="CP714" s="535" t="str">
        <f t="shared" si="2033"/>
        <v/>
      </c>
      <c r="CQ714" s="535" t="str">
        <f t="shared" si="2033"/>
        <v/>
      </c>
      <c r="CR714" s="535">
        <f t="shared" si="2033"/>
        <v>0</v>
      </c>
      <c r="CS714" s="535">
        <f t="shared" si="2033"/>
        <v>0</v>
      </c>
      <c r="CT714" s="535">
        <f t="shared" si="2033"/>
        <v>0</v>
      </c>
      <c r="CU714" s="536">
        <f t="shared" si="2033"/>
        <v>0</v>
      </c>
      <c r="CV714" s="536">
        <f t="shared" si="2033"/>
        <v>0</v>
      </c>
      <c r="CW714" s="536">
        <f t="shared" si="2033"/>
        <v>0</v>
      </c>
      <c r="CX714" s="535">
        <f t="shared" si="2034"/>
        <v>0</v>
      </c>
      <c r="CY714" s="535">
        <f t="shared" si="2034"/>
        <v>0</v>
      </c>
      <c r="CZ714" s="535">
        <f t="shared" si="2034"/>
        <v>0</v>
      </c>
      <c r="DA714" s="535">
        <f t="shared" si="2034"/>
        <v>0</v>
      </c>
      <c r="DB714" s="535" t="str">
        <f t="shared" si="2034"/>
        <v/>
      </c>
      <c r="DC714" s="534" t="str">
        <f t="shared" si="2034"/>
        <v/>
      </c>
      <c r="DD714" s="533" t="str">
        <f t="shared" si="2034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022"/>
        <v/>
      </c>
      <c r="CA715" s="574" t="str">
        <f t="shared" si="2023"/>
        <v/>
      </c>
      <c r="CB715" s="574" t="str">
        <f t="shared" si="2024"/>
        <v/>
      </c>
      <c r="CC715" s="669" t="str">
        <f t="shared" si="2025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022"/>
        <v/>
      </c>
      <c r="CA716" s="582" t="str">
        <f t="shared" si="2023"/>
        <v/>
      </c>
      <c r="CB716" s="582" t="str">
        <f t="shared" si="2024"/>
        <v/>
      </c>
      <c r="CC716" s="670" t="str">
        <f t="shared" si="2025"/>
        <v/>
      </c>
      <c r="CD716" s="988" t="str">
        <f t="shared" ref="CD716:CM719" si="20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si="2036"/>
        <v/>
      </c>
      <c r="CF716" s="989" t="str">
        <f t="shared" si="2036"/>
        <v/>
      </c>
      <c r="CG716" s="989" t="str">
        <f t="shared" si="2036"/>
        <v/>
      </c>
      <c r="CH716" s="990" t="str">
        <f t="shared" si="2036"/>
        <v/>
      </c>
      <c r="CI716" s="990" t="str">
        <f t="shared" si="2036"/>
        <v/>
      </c>
      <c r="CJ716" s="989" t="str">
        <f t="shared" si="2036"/>
        <v/>
      </c>
      <c r="CK716" s="989" t="str">
        <f t="shared" si="2036"/>
        <v/>
      </c>
      <c r="CL716" s="989" t="str">
        <f t="shared" si="2036"/>
        <v/>
      </c>
      <c r="CM716" s="988" t="str">
        <f t="shared" si="2036"/>
        <v/>
      </c>
      <c r="CN716" s="533" t="str">
        <f t="shared" ref="CN716:CN733" si="2037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038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039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040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041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042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043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04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04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04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04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04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04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05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05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05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05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054">COUNT(B716:R716)</f>
        <v>0</v>
      </c>
      <c r="DF716" s="95">
        <f t="shared" ref="DF716:DF727" si="2055">COUNT(T716:AJ716)</f>
        <v>0</v>
      </c>
      <c r="DG716" s="95">
        <f t="shared" ref="DG716:DG727" si="2056">COUNT(AL716:BB716)</f>
        <v>0</v>
      </c>
      <c r="DH716" s="95">
        <f t="shared" ref="DH716:DH727" si="2057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022"/>
        <v/>
      </c>
      <c r="CA717" s="582" t="str">
        <f t="shared" si="2023"/>
        <v/>
      </c>
      <c r="CB717" s="582" t="str">
        <f t="shared" si="2024"/>
        <v/>
      </c>
      <c r="CC717" s="670" t="str">
        <f t="shared" si="2025"/>
        <v/>
      </c>
      <c r="CD717" s="988" t="str">
        <f t="shared" si="2036"/>
        <v/>
      </c>
      <c r="CE717" s="989" t="str">
        <f t="shared" si="2036"/>
        <v/>
      </c>
      <c r="CF717" s="989" t="str">
        <f t="shared" si="2036"/>
        <v/>
      </c>
      <c r="CG717" s="989" t="str">
        <f t="shared" si="2036"/>
        <v/>
      </c>
      <c r="CH717" s="990" t="str">
        <f t="shared" si="2036"/>
        <v/>
      </c>
      <c r="CI717" s="990" t="str">
        <f t="shared" si="2036"/>
        <v/>
      </c>
      <c r="CJ717" s="989" t="str">
        <f t="shared" si="2036"/>
        <v/>
      </c>
      <c r="CK717" s="989" t="str">
        <f t="shared" si="2036"/>
        <v/>
      </c>
      <c r="CL717" s="989" t="str">
        <f t="shared" si="2036"/>
        <v/>
      </c>
      <c r="CM717" s="988" t="str">
        <f t="shared" si="2036"/>
        <v/>
      </c>
      <c r="CN717" s="533" t="str">
        <f t="shared" si="2037"/>
        <v/>
      </c>
      <c r="CO717" s="534" t="str">
        <f t="shared" si="2038"/>
        <v/>
      </c>
      <c r="CP717" s="535" t="str">
        <f t="shared" si="2039"/>
        <v/>
      </c>
      <c r="CQ717" s="535" t="str">
        <f t="shared" si="2040"/>
        <v/>
      </c>
      <c r="CR717" s="535" t="str">
        <f t="shared" si="2041"/>
        <v/>
      </c>
      <c r="CS717" s="535" t="str">
        <f t="shared" si="2042"/>
        <v/>
      </c>
      <c r="CT717" s="535" t="str">
        <f t="shared" si="2043"/>
        <v/>
      </c>
      <c r="CU717" s="536" t="str">
        <f t="shared" si="2044"/>
        <v/>
      </c>
      <c r="CV717" s="536" t="str">
        <f t="shared" si="2045"/>
        <v/>
      </c>
      <c r="CW717" s="536" t="str">
        <f t="shared" si="2046"/>
        <v/>
      </c>
      <c r="CX717" s="535" t="str">
        <f t="shared" si="2047"/>
        <v/>
      </c>
      <c r="CY717" s="535" t="str">
        <f t="shared" si="2048"/>
        <v/>
      </c>
      <c r="CZ717" s="535" t="str">
        <f t="shared" si="2049"/>
        <v/>
      </c>
      <c r="DA717" s="535" t="str">
        <f t="shared" si="2050"/>
        <v/>
      </c>
      <c r="DB717" s="535" t="str">
        <f t="shared" si="2051"/>
        <v/>
      </c>
      <c r="DC717" s="534" t="str">
        <f t="shared" si="2052"/>
        <v/>
      </c>
      <c r="DD717" s="533" t="str">
        <f t="shared" si="2053"/>
        <v/>
      </c>
      <c r="DE717" s="635">
        <f t="shared" si="2054"/>
        <v>0</v>
      </c>
      <c r="DF717" s="95">
        <f t="shared" si="2055"/>
        <v>0</v>
      </c>
      <c r="DG717" s="95">
        <f t="shared" si="2056"/>
        <v>0</v>
      </c>
      <c r="DH717" s="95">
        <f t="shared" si="2057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022"/>
        <v/>
      </c>
      <c r="CA718" s="582" t="str">
        <f t="shared" si="2023"/>
        <v/>
      </c>
      <c r="CB718" s="582" t="str">
        <f t="shared" si="2024"/>
        <v/>
      </c>
      <c r="CC718" s="670" t="str">
        <f t="shared" si="2025"/>
        <v/>
      </c>
      <c r="CD718" s="988" t="str">
        <f t="shared" si="2036"/>
        <v/>
      </c>
      <c r="CE718" s="989" t="str">
        <f t="shared" si="2036"/>
        <v/>
      </c>
      <c r="CF718" s="989" t="str">
        <f t="shared" si="2036"/>
        <v/>
      </c>
      <c r="CG718" s="989" t="str">
        <f t="shared" si="2036"/>
        <v/>
      </c>
      <c r="CH718" s="990" t="str">
        <f t="shared" si="2036"/>
        <v/>
      </c>
      <c r="CI718" s="990" t="str">
        <f t="shared" si="2036"/>
        <v/>
      </c>
      <c r="CJ718" s="989" t="str">
        <f t="shared" si="2036"/>
        <v/>
      </c>
      <c r="CK718" s="989" t="str">
        <f t="shared" si="2036"/>
        <v/>
      </c>
      <c r="CL718" s="989" t="str">
        <f t="shared" si="2036"/>
        <v/>
      </c>
      <c r="CM718" s="988" t="str">
        <f t="shared" si="2036"/>
        <v/>
      </c>
      <c r="CN718" s="533" t="str">
        <f t="shared" si="2037"/>
        <v/>
      </c>
      <c r="CO718" s="534" t="str">
        <f t="shared" si="2038"/>
        <v/>
      </c>
      <c r="CP718" s="535" t="str">
        <f t="shared" si="2039"/>
        <v/>
      </c>
      <c r="CQ718" s="535" t="str">
        <f t="shared" si="2040"/>
        <v/>
      </c>
      <c r="CR718" s="535" t="str">
        <f t="shared" si="2041"/>
        <v/>
      </c>
      <c r="CS718" s="535" t="str">
        <f t="shared" si="2042"/>
        <v/>
      </c>
      <c r="CT718" s="535" t="str">
        <f t="shared" si="2043"/>
        <v/>
      </c>
      <c r="CU718" s="536" t="str">
        <f t="shared" si="2044"/>
        <v/>
      </c>
      <c r="CV718" s="536" t="str">
        <f t="shared" si="2045"/>
        <v/>
      </c>
      <c r="CW718" s="536" t="str">
        <f t="shared" si="2046"/>
        <v/>
      </c>
      <c r="CX718" s="535" t="str">
        <f t="shared" si="2047"/>
        <v/>
      </c>
      <c r="CY718" s="535" t="str">
        <f t="shared" si="2048"/>
        <v/>
      </c>
      <c r="CZ718" s="535" t="str">
        <f t="shared" si="2049"/>
        <v/>
      </c>
      <c r="DA718" s="535" t="str">
        <f t="shared" si="2050"/>
        <v/>
      </c>
      <c r="DB718" s="535" t="str">
        <f t="shared" si="2051"/>
        <v/>
      </c>
      <c r="DC718" s="534" t="str">
        <f t="shared" si="2052"/>
        <v/>
      </c>
      <c r="DD718" s="533" t="str">
        <f t="shared" si="2053"/>
        <v/>
      </c>
      <c r="DE718" s="635">
        <f t="shared" si="2054"/>
        <v>0</v>
      </c>
      <c r="DF718" s="95">
        <f t="shared" si="2055"/>
        <v>0</v>
      </c>
      <c r="DG718" s="95">
        <f t="shared" si="2056"/>
        <v>0</v>
      </c>
      <c r="DH718" s="95">
        <f t="shared" si="2057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022"/>
        <v/>
      </c>
      <c r="CA719" s="582" t="str">
        <f t="shared" si="2023"/>
        <v/>
      </c>
      <c r="CB719" s="582" t="str">
        <f t="shared" si="2024"/>
        <v/>
      </c>
      <c r="CC719" s="670" t="str">
        <f t="shared" si="2025"/>
        <v/>
      </c>
      <c r="CD719" s="988" t="str">
        <f t="shared" si="2036"/>
        <v/>
      </c>
      <c r="CE719" s="989" t="str">
        <f t="shared" si="2036"/>
        <v/>
      </c>
      <c r="CF719" s="989" t="str">
        <f t="shared" si="2036"/>
        <v/>
      </c>
      <c r="CG719" s="989" t="str">
        <f t="shared" si="2036"/>
        <v/>
      </c>
      <c r="CH719" s="990" t="str">
        <f t="shared" si="2036"/>
        <v/>
      </c>
      <c r="CI719" s="990" t="str">
        <f t="shared" si="2036"/>
        <v/>
      </c>
      <c r="CJ719" s="989" t="str">
        <f t="shared" si="2036"/>
        <v/>
      </c>
      <c r="CK719" s="989" t="str">
        <f t="shared" si="2036"/>
        <v/>
      </c>
      <c r="CL719" s="989" t="str">
        <f t="shared" si="2036"/>
        <v/>
      </c>
      <c r="CM719" s="988" t="str">
        <f t="shared" si="2036"/>
        <v/>
      </c>
      <c r="CN719" s="533" t="str">
        <f t="shared" si="2037"/>
        <v/>
      </c>
      <c r="CO719" s="534" t="str">
        <f t="shared" si="2038"/>
        <v/>
      </c>
      <c r="CP719" s="535" t="str">
        <f t="shared" si="2039"/>
        <v/>
      </c>
      <c r="CQ719" s="535" t="str">
        <f t="shared" si="2040"/>
        <v/>
      </c>
      <c r="CR719" s="535" t="str">
        <f t="shared" si="2041"/>
        <v/>
      </c>
      <c r="CS719" s="535" t="str">
        <f t="shared" si="2042"/>
        <v/>
      </c>
      <c r="CT719" s="535" t="str">
        <f t="shared" si="2043"/>
        <v/>
      </c>
      <c r="CU719" s="536" t="str">
        <f t="shared" si="2044"/>
        <v/>
      </c>
      <c r="CV719" s="536" t="str">
        <f t="shared" si="2045"/>
        <v/>
      </c>
      <c r="CW719" s="536" t="str">
        <f t="shared" si="2046"/>
        <v/>
      </c>
      <c r="CX719" s="535" t="str">
        <f t="shared" si="2047"/>
        <v/>
      </c>
      <c r="CY719" s="535" t="str">
        <f t="shared" si="2048"/>
        <v/>
      </c>
      <c r="CZ719" s="535" t="str">
        <f t="shared" si="2049"/>
        <v/>
      </c>
      <c r="DA719" s="535" t="str">
        <f t="shared" si="2050"/>
        <v/>
      </c>
      <c r="DB719" s="535" t="str">
        <f t="shared" si="2051"/>
        <v/>
      </c>
      <c r="DC719" s="534" t="str">
        <f t="shared" si="2052"/>
        <v/>
      </c>
      <c r="DD719" s="533" t="str">
        <f t="shared" si="2053"/>
        <v/>
      </c>
      <c r="DE719" s="635">
        <f t="shared" si="2054"/>
        <v>0</v>
      </c>
      <c r="DF719" s="95">
        <f t="shared" si="2055"/>
        <v>0</v>
      </c>
      <c r="DG719" s="95">
        <f t="shared" si="2056"/>
        <v>0</v>
      </c>
      <c r="DH719" s="95">
        <f t="shared" si="2057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3000</v>
      </c>
      <c r="BW720" s="591">
        <f>'Data 2'!BW153</f>
        <v>3000</v>
      </c>
      <c r="BX720" s="591">
        <f>'Data 2'!BX153</f>
        <v>0</v>
      </c>
      <c r="BY720" s="591">
        <f>'Data 2'!BY153</f>
        <v>0</v>
      </c>
      <c r="BZ720" s="582">
        <f t="shared" si="2022"/>
        <v>0</v>
      </c>
      <c r="CA720" s="582">
        <f t="shared" si="2023"/>
        <v>0</v>
      </c>
      <c r="CB720" s="582">
        <f t="shared" si="2024"/>
        <v>0</v>
      </c>
      <c r="CC720" s="670">
        <f t="shared" si="2025"/>
        <v>0</v>
      </c>
      <c r="CD720" s="988">
        <f t="shared" ref="CD720:CM720" si="205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058"/>
        <v>0</v>
      </c>
      <c r="CF720" s="989">
        <f t="shared" si="2058"/>
        <v>0</v>
      </c>
      <c r="CG720" s="989">
        <f t="shared" si="2058"/>
        <v>0</v>
      </c>
      <c r="CH720" s="990">
        <f t="shared" si="2058"/>
        <v>0</v>
      </c>
      <c r="CI720" s="990">
        <f t="shared" si="2058"/>
        <v>0</v>
      </c>
      <c r="CJ720" s="989">
        <f t="shared" si="2058"/>
        <v>0</v>
      </c>
      <c r="CK720" s="989">
        <f t="shared" si="2058"/>
        <v>0</v>
      </c>
      <c r="CL720" s="989">
        <f t="shared" si="2058"/>
        <v>0</v>
      </c>
      <c r="CM720" s="988">
        <f t="shared" si="2058"/>
        <v>0</v>
      </c>
      <c r="CN720" s="533" t="str">
        <f t="shared" si="2037"/>
        <v/>
      </c>
      <c r="CO720" s="534" t="str">
        <f t="shared" si="2038"/>
        <v/>
      </c>
      <c r="CP720" s="535" t="str">
        <f t="shared" si="2039"/>
        <v/>
      </c>
      <c r="CQ720" s="535" t="str">
        <f t="shared" si="2040"/>
        <v/>
      </c>
      <c r="CR720" s="535">
        <f t="shared" si="2041"/>
        <v>0</v>
      </c>
      <c r="CS720" s="535">
        <f t="shared" si="2042"/>
        <v>0</v>
      </c>
      <c r="CT720" s="535">
        <f t="shared" si="2043"/>
        <v>0</v>
      </c>
      <c r="CU720" s="536">
        <f t="shared" si="2044"/>
        <v>0</v>
      </c>
      <c r="CV720" s="536">
        <f t="shared" si="2045"/>
        <v>0</v>
      </c>
      <c r="CW720" s="536">
        <f t="shared" si="2046"/>
        <v>0</v>
      </c>
      <c r="CX720" s="535">
        <f t="shared" si="2047"/>
        <v>0</v>
      </c>
      <c r="CY720" s="535">
        <f t="shared" si="2048"/>
        <v>0</v>
      </c>
      <c r="CZ720" s="535">
        <f t="shared" si="2049"/>
        <v>0</v>
      </c>
      <c r="DA720" s="535">
        <f t="shared" si="2050"/>
        <v>0</v>
      </c>
      <c r="DB720" s="535" t="str">
        <f t="shared" si="2051"/>
        <v/>
      </c>
      <c r="DC720" s="534" t="str">
        <f t="shared" si="2052"/>
        <v/>
      </c>
      <c r="DD720" s="533" t="str">
        <f t="shared" si="2053"/>
        <v/>
      </c>
      <c r="DE720" s="635">
        <f t="shared" si="2054"/>
        <v>10</v>
      </c>
      <c r="DF720" s="95">
        <f t="shared" si="2055"/>
        <v>10</v>
      </c>
      <c r="DG720" s="95">
        <f t="shared" si="2056"/>
        <v>10</v>
      </c>
      <c r="DH720" s="95">
        <f t="shared" si="2057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022"/>
        <v/>
      </c>
      <c r="CA721" s="582" t="str">
        <f t="shared" si="2023"/>
        <v/>
      </c>
      <c r="CB721" s="582" t="str">
        <f t="shared" si="2024"/>
        <v/>
      </c>
      <c r="CC721" s="670" t="str">
        <f t="shared" si="2025"/>
        <v/>
      </c>
      <c r="CD721" s="988" t="str">
        <f t="shared" ref="CD721:CD733" si="2059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060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060"/>
        <v/>
      </c>
      <c r="CG721" s="989" t="str">
        <f t="shared" si="2060"/>
        <v/>
      </c>
      <c r="CH721" s="990" t="str">
        <f t="shared" si="2060"/>
        <v/>
      </c>
      <c r="CI721" s="990" t="str">
        <f t="shared" si="2060"/>
        <v/>
      </c>
      <c r="CJ721" s="989" t="str">
        <f t="shared" si="2060"/>
        <v/>
      </c>
      <c r="CK721" s="989" t="str">
        <f t="shared" si="2060"/>
        <v/>
      </c>
      <c r="CL721" s="989" t="str">
        <f t="shared" si="2060"/>
        <v/>
      </c>
      <c r="CM721" s="988" t="str">
        <f t="shared" si="2060"/>
        <v/>
      </c>
      <c r="CN721" s="533" t="str">
        <f t="shared" si="2037"/>
        <v/>
      </c>
      <c r="CO721" s="534" t="str">
        <f t="shared" si="2038"/>
        <v/>
      </c>
      <c r="CP721" s="535" t="str">
        <f t="shared" si="2039"/>
        <v/>
      </c>
      <c r="CQ721" s="535" t="str">
        <f t="shared" si="2040"/>
        <v/>
      </c>
      <c r="CR721" s="535" t="str">
        <f t="shared" si="2041"/>
        <v/>
      </c>
      <c r="CS721" s="535" t="str">
        <f t="shared" si="2042"/>
        <v/>
      </c>
      <c r="CT721" s="535" t="str">
        <f t="shared" si="2043"/>
        <v/>
      </c>
      <c r="CU721" s="536" t="str">
        <f t="shared" si="2044"/>
        <v/>
      </c>
      <c r="CV721" s="536" t="str">
        <f t="shared" si="2045"/>
        <v/>
      </c>
      <c r="CW721" s="536" t="str">
        <f t="shared" si="2046"/>
        <v/>
      </c>
      <c r="CX721" s="535" t="str">
        <f t="shared" si="2047"/>
        <v/>
      </c>
      <c r="CY721" s="535" t="str">
        <f t="shared" si="2048"/>
        <v/>
      </c>
      <c r="CZ721" s="535" t="str">
        <f t="shared" si="2049"/>
        <v/>
      </c>
      <c r="DA721" s="535" t="str">
        <f t="shared" si="2050"/>
        <v/>
      </c>
      <c r="DB721" s="535" t="str">
        <f t="shared" si="2051"/>
        <v/>
      </c>
      <c r="DC721" s="534" t="str">
        <f t="shared" si="2052"/>
        <v/>
      </c>
      <c r="DD721" s="533" t="str">
        <f t="shared" si="2053"/>
        <v/>
      </c>
      <c r="DE721" s="635">
        <f t="shared" si="2054"/>
        <v>0</v>
      </c>
      <c r="DF721" s="95">
        <f t="shared" si="2055"/>
        <v>0</v>
      </c>
      <c r="DG721" s="95">
        <f t="shared" si="2056"/>
        <v>0</v>
      </c>
      <c r="DH721" s="95">
        <f t="shared" si="2057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022"/>
        <v/>
      </c>
      <c r="CA722" s="582" t="str">
        <f t="shared" si="2023"/>
        <v/>
      </c>
      <c r="CB722" s="582" t="str">
        <f t="shared" si="2024"/>
        <v/>
      </c>
      <c r="CC722" s="670" t="str">
        <f t="shared" si="2025"/>
        <v/>
      </c>
      <c r="CD722" s="988" t="str">
        <f t="shared" si="2059"/>
        <v/>
      </c>
      <c r="CE722" s="989" t="str">
        <f t="shared" si="2060"/>
        <v/>
      </c>
      <c r="CF722" s="989" t="str">
        <f t="shared" si="2060"/>
        <v/>
      </c>
      <c r="CG722" s="989" t="str">
        <f t="shared" si="2060"/>
        <v/>
      </c>
      <c r="CH722" s="990" t="str">
        <f t="shared" si="2060"/>
        <v/>
      </c>
      <c r="CI722" s="990" t="str">
        <f t="shared" si="2060"/>
        <v/>
      </c>
      <c r="CJ722" s="989" t="str">
        <f t="shared" si="2060"/>
        <v/>
      </c>
      <c r="CK722" s="989" t="str">
        <f t="shared" si="2060"/>
        <v/>
      </c>
      <c r="CL722" s="989" t="str">
        <f t="shared" si="2060"/>
        <v/>
      </c>
      <c r="CM722" s="988" t="str">
        <f t="shared" si="2060"/>
        <v/>
      </c>
      <c r="CN722" s="533" t="str">
        <f t="shared" si="2037"/>
        <v/>
      </c>
      <c r="CO722" s="534" t="str">
        <f t="shared" si="2038"/>
        <v/>
      </c>
      <c r="CP722" s="535" t="str">
        <f t="shared" si="2039"/>
        <v/>
      </c>
      <c r="CQ722" s="535" t="str">
        <f t="shared" si="2040"/>
        <v/>
      </c>
      <c r="CR722" s="535" t="str">
        <f t="shared" si="2041"/>
        <v/>
      </c>
      <c r="CS722" s="535" t="str">
        <f t="shared" si="2042"/>
        <v/>
      </c>
      <c r="CT722" s="535" t="str">
        <f t="shared" si="2043"/>
        <v/>
      </c>
      <c r="CU722" s="536" t="str">
        <f t="shared" si="2044"/>
        <v/>
      </c>
      <c r="CV722" s="536" t="str">
        <f t="shared" si="2045"/>
        <v/>
      </c>
      <c r="CW722" s="536" t="str">
        <f t="shared" si="2046"/>
        <v/>
      </c>
      <c r="CX722" s="535" t="str">
        <f t="shared" si="2047"/>
        <v/>
      </c>
      <c r="CY722" s="535" t="str">
        <f t="shared" si="2048"/>
        <v/>
      </c>
      <c r="CZ722" s="535" t="str">
        <f t="shared" si="2049"/>
        <v/>
      </c>
      <c r="DA722" s="535" t="str">
        <f t="shared" si="2050"/>
        <v/>
      </c>
      <c r="DB722" s="535" t="str">
        <f t="shared" si="2051"/>
        <v/>
      </c>
      <c r="DC722" s="534" t="str">
        <f t="shared" si="2052"/>
        <v/>
      </c>
      <c r="DD722" s="533" t="str">
        <f t="shared" si="2053"/>
        <v/>
      </c>
      <c r="DE722" s="635">
        <f t="shared" si="2054"/>
        <v>0</v>
      </c>
      <c r="DF722" s="95">
        <f t="shared" si="2055"/>
        <v>0</v>
      </c>
      <c r="DG722" s="95">
        <f t="shared" si="2056"/>
        <v>0</v>
      </c>
      <c r="DH722" s="95">
        <f t="shared" si="2057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022"/>
        <v/>
      </c>
      <c r="CA723" s="582" t="str">
        <f t="shared" si="2023"/>
        <v/>
      </c>
      <c r="CB723" s="582" t="str">
        <f t="shared" si="2024"/>
        <v/>
      </c>
      <c r="CC723" s="670" t="str">
        <f t="shared" si="2025"/>
        <v/>
      </c>
      <c r="CD723" s="988" t="str">
        <f t="shared" si="2059"/>
        <v/>
      </c>
      <c r="CE723" s="989" t="str">
        <f t="shared" si="2060"/>
        <v/>
      </c>
      <c r="CF723" s="989" t="str">
        <f t="shared" si="2060"/>
        <v/>
      </c>
      <c r="CG723" s="989" t="str">
        <f t="shared" si="2060"/>
        <v/>
      </c>
      <c r="CH723" s="990" t="str">
        <f t="shared" si="2060"/>
        <v/>
      </c>
      <c r="CI723" s="990" t="str">
        <f t="shared" si="2060"/>
        <v/>
      </c>
      <c r="CJ723" s="989" t="str">
        <f t="shared" si="2060"/>
        <v/>
      </c>
      <c r="CK723" s="989" t="str">
        <f t="shared" si="2060"/>
        <v/>
      </c>
      <c r="CL723" s="989" t="str">
        <f t="shared" si="2060"/>
        <v/>
      </c>
      <c r="CM723" s="988" t="str">
        <f t="shared" si="2060"/>
        <v/>
      </c>
      <c r="CN723" s="533" t="str">
        <f t="shared" si="2037"/>
        <v/>
      </c>
      <c r="CO723" s="534" t="str">
        <f t="shared" si="2038"/>
        <v/>
      </c>
      <c r="CP723" s="535" t="str">
        <f t="shared" si="2039"/>
        <v/>
      </c>
      <c r="CQ723" s="535" t="str">
        <f t="shared" si="2040"/>
        <v/>
      </c>
      <c r="CR723" s="535" t="str">
        <f t="shared" si="2041"/>
        <v/>
      </c>
      <c r="CS723" s="535" t="str">
        <f t="shared" si="2042"/>
        <v/>
      </c>
      <c r="CT723" s="535" t="str">
        <f t="shared" si="2043"/>
        <v/>
      </c>
      <c r="CU723" s="536" t="str">
        <f t="shared" si="2044"/>
        <v/>
      </c>
      <c r="CV723" s="536" t="str">
        <f t="shared" si="2045"/>
        <v/>
      </c>
      <c r="CW723" s="536" t="str">
        <f t="shared" si="2046"/>
        <v/>
      </c>
      <c r="CX723" s="535" t="str">
        <f t="shared" si="2047"/>
        <v/>
      </c>
      <c r="CY723" s="535" t="str">
        <f t="shared" si="2048"/>
        <v/>
      </c>
      <c r="CZ723" s="535" t="str">
        <f t="shared" si="2049"/>
        <v/>
      </c>
      <c r="DA723" s="535" t="str">
        <f t="shared" si="2050"/>
        <v/>
      </c>
      <c r="DB723" s="535" t="str">
        <f t="shared" si="2051"/>
        <v/>
      </c>
      <c r="DC723" s="534" t="str">
        <f t="shared" si="2052"/>
        <v/>
      </c>
      <c r="DD723" s="533" t="str">
        <f t="shared" si="2053"/>
        <v/>
      </c>
      <c r="DE723" s="635">
        <f t="shared" si="2054"/>
        <v>0</v>
      </c>
      <c r="DF723" s="95">
        <f t="shared" si="2055"/>
        <v>0</v>
      </c>
      <c r="DG723" s="95">
        <f t="shared" si="2056"/>
        <v>0</v>
      </c>
      <c r="DH723" s="95">
        <f t="shared" si="2057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061">IF(B721="","",B721*B722*B723)</f>
        <v/>
      </c>
      <c r="C724" s="591" t="str">
        <f t="shared" si="2061"/>
        <v/>
      </c>
      <c r="D724" s="591" t="str">
        <f t="shared" si="2061"/>
        <v/>
      </c>
      <c r="E724" s="591" t="str">
        <f t="shared" si="2061"/>
        <v/>
      </c>
      <c r="F724" s="591" t="str">
        <f t="shared" si="2061"/>
        <v/>
      </c>
      <c r="G724" s="591" t="str">
        <f t="shared" si="2061"/>
        <v/>
      </c>
      <c r="H724" s="591" t="str">
        <f t="shared" si="2061"/>
        <v/>
      </c>
      <c r="I724" s="591" t="str">
        <f t="shared" si="2061"/>
        <v/>
      </c>
      <c r="J724" s="591" t="str">
        <f t="shared" si="2061"/>
        <v/>
      </c>
      <c r="K724" s="591" t="str">
        <f t="shared" si="2061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062">IF(T721="","",T721*T722*T723)</f>
        <v/>
      </c>
      <c r="U724" s="591" t="str">
        <f t="shared" si="2062"/>
        <v/>
      </c>
      <c r="V724" s="591" t="str">
        <f t="shared" si="2062"/>
        <v/>
      </c>
      <c r="W724" s="591" t="str">
        <f t="shared" si="2062"/>
        <v/>
      </c>
      <c r="X724" s="591" t="str">
        <f t="shared" si="2062"/>
        <v/>
      </c>
      <c r="Y724" s="591" t="str">
        <f t="shared" si="2062"/>
        <v/>
      </c>
      <c r="Z724" s="591" t="str">
        <f t="shared" si="2062"/>
        <v/>
      </c>
      <c r="AA724" s="591" t="str">
        <f t="shared" si="2062"/>
        <v/>
      </c>
      <c r="AB724" s="591" t="str">
        <f t="shared" si="2062"/>
        <v/>
      </c>
      <c r="AC724" s="591" t="str">
        <f t="shared" si="2062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063">IF(AL721="","",AL721*AL722*AL723)</f>
        <v/>
      </c>
      <c r="AM724" s="591" t="str">
        <f t="shared" si="2063"/>
        <v/>
      </c>
      <c r="AN724" s="591" t="str">
        <f t="shared" si="2063"/>
        <v/>
      </c>
      <c r="AO724" s="591" t="str">
        <f t="shared" si="2063"/>
        <v/>
      </c>
      <c r="AP724" s="591" t="str">
        <f t="shared" si="2063"/>
        <v/>
      </c>
      <c r="AQ724" s="591" t="str">
        <f t="shared" si="2063"/>
        <v/>
      </c>
      <c r="AR724" s="591" t="str">
        <f t="shared" si="2063"/>
        <v/>
      </c>
      <c r="AS724" s="591" t="str">
        <f t="shared" si="2063"/>
        <v/>
      </c>
      <c r="AT724" s="591" t="str">
        <f t="shared" si="2063"/>
        <v/>
      </c>
      <c r="AU724" s="591" t="str">
        <f t="shared" si="2063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064">IF(BD721="","",BD721*BD722*BD723)</f>
        <v/>
      </c>
      <c r="BE724" s="1194" t="str">
        <f t="shared" si="2064"/>
        <v/>
      </c>
      <c r="BF724" s="1194" t="str">
        <f t="shared" si="2064"/>
        <v/>
      </c>
      <c r="BG724" s="1194" t="str">
        <f t="shared" si="2064"/>
        <v/>
      </c>
      <c r="BH724" s="1194" t="str">
        <f t="shared" si="2064"/>
        <v/>
      </c>
      <c r="BI724" s="1194" t="str">
        <f t="shared" si="2064"/>
        <v/>
      </c>
      <c r="BJ724" s="1194" t="str">
        <f t="shared" si="2064"/>
        <v/>
      </c>
      <c r="BK724" s="1194" t="str">
        <f t="shared" si="2064"/>
        <v/>
      </c>
      <c r="BL724" s="1194" t="str">
        <f t="shared" si="2064"/>
        <v/>
      </c>
      <c r="BM724" s="1194" t="str">
        <f t="shared" si="2064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022"/>
        <v/>
      </c>
      <c r="CA724" s="582" t="str">
        <f t="shared" si="2023"/>
        <v/>
      </c>
      <c r="CB724" s="582" t="str">
        <f t="shared" si="2024"/>
        <v/>
      </c>
      <c r="CC724" s="670" t="str">
        <f t="shared" si="2025"/>
        <v/>
      </c>
      <c r="CD724" s="988" t="str">
        <f t="shared" si="2059"/>
        <v/>
      </c>
      <c r="CE724" s="989" t="str">
        <f t="shared" si="2060"/>
        <v/>
      </c>
      <c r="CF724" s="989" t="str">
        <f t="shared" si="2060"/>
        <v/>
      </c>
      <c r="CG724" s="989" t="str">
        <f t="shared" si="2060"/>
        <v/>
      </c>
      <c r="CH724" s="990" t="str">
        <f t="shared" si="2060"/>
        <v/>
      </c>
      <c r="CI724" s="990" t="str">
        <f t="shared" si="2060"/>
        <v/>
      </c>
      <c r="CJ724" s="989" t="str">
        <f t="shared" si="2060"/>
        <v/>
      </c>
      <c r="CK724" s="989" t="str">
        <f t="shared" si="2060"/>
        <v/>
      </c>
      <c r="CL724" s="989" t="str">
        <f t="shared" si="2060"/>
        <v/>
      </c>
      <c r="CM724" s="988" t="str">
        <f t="shared" si="2060"/>
        <v/>
      </c>
      <c r="CN724" s="533" t="str">
        <f t="shared" si="2037"/>
        <v/>
      </c>
      <c r="CO724" s="534" t="str">
        <f t="shared" si="2038"/>
        <v/>
      </c>
      <c r="CP724" s="535" t="str">
        <f t="shared" si="2039"/>
        <v/>
      </c>
      <c r="CQ724" s="535" t="str">
        <f t="shared" si="2040"/>
        <v/>
      </c>
      <c r="CR724" s="535" t="str">
        <f t="shared" si="2041"/>
        <v/>
      </c>
      <c r="CS724" s="535" t="str">
        <f t="shared" si="2042"/>
        <v/>
      </c>
      <c r="CT724" s="535" t="str">
        <f t="shared" si="2043"/>
        <v/>
      </c>
      <c r="CU724" s="536" t="str">
        <f t="shared" si="2044"/>
        <v/>
      </c>
      <c r="CV724" s="536" t="str">
        <f t="shared" si="2045"/>
        <v/>
      </c>
      <c r="CW724" s="536" t="str">
        <f t="shared" si="2046"/>
        <v/>
      </c>
      <c r="CX724" s="535" t="str">
        <f t="shared" si="2047"/>
        <v/>
      </c>
      <c r="CY724" s="535" t="str">
        <f t="shared" si="2048"/>
        <v/>
      </c>
      <c r="CZ724" s="535" t="str">
        <f t="shared" si="2049"/>
        <v/>
      </c>
      <c r="DA724" s="535" t="str">
        <f t="shared" si="2050"/>
        <v/>
      </c>
      <c r="DB724" s="535" t="str">
        <f t="shared" si="2051"/>
        <v/>
      </c>
      <c r="DC724" s="534" t="str">
        <f t="shared" si="2052"/>
        <v/>
      </c>
      <c r="DD724" s="533" t="str">
        <f t="shared" si="2053"/>
        <v/>
      </c>
      <c r="DE724" s="635">
        <f t="shared" si="2054"/>
        <v>0</v>
      </c>
      <c r="DF724" s="95">
        <f t="shared" si="2055"/>
        <v>0</v>
      </c>
      <c r="DG724" s="95">
        <f t="shared" si="2056"/>
        <v>0</v>
      </c>
      <c r="DH724" s="95">
        <f t="shared" si="2057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022"/>
        <v/>
      </c>
      <c r="CA725" s="582" t="str">
        <f t="shared" si="2023"/>
        <v/>
      </c>
      <c r="CB725" s="582" t="str">
        <f t="shared" si="2024"/>
        <v/>
      </c>
      <c r="CC725" s="670" t="str">
        <f t="shared" si="2025"/>
        <v/>
      </c>
      <c r="CD725" s="988" t="str">
        <f t="shared" si="2059"/>
        <v/>
      </c>
      <c r="CE725" s="989" t="str">
        <f t="shared" si="2060"/>
        <v/>
      </c>
      <c r="CF725" s="989" t="str">
        <f t="shared" si="2060"/>
        <v/>
      </c>
      <c r="CG725" s="989" t="str">
        <f t="shared" si="2060"/>
        <v/>
      </c>
      <c r="CH725" s="990" t="str">
        <f t="shared" si="2060"/>
        <v/>
      </c>
      <c r="CI725" s="990" t="str">
        <f t="shared" si="2060"/>
        <v/>
      </c>
      <c r="CJ725" s="989" t="str">
        <f t="shared" si="2060"/>
        <v/>
      </c>
      <c r="CK725" s="989" t="str">
        <f t="shared" si="2060"/>
        <v/>
      </c>
      <c r="CL725" s="989" t="str">
        <f t="shared" si="2060"/>
        <v/>
      </c>
      <c r="CM725" s="988" t="str">
        <f t="shared" si="2060"/>
        <v/>
      </c>
      <c r="CN725" s="533" t="str">
        <f t="shared" si="2037"/>
        <v/>
      </c>
      <c r="CO725" s="534" t="str">
        <f t="shared" si="2038"/>
        <v/>
      </c>
      <c r="CP725" s="535" t="str">
        <f t="shared" si="2039"/>
        <v/>
      </c>
      <c r="CQ725" s="535" t="str">
        <f t="shared" si="2040"/>
        <v/>
      </c>
      <c r="CR725" s="535" t="str">
        <f t="shared" si="2041"/>
        <v/>
      </c>
      <c r="CS725" s="535" t="str">
        <f t="shared" si="2042"/>
        <v/>
      </c>
      <c r="CT725" s="535" t="str">
        <f t="shared" si="2043"/>
        <v/>
      </c>
      <c r="CU725" s="536" t="str">
        <f t="shared" si="2044"/>
        <v/>
      </c>
      <c r="CV725" s="536" t="str">
        <f t="shared" si="2045"/>
        <v/>
      </c>
      <c r="CW725" s="536" t="str">
        <f t="shared" si="2046"/>
        <v/>
      </c>
      <c r="CX725" s="535" t="str">
        <f t="shared" si="2047"/>
        <v/>
      </c>
      <c r="CY725" s="535" t="str">
        <f t="shared" si="2048"/>
        <v/>
      </c>
      <c r="CZ725" s="535" t="str">
        <f t="shared" si="2049"/>
        <v/>
      </c>
      <c r="DA725" s="535" t="str">
        <f t="shared" si="2050"/>
        <v/>
      </c>
      <c r="DB725" s="535" t="str">
        <f t="shared" si="2051"/>
        <v/>
      </c>
      <c r="DC725" s="534" t="str">
        <f t="shared" si="2052"/>
        <v/>
      </c>
      <c r="DD725" s="533" t="str">
        <f t="shared" si="2053"/>
        <v/>
      </c>
      <c r="DE725" s="635">
        <f t="shared" si="2054"/>
        <v>0</v>
      </c>
      <c r="DF725" s="95">
        <f t="shared" si="2055"/>
        <v>0</v>
      </c>
      <c r="DG725" s="95">
        <f t="shared" si="2056"/>
        <v>0</v>
      </c>
      <c r="DH725" s="95">
        <f t="shared" si="2057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022"/>
        <v/>
      </c>
      <c r="CA726" s="582" t="str">
        <f t="shared" si="2023"/>
        <v/>
      </c>
      <c r="CB726" s="582" t="str">
        <f t="shared" si="2024"/>
        <v/>
      </c>
      <c r="CC726" s="670" t="str">
        <f t="shared" si="2025"/>
        <v/>
      </c>
      <c r="CD726" s="988" t="str">
        <f t="shared" si="2059"/>
        <v/>
      </c>
      <c r="CE726" s="989" t="str">
        <f t="shared" si="2060"/>
        <v/>
      </c>
      <c r="CF726" s="989" t="str">
        <f t="shared" si="2060"/>
        <v/>
      </c>
      <c r="CG726" s="989" t="str">
        <f t="shared" si="2060"/>
        <v/>
      </c>
      <c r="CH726" s="990" t="str">
        <f t="shared" si="2060"/>
        <v/>
      </c>
      <c r="CI726" s="990" t="str">
        <f t="shared" si="2060"/>
        <v/>
      </c>
      <c r="CJ726" s="989" t="str">
        <f t="shared" si="2060"/>
        <v/>
      </c>
      <c r="CK726" s="989" t="str">
        <f t="shared" si="2060"/>
        <v/>
      </c>
      <c r="CL726" s="989" t="str">
        <f t="shared" si="2060"/>
        <v/>
      </c>
      <c r="CM726" s="988" t="str">
        <f t="shared" si="2060"/>
        <v/>
      </c>
      <c r="CN726" s="533" t="str">
        <f t="shared" si="2037"/>
        <v/>
      </c>
      <c r="CO726" s="534" t="str">
        <f t="shared" si="2038"/>
        <v/>
      </c>
      <c r="CP726" s="535" t="str">
        <f t="shared" si="2039"/>
        <v/>
      </c>
      <c r="CQ726" s="535" t="str">
        <f t="shared" si="2040"/>
        <v/>
      </c>
      <c r="CR726" s="535" t="str">
        <f t="shared" si="2041"/>
        <v/>
      </c>
      <c r="CS726" s="535" t="str">
        <f t="shared" si="2042"/>
        <v/>
      </c>
      <c r="CT726" s="535" t="str">
        <f t="shared" si="2043"/>
        <v/>
      </c>
      <c r="CU726" s="536" t="str">
        <f t="shared" si="2044"/>
        <v/>
      </c>
      <c r="CV726" s="536" t="str">
        <f t="shared" si="2045"/>
        <v/>
      </c>
      <c r="CW726" s="536" t="str">
        <f t="shared" si="2046"/>
        <v/>
      </c>
      <c r="CX726" s="535" t="str">
        <f t="shared" si="2047"/>
        <v/>
      </c>
      <c r="CY726" s="535" t="str">
        <f t="shared" si="2048"/>
        <v/>
      </c>
      <c r="CZ726" s="535" t="str">
        <f t="shared" si="2049"/>
        <v/>
      </c>
      <c r="DA726" s="535" t="str">
        <f t="shared" si="2050"/>
        <v/>
      </c>
      <c r="DB726" s="535" t="str">
        <f t="shared" si="2051"/>
        <v/>
      </c>
      <c r="DC726" s="534" t="str">
        <f t="shared" si="2052"/>
        <v/>
      </c>
      <c r="DD726" s="533" t="str">
        <f t="shared" si="2053"/>
        <v/>
      </c>
      <c r="DE726" s="635">
        <f t="shared" si="2054"/>
        <v>0</v>
      </c>
      <c r="DF726" s="95">
        <f t="shared" si="2055"/>
        <v>0</v>
      </c>
      <c r="DG726" s="95">
        <f t="shared" si="2056"/>
        <v>0</v>
      </c>
      <c r="DH726" s="95">
        <f t="shared" si="2057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065">IF(B725="","",B725*B726)</f>
        <v/>
      </c>
      <c r="C727" s="592" t="str">
        <f t="shared" si="2065"/>
        <v/>
      </c>
      <c r="D727" s="592" t="str">
        <f t="shared" si="2065"/>
        <v/>
      </c>
      <c r="E727" s="592" t="str">
        <f t="shared" si="2065"/>
        <v/>
      </c>
      <c r="F727" s="592" t="str">
        <f t="shared" si="2065"/>
        <v/>
      </c>
      <c r="G727" s="592" t="str">
        <f t="shared" si="2065"/>
        <v/>
      </c>
      <c r="H727" s="592" t="str">
        <f t="shared" si="2065"/>
        <v/>
      </c>
      <c r="I727" s="592" t="str">
        <f t="shared" si="2065"/>
        <v/>
      </c>
      <c r="J727" s="592" t="str">
        <f t="shared" si="2065"/>
        <v/>
      </c>
      <c r="K727" s="592" t="str">
        <f t="shared" si="2065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066">IF(T725="","",T725*T726)</f>
        <v/>
      </c>
      <c r="U727" s="592" t="str">
        <f t="shared" si="2066"/>
        <v/>
      </c>
      <c r="V727" s="592" t="str">
        <f t="shared" si="2066"/>
        <v/>
      </c>
      <c r="W727" s="592" t="str">
        <f t="shared" si="2066"/>
        <v/>
      </c>
      <c r="X727" s="592" t="str">
        <f t="shared" si="2066"/>
        <v/>
      </c>
      <c r="Y727" s="592" t="str">
        <f t="shared" si="2066"/>
        <v/>
      </c>
      <c r="Z727" s="592" t="str">
        <f t="shared" si="2066"/>
        <v/>
      </c>
      <c r="AA727" s="592" t="str">
        <f t="shared" si="2066"/>
        <v/>
      </c>
      <c r="AB727" s="592" t="str">
        <f t="shared" si="2066"/>
        <v/>
      </c>
      <c r="AC727" s="592" t="str">
        <f t="shared" si="2066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067">IF(AL725="","",AL725*AL726)</f>
        <v/>
      </c>
      <c r="AM727" s="592" t="str">
        <f t="shared" si="2067"/>
        <v/>
      </c>
      <c r="AN727" s="592" t="str">
        <f t="shared" si="2067"/>
        <v/>
      </c>
      <c r="AO727" s="592" t="str">
        <f t="shared" si="2067"/>
        <v/>
      </c>
      <c r="AP727" s="592" t="str">
        <f t="shared" si="2067"/>
        <v/>
      </c>
      <c r="AQ727" s="592" t="str">
        <f t="shared" si="2067"/>
        <v/>
      </c>
      <c r="AR727" s="592" t="str">
        <f t="shared" si="2067"/>
        <v/>
      </c>
      <c r="AS727" s="592" t="str">
        <f t="shared" si="2067"/>
        <v/>
      </c>
      <c r="AT727" s="592" t="str">
        <f t="shared" si="2067"/>
        <v/>
      </c>
      <c r="AU727" s="592" t="str">
        <f t="shared" si="2067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068">IF(BD725="","",BD725*BD726)</f>
        <v/>
      </c>
      <c r="BE727" s="1195" t="str">
        <f t="shared" si="2068"/>
        <v/>
      </c>
      <c r="BF727" s="1195" t="str">
        <f t="shared" si="2068"/>
        <v/>
      </c>
      <c r="BG727" s="1195" t="str">
        <f t="shared" si="2068"/>
        <v/>
      </c>
      <c r="BH727" s="1195" t="str">
        <f t="shared" si="2068"/>
        <v/>
      </c>
      <c r="BI727" s="1195" t="str">
        <f t="shared" si="2068"/>
        <v/>
      </c>
      <c r="BJ727" s="1195" t="str">
        <f t="shared" si="2068"/>
        <v/>
      </c>
      <c r="BK727" s="1195" t="str">
        <f t="shared" si="2068"/>
        <v/>
      </c>
      <c r="BL727" s="1195" t="str">
        <f t="shared" si="2068"/>
        <v/>
      </c>
      <c r="BM727" s="1195" t="str">
        <f t="shared" si="2068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022"/>
        <v/>
      </c>
      <c r="CA727" s="582" t="str">
        <f t="shared" si="2023"/>
        <v/>
      </c>
      <c r="CB727" s="582" t="str">
        <f t="shared" si="2024"/>
        <v/>
      </c>
      <c r="CC727" s="670" t="str">
        <f t="shared" si="2025"/>
        <v/>
      </c>
      <c r="CD727" s="988" t="str">
        <f t="shared" si="2059"/>
        <v/>
      </c>
      <c r="CE727" s="989" t="str">
        <f t="shared" si="2060"/>
        <v/>
      </c>
      <c r="CF727" s="989" t="str">
        <f t="shared" si="2060"/>
        <v/>
      </c>
      <c r="CG727" s="989" t="str">
        <f t="shared" si="2060"/>
        <v/>
      </c>
      <c r="CH727" s="990" t="str">
        <f t="shared" si="2060"/>
        <v/>
      </c>
      <c r="CI727" s="990" t="str">
        <f t="shared" si="2060"/>
        <v/>
      </c>
      <c r="CJ727" s="989" t="str">
        <f t="shared" si="2060"/>
        <v/>
      </c>
      <c r="CK727" s="989" t="str">
        <f t="shared" si="2060"/>
        <v/>
      </c>
      <c r="CL727" s="989" t="str">
        <f t="shared" si="2060"/>
        <v/>
      </c>
      <c r="CM727" s="988" t="str">
        <f t="shared" si="2060"/>
        <v/>
      </c>
      <c r="CN727" s="533" t="str">
        <f t="shared" si="2037"/>
        <v/>
      </c>
      <c r="CO727" s="534" t="str">
        <f t="shared" si="2038"/>
        <v/>
      </c>
      <c r="CP727" s="535" t="str">
        <f t="shared" si="2039"/>
        <v/>
      </c>
      <c r="CQ727" s="535" t="str">
        <f t="shared" si="2040"/>
        <v/>
      </c>
      <c r="CR727" s="535" t="str">
        <f t="shared" si="2041"/>
        <v/>
      </c>
      <c r="CS727" s="535" t="str">
        <f t="shared" si="2042"/>
        <v/>
      </c>
      <c r="CT727" s="535" t="str">
        <f t="shared" si="2043"/>
        <v/>
      </c>
      <c r="CU727" s="536" t="str">
        <f t="shared" si="2044"/>
        <v/>
      </c>
      <c r="CV727" s="536" t="str">
        <f t="shared" si="2045"/>
        <v/>
      </c>
      <c r="CW727" s="536" t="str">
        <f t="shared" si="2046"/>
        <v/>
      </c>
      <c r="CX727" s="535" t="str">
        <f t="shared" si="2047"/>
        <v/>
      </c>
      <c r="CY727" s="535" t="str">
        <f t="shared" si="2048"/>
        <v/>
      </c>
      <c r="CZ727" s="535" t="str">
        <f t="shared" si="2049"/>
        <v/>
      </c>
      <c r="DA727" s="535" t="str">
        <f t="shared" si="2050"/>
        <v/>
      </c>
      <c r="DB727" s="535" t="str">
        <f t="shared" si="2051"/>
        <v/>
      </c>
      <c r="DC727" s="534" t="str">
        <f t="shared" si="2052"/>
        <v/>
      </c>
      <c r="DD727" s="533" t="str">
        <f t="shared" si="2053"/>
        <v/>
      </c>
      <c r="DE727" s="635">
        <f t="shared" si="2054"/>
        <v>0</v>
      </c>
      <c r="DF727" s="95">
        <f t="shared" si="2055"/>
        <v>0</v>
      </c>
      <c r="DG727" s="95">
        <f t="shared" si="2056"/>
        <v>0</v>
      </c>
      <c r="DH727" s="95">
        <f t="shared" si="2057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069">IF(DE728&lt;3,"",(SUM(B728:R728)-MIN(B728:R728)-MAX(B728:R728))/(DE728-2))</f>
        <v/>
      </c>
      <c r="CA728" s="582" t="str">
        <f t="shared" ref="CA728:CA733" si="2070">IF(DF728&lt;3,"",(SUM(T728:AJ728)-MIN(T728:AJ728)-MAX(T728:AJ728))/(DF728-2))</f>
        <v/>
      </c>
      <c r="CB728" s="582" t="str">
        <f t="shared" ref="CB728:CB733" si="2071">IF(DG728&lt;3,"",(SUM(AL728:BB728)-MIN(AL728:BB728)-MAX(AL728:BB728))/(DG728-2))</f>
        <v/>
      </c>
      <c r="CC728" s="670" t="str">
        <f t="shared" ref="CC728:CC733" si="2072">IF(DH728&lt;3,"",(SUM(BD728:BT728)-MIN(BD728:BT728)-MAX(BD728:BT728))/(DH728-2))</f>
        <v/>
      </c>
      <c r="CD728" s="988" t="str">
        <f t="shared" si="2059"/>
        <v/>
      </c>
      <c r="CE728" s="989" t="str">
        <f t="shared" si="2060"/>
        <v/>
      </c>
      <c r="CF728" s="989" t="str">
        <f t="shared" si="2060"/>
        <v/>
      </c>
      <c r="CG728" s="989" t="str">
        <f t="shared" si="2060"/>
        <v/>
      </c>
      <c r="CH728" s="990" t="str">
        <f t="shared" si="2060"/>
        <v/>
      </c>
      <c r="CI728" s="990" t="str">
        <f t="shared" si="2060"/>
        <v/>
      </c>
      <c r="CJ728" s="989" t="str">
        <f t="shared" si="2060"/>
        <v/>
      </c>
      <c r="CK728" s="989" t="str">
        <f t="shared" si="2060"/>
        <v/>
      </c>
      <c r="CL728" s="989" t="str">
        <f t="shared" si="2060"/>
        <v/>
      </c>
      <c r="CM728" s="988" t="str">
        <f t="shared" si="2060"/>
        <v/>
      </c>
      <c r="CN728" s="533" t="str">
        <f t="shared" si="2037"/>
        <v/>
      </c>
      <c r="CO728" s="534" t="str">
        <f t="shared" si="2038"/>
        <v/>
      </c>
      <c r="CP728" s="535" t="str">
        <f t="shared" si="2039"/>
        <v/>
      </c>
      <c r="CQ728" s="535" t="str">
        <f t="shared" si="2040"/>
        <v/>
      </c>
      <c r="CR728" s="535" t="str">
        <f t="shared" si="2041"/>
        <v/>
      </c>
      <c r="CS728" s="535" t="str">
        <f t="shared" si="2042"/>
        <v/>
      </c>
      <c r="CT728" s="535" t="str">
        <f t="shared" si="2043"/>
        <v/>
      </c>
      <c r="CU728" s="536" t="str">
        <f t="shared" si="2044"/>
        <v/>
      </c>
      <c r="CV728" s="536" t="str">
        <f t="shared" si="2045"/>
        <v/>
      </c>
      <c r="CW728" s="536" t="str">
        <f t="shared" si="2046"/>
        <v/>
      </c>
      <c r="CX728" s="535" t="str">
        <f t="shared" si="2047"/>
        <v/>
      </c>
      <c r="CY728" s="535" t="str">
        <f t="shared" si="2048"/>
        <v/>
      </c>
      <c r="CZ728" s="535" t="str">
        <f t="shared" si="2049"/>
        <v/>
      </c>
      <c r="DA728" s="535" t="str">
        <f t="shared" si="2050"/>
        <v/>
      </c>
      <c r="DB728" s="535" t="str">
        <f t="shared" si="2051"/>
        <v/>
      </c>
      <c r="DC728" s="534" t="str">
        <f t="shared" si="2052"/>
        <v/>
      </c>
      <c r="DD728" s="533" t="str">
        <f t="shared" si="2053"/>
        <v/>
      </c>
      <c r="DE728" s="635">
        <f t="shared" ref="DE728:DE733" si="2073">COUNT(B728:R728)</f>
        <v>0</v>
      </c>
      <c r="DF728" s="95">
        <f t="shared" ref="DF728:DF733" si="2074">COUNT(T728:AJ728)</f>
        <v>0</v>
      </c>
      <c r="DG728" s="95">
        <f t="shared" ref="DG728:DG733" si="2075">COUNT(AL728:BB728)</f>
        <v>0</v>
      </c>
      <c r="DH728" s="95">
        <f t="shared" ref="DH728:DH733" si="2076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069"/>
        <v/>
      </c>
      <c r="CA729" s="582" t="str">
        <f t="shared" si="2070"/>
        <v/>
      </c>
      <c r="CB729" s="582" t="str">
        <f t="shared" si="2071"/>
        <v/>
      </c>
      <c r="CC729" s="670" t="str">
        <f t="shared" si="2072"/>
        <v/>
      </c>
      <c r="CD729" s="988" t="str">
        <f t="shared" si="2059"/>
        <v/>
      </c>
      <c r="CE729" s="989" t="str">
        <f t="shared" si="2060"/>
        <v/>
      </c>
      <c r="CF729" s="989" t="str">
        <f t="shared" si="2060"/>
        <v/>
      </c>
      <c r="CG729" s="989" t="str">
        <f t="shared" si="2060"/>
        <v/>
      </c>
      <c r="CH729" s="990" t="str">
        <f t="shared" si="2060"/>
        <v/>
      </c>
      <c r="CI729" s="990" t="str">
        <f t="shared" si="2060"/>
        <v/>
      </c>
      <c r="CJ729" s="989" t="str">
        <f t="shared" si="2060"/>
        <v/>
      </c>
      <c r="CK729" s="989" t="str">
        <f t="shared" si="2060"/>
        <v/>
      </c>
      <c r="CL729" s="989" t="str">
        <f t="shared" si="2060"/>
        <v/>
      </c>
      <c r="CM729" s="988" t="str">
        <f t="shared" si="2060"/>
        <v/>
      </c>
      <c r="CN729" s="533" t="str">
        <f t="shared" si="2037"/>
        <v/>
      </c>
      <c r="CO729" s="534" t="str">
        <f t="shared" si="2038"/>
        <v/>
      </c>
      <c r="CP729" s="535" t="str">
        <f t="shared" si="2039"/>
        <v/>
      </c>
      <c r="CQ729" s="535" t="str">
        <f t="shared" si="2040"/>
        <v/>
      </c>
      <c r="CR729" s="535" t="str">
        <f t="shared" si="2041"/>
        <v/>
      </c>
      <c r="CS729" s="535" t="str">
        <f t="shared" si="2042"/>
        <v/>
      </c>
      <c r="CT729" s="535" t="str">
        <f t="shared" si="2043"/>
        <v/>
      </c>
      <c r="CU729" s="536" t="str">
        <f t="shared" si="2044"/>
        <v/>
      </c>
      <c r="CV729" s="536" t="str">
        <f t="shared" si="2045"/>
        <v/>
      </c>
      <c r="CW729" s="536" t="str">
        <f t="shared" si="2046"/>
        <v/>
      </c>
      <c r="CX729" s="535" t="str">
        <f t="shared" si="2047"/>
        <v/>
      </c>
      <c r="CY729" s="535" t="str">
        <f t="shared" si="2048"/>
        <v/>
      </c>
      <c r="CZ729" s="535" t="str">
        <f t="shared" si="2049"/>
        <v/>
      </c>
      <c r="DA729" s="535" t="str">
        <f t="shared" si="2050"/>
        <v/>
      </c>
      <c r="DB729" s="535" t="str">
        <f t="shared" si="2051"/>
        <v/>
      </c>
      <c r="DC729" s="534" t="str">
        <f t="shared" si="2052"/>
        <v/>
      </c>
      <c r="DD729" s="533" t="str">
        <f t="shared" si="2053"/>
        <v/>
      </c>
      <c r="DE729" s="635">
        <f t="shared" si="2073"/>
        <v>0</v>
      </c>
      <c r="DF729" s="95">
        <f t="shared" si="2074"/>
        <v>0</v>
      </c>
      <c r="DG729" s="95">
        <f t="shared" si="2075"/>
        <v>0</v>
      </c>
      <c r="DH729" s="95">
        <f t="shared" si="2076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069"/>
        <v/>
      </c>
      <c r="CA730" s="582" t="str">
        <f t="shared" si="2070"/>
        <v/>
      </c>
      <c r="CB730" s="582" t="str">
        <f t="shared" si="2071"/>
        <v/>
      </c>
      <c r="CC730" s="670" t="str">
        <f t="shared" si="2072"/>
        <v/>
      </c>
      <c r="CD730" s="988" t="str">
        <f t="shared" si="2059"/>
        <v/>
      </c>
      <c r="CE730" s="989" t="str">
        <f t="shared" si="2060"/>
        <v/>
      </c>
      <c r="CF730" s="989" t="str">
        <f t="shared" si="2060"/>
        <v/>
      </c>
      <c r="CG730" s="989" t="str">
        <f t="shared" si="2060"/>
        <v/>
      </c>
      <c r="CH730" s="990" t="str">
        <f t="shared" si="2060"/>
        <v/>
      </c>
      <c r="CI730" s="990" t="str">
        <f t="shared" si="2060"/>
        <v/>
      </c>
      <c r="CJ730" s="989" t="str">
        <f t="shared" si="2060"/>
        <v/>
      </c>
      <c r="CK730" s="989" t="str">
        <f t="shared" si="2060"/>
        <v/>
      </c>
      <c r="CL730" s="989" t="str">
        <f t="shared" si="2060"/>
        <v/>
      </c>
      <c r="CM730" s="988" t="str">
        <f t="shared" si="2060"/>
        <v/>
      </c>
      <c r="CN730" s="533" t="str">
        <f t="shared" si="2037"/>
        <v/>
      </c>
      <c r="CO730" s="534" t="str">
        <f t="shared" si="2038"/>
        <v/>
      </c>
      <c r="CP730" s="535" t="str">
        <f t="shared" si="2039"/>
        <v/>
      </c>
      <c r="CQ730" s="535" t="str">
        <f t="shared" si="2040"/>
        <v/>
      </c>
      <c r="CR730" s="535" t="str">
        <f t="shared" si="2041"/>
        <v/>
      </c>
      <c r="CS730" s="535" t="str">
        <f t="shared" si="2042"/>
        <v/>
      </c>
      <c r="CT730" s="535" t="str">
        <f t="shared" si="2043"/>
        <v/>
      </c>
      <c r="CU730" s="536" t="str">
        <f t="shared" si="2044"/>
        <v/>
      </c>
      <c r="CV730" s="536" t="str">
        <f t="shared" si="2045"/>
        <v/>
      </c>
      <c r="CW730" s="536" t="str">
        <f t="shared" si="2046"/>
        <v/>
      </c>
      <c r="CX730" s="535" t="str">
        <f t="shared" si="2047"/>
        <v/>
      </c>
      <c r="CY730" s="535" t="str">
        <f t="shared" si="2048"/>
        <v/>
      </c>
      <c r="CZ730" s="535" t="str">
        <f t="shared" si="2049"/>
        <v/>
      </c>
      <c r="DA730" s="535" t="str">
        <f t="shared" si="2050"/>
        <v/>
      </c>
      <c r="DB730" s="535" t="str">
        <f t="shared" si="2051"/>
        <v/>
      </c>
      <c r="DC730" s="534" t="str">
        <f t="shared" si="2052"/>
        <v/>
      </c>
      <c r="DD730" s="533" t="str">
        <f t="shared" si="2053"/>
        <v/>
      </c>
      <c r="DE730" s="635">
        <f t="shared" si="2073"/>
        <v>0</v>
      </c>
      <c r="DF730" s="95">
        <f t="shared" si="2074"/>
        <v>0</v>
      </c>
      <c r="DG730" s="95">
        <f t="shared" si="2075"/>
        <v>0</v>
      </c>
      <c r="DH730" s="95">
        <f t="shared" si="2076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069"/>
        <v/>
      </c>
      <c r="CA731" s="582" t="str">
        <f t="shared" si="2070"/>
        <v/>
      </c>
      <c r="CB731" s="582" t="str">
        <f t="shared" si="2071"/>
        <v/>
      </c>
      <c r="CC731" s="670" t="str">
        <f t="shared" si="2072"/>
        <v/>
      </c>
      <c r="CD731" s="988" t="str">
        <f t="shared" si="2059"/>
        <v/>
      </c>
      <c r="CE731" s="989" t="str">
        <f t="shared" si="2060"/>
        <v/>
      </c>
      <c r="CF731" s="989" t="str">
        <f t="shared" si="2060"/>
        <v/>
      </c>
      <c r="CG731" s="989" t="str">
        <f t="shared" si="2060"/>
        <v/>
      </c>
      <c r="CH731" s="990" t="str">
        <f t="shared" si="2060"/>
        <v/>
      </c>
      <c r="CI731" s="990" t="str">
        <f t="shared" si="2060"/>
        <v/>
      </c>
      <c r="CJ731" s="989" t="str">
        <f t="shared" si="2060"/>
        <v/>
      </c>
      <c r="CK731" s="989" t="str">
        <f t="shared" si="2060"/>
        <v/>
      </c>
      <c r="CL731" s="989" t="str">
        <f t="shared" si="2060"/>
        <v/>
      </c>
      <c r="CM731" s="988" t="str">
        <f t="shared" si="2060"/>
        <v/>
      </c>
      <c r="CN731" s="533" t="str">
        <f t="shared" si="2037"/>
        <v/>
      </c>
      <c r="CO731" s="534" t="str">
        <f t="shared" si="2038"/>
        <v/>
      </c>
      <c r="CP731" s="535" t="str">
        <f t="shared" si="2039"/>
        <v/>
      </c>
      <c r="CQ731" s="535" t="str">
        <f t="shared" si="2040"/>
        <v/>
      </c>
      <c r="CR731" s="535" t="str">
        <f t="shared" si="2041"/>
        <v/>
      </c>
      <c r="CS731" s="535" t="str">
        <f t="shared" si="2042"/>
        <v/>
      </c>
      <c r="CT731" s="535" t="str">
        <f t="shared" si="2043"/>
        <v/>
      </c>
      <c r="CU731" s="536" t="str">
        <f t="shared" si="2044"/>
        <v/>
      </c>
      <c r="CV731" s="536" t="str">
        <f t="shared" si="2045"/>
        <v/>
      </c>
      <c r="CW731" s="536" t="str">
        <f t="shared" si="2046"/>
        <v/>
      </c>
      <c r="CX731" s="535" t="str">
        <f t="shared" si="2047"/>
        <v/>
      </c>
      <c r="CY731" s="535" t="str">
        <f t="shared" si="2048"/>
        <v/>
      </c>
      <c r="CZ731" s="535" t="str">
        <f t="shared" si="2049"/>
        <v/>
      </c>
      <c r="DA731" s="535" t="str">
        <f t="shared" si="2050"/>
        <v/>
      </c>
      <c r="DB731" s="535" t="str">
        <f t="shared" si="2051"/>
        <v/>
      </c>
      <c r="DC731" s="534" t="str">
        <f t="shared" si="2052"/>
        <v/>
      </c>
      <c r="DD731" s="533" t="str">
        <f t="shared" si="2053"/>
        <v/>
      </c>
      <c r="DE731" s="635">
        <f t="shared" si="2073"/>
        <v>0</v>
      </c>
      <c r="DF731" s="95">
        <f t="shared" si="2074"/>
        <v>0</v>
      </c>
      <c r="DG731" s="95">
        <f t="shared" si="2075"/>
        <v>0</v>
      </c>
      <c r="DH731" s="95">
        <f t="shared" si="2076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077">IF(B729="","",B728*B729*B730*B731)</f>
        <v/>
      </c>
      <c r="C732" s="591" t="str">
        <f t="shared" si="2077"/>
        <v/>
      </c>
      <c r="D732" s="591" t="str">
        <f t="shared" si="2077"/>
        <v/>
      </c>
      <c r="E732" s="591" t="str">
        <f t="shared" si="2077"/>
        <v/>
      </c>
      <c r="F732" s="591" t="str">
        <f t="shared" si="2077"/>
        <v/>
      </c>
      <c r="G732" s="591" t="str">
        <f t="shared" si="2077"/>
        <v/>
      </c>
      <c r="H732" s="591" t="str">
        <f t="shared" si="2077"/>
        <v/>
      </c>
      <c r="I732" s="591" t="str">
        <f t="shared" si="2077"/>
        <v/>
      </c>
      <c r="J732" s="591" t="str">
        <f t="shared" si="2077"/>
        <v/>
      </c>
      <c r="K732" s="591" t="str">
        <f t="shared" si="2077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078">IF(T729="","",T728*T729*T730*T731)</f>
        <v/>
      </c>
      <c r="U732" s="591" t="str">
        <f t="shared" si="2078"/>
        <v/>
      </c>
      <c r="V732" s="591" t="str">
        <f t="shared" si="2078"/>
        <v/>
      </c>
      <c r="W732" s="591" t="str">
        <f t="shared" si="2078"/>
        <v/>
      </c>
      <c r="X732" s="591" t="str">
        <f t="shared" si="2078"/>
        <v/>
      </c>
      <c r="Y732" s="591" t="str">
        <f t="shared" si="2078"/>
        <v/>
      </c>
      <c r="Z732" s="591" t="str">
        <f t="shared" si="2078"/>
        <v/>
      </c>
      <c r="AA732" s="591" t="str">
        <f t="shared" si="2078"/>
        <v/>
      </c>
      <c r="AB732" s="591" t="str">
        <f t="shared" si="2078"/>
        <v/>
      </c>
      <c r="AC732" s="591" t="str">
        <f t="shared" si="2078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079">IF(AL729="","",AL728*AL729*AL730*AL731)</f>
        <v/>
      </c>
      <c r="AM732" s="591" t="str">
        <f t="shared" si="2079"/>
        <v/>
      </c>
      <c r="AN732" s="591" t="str">
        <f t="shared" si="2079"/>
        <v/>
      </c>
      <c r="AO732" s="591" t="str">
        <f t="shared" si="2079"/>
        <v/>
      </c>
      <c r="AP732" s="591" t="str">
        <f t="shared" si="2079"/>
        <v/>
      </c>
      <c r="AQ732" s="591" t="str">
        <f t="shared" si="2079"/>
        <v/>
      </c>
      <c r="AR732" s="591" t="str">
        <f t="shared" si="2079"/>
        <v/>
      </c>
      <c r="AS732" s="591" t="str">
        <f t="shared" si="2079"/>
        <v/>
      </c>
      <c r="AT732" s="591" t="str">
        <f t="shared" si="2079"/>
        <v/>
      </c>
      <c r="AU732" s="591" t="str">
        <f t="shared" si="2079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080">IF(BD729="","",BD728*BD729*BD730*BD731)</f>
        <v/>
      </c>
      <c r="BE732" s="1194" t="str">
        <f t="shared" si="2080"/>
        <v/>
      </c>
      <c r="BF732" s="1194" t="str">
        <f t="shared" si="2080"/>
        <v/>
      </c>
      <c r="BG732" s="1194" t="str">
        <f t="shared" si="2080"/>
        <v/>
      </c>
      <c r="BH732" s="1194" t="str">
        <f t="shared" si="2080"/>
        <v/>
      </c>
      <c r="BI732" s="1194" t="str">
        <f t="shared" si="2080"/>
        <v/>
      </c>
      <c r="BJ732" s="1194" t="str">
        <f t="shared" si="2080"/>
        <v/>
      </c>
      <c r="BK732" s="1194" t="str">
        <f t="shared" si="2080"/>
        <v/>
      </c>
      <c r="BL732" s="1194" t="str">
        <f t="shared" si="2080"/>
        <v/>
      </c>
      <c r="BM732" s="1194" t="str">
        <f t="shared" si="2080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069"/>
        <v/>
      </c>
      <c r="CA732" s="582" t="str">
        <f t="shared" si="2070"/>
        <v/>
      </c>
      <c r="CB732" s="582" t="str">
        <f t="shared" si="2071"/>
        <v/>
      </c>
      <c r="CC732" s="670" t="str">
        <f t="shared" si="2072"/>
        <v/>
      </c>
      <c r="CD732" s="988" t="str">
        <f t="shared" si="2059"/>
        <v/>
      </c>
      <c r="CE732" s="989" t="str">
        <f t="shared" si="2060"/>
        <v/>
      </c>
      <c r="CF732" s="989" t="str">
        <f t="shared" si="2060"/>
        <v/>
      </c>
      <c r="CG732" s="989" t="str">
        <f t="shared" si="2060"/>
        <v/>
      </c>
      <c r="CH732" s="990" t="str">
        <f t="shared" si="2060"/>
        <v/>
      </c>
      <c r="CI732" s="990" t="str">
        <f t="shared" si="2060"/>
        <v/>
      </c>
      <c r="CJ732" s="989" t="str">
        <f t="shared" si="2060"/>
        <v/>
      </c>
      <c r="CK732" s="989" t="str">
        <f t="shared" si="2060"/>
        <v/>
      </c>
      <c r="CL732" s="989" t="str">
        <f t="shared" si="2060"/>
        <v/>
      </c>
      <c r="CM732" s="988" t="str">
        <f t="shared" si="2060"/>
        <v/>
      </c>
      <c r="CN732" s="533" t="str">
        <f t="shared" si="2037"/>
        <v/>
      </c>
      <c r="CO732" s="534" t="str">
        <f t="shared" si="2038"/>
        <v/>
      </c>
      <c r="CP732" s="535" t="str">
        <f t="shared" si="2039"/>
        <v/>
      </c>
      <c r="CQ732" s="535" t="str">
        <f t="shared" si="2040"/>
        <v/>
      </c>
      <c r="CR732" s="535" t="str">
        <f t="shared" si="2041"/>
        <v/>
      </c>
      <c r="CS732" s="535" t="str">
        <f t="shared" si="2042"/>
        <v/>
      </c>
      <c r="CT732" s="535" t="str">
        <f t="shared" si="2043"/>
        <v/>
      </c>
      <c r="CU732" s="536" t="str">
        <f t="shared" si="2044"/>
        <v/>
      </c>
      <c r="CV732" s="536" t="str">
        <f t="shared" si="2045"/>
        <v/>
      </c>
      <c r="CW732" s="536" t="str">
        <f t="shared" si="2046"/>
        <v/>
      </c>
      <c r="CX732" s="535" t="str">
        <f t="shared" si="2047"/>
        <v/>
      </c>
      <c r="CY732" s="535" t="str">
        <f t="shared" si="2048"/>
        <v/>
      </c>
      <c r="CZ732" s="535" t="str">
        <f t="shared" si="2049"/>
        <v/>
      </c>
      <c r="DA732" s="535" t="str">
        <f t="shared" si="2050"/>
        <v/>
      </c>
      <c r="DB732" s="535" t="str">
        <f t="shared" si="2051"/>
        <v/>
      </c>
      <c r="DC732" s="534" t="str">
        <f t="shared" si="2052"/>
        <v/>
      </c>
      <c r="DD732" s="533" t="str">
        <f t="shared" si="2053"/>
        <v/>
      </c>
      <c r="DE732" s="635">
        <f t="shared" si="2073"/>
        <v>0</v>
      </c>
      <c r="DF732" s="95">
        <f t="shared" si="2074"/>
        <v>0</v>
      </c>
      <c r="DG732" s="95">
        <f t="shared" si="2075"/>
        <v>0</v>
      </c>
      <c r="DH732" s="95">
        <f t="shared" si="2076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069"/>
        <v/>
      </c>
      <c r="CA733" s="582" t="str">
        <f t="shared" si="2070"/>
        <v/>
      </c>
      <c r="CB733" s="582" t="str">
        <f t="shared" si="2071"/>
        <v/>
      </c>
      <c r="CC733" s="670" t="str">
        <f t="shared" si="2072"/>
        <v/>
      </c>
      <c r="CD733" s="988" t="str">
        <f t="shared" si="2059"/>
        <v/>
      </c>
      <c r="CE733" s="989" t="str">
        <f t="shared" si="2060"/>
        <v/>
      </c>
      <c r="CF733" s="989" t="str">
        <f t="shared" si="2060"/>
        <v/>
      </c>
      <c r="CG733" s="989" t="str">
        <f t="shared" si="2060"/>
        <v/>
      </c>
      <c r="CH733" s="990" t="str">
        <f t="shared" si="2060"/>
        <v/>
      </c>
      <c r="CI733" s="990" t="str">
        <f t="shared" si="2060"/>
        <v/>
      </c>
      <c r="CJ733" s="989" t="str">
        <f t="shared" si="2060"/>
        <v/>
      </c>
      <c r="CK733" s="989" t="str">
        <f t="shared" si="2060"/>
        <v/>
      </c>
      <c r="CL733" s="989" t="str">
        <f t="shared" si="2060"/>
        <v/>
      </c>
      <c r="CM733" s="988" t="str">
        <f t="shared" si="2060"/>
        <v/>
      </c>
      <c r="CN733" s="533" t="str">
        <f t="shared" si="2037"/>
        <v/>
      </c>
      <c r="CO733" s="534" t="str">
        <f t="shared" si="2038"/>
        <v/>
      </c>
      <c r="CP733" s="535" t="str">
        <f t="shared" si="2039"/>
        <v/>
      </c>
      <c r="CQ733" s="535" t="str">
        <f t="shared" si="2040"/>
        <v/>
      </c>
      <c r="CR733" s="535" t="str">
        <f t="shared" si="2041"/>
        <v/>
      </c>
      <c r="CS733" s="535" t="str">
        <f t="shared" si="2042"/>
        <v/>
      </c>
      <c r="CT733" s="535" t="str">
        <f t="shared" si="2043"/>
        <v/>
      </c>
      <c r="CU733" s="536" t="str">
        <f t="shared" si="2044"/>
        <v/>
      </c>
      <c r="CV733" s="536" t="str">
        <f t="shared" si="2045"/>
        <v/>
      </c>
      <c r="CW733" s="536" t="str">
        <f t="shared" si="2046"/>
        <v/>
      </c>
      <c r="CX733" s="535" t="str">
        <f t="shared" si="2047"/>
        <v/>
      </c>
      <c r="CY733" s="535" t="str">
        <f t="shared" si="2048"/>
        <v/>
      </c>
      <c r="CZ733" s="535" t="str">
        <f t="shared" si="2049"/>
        <v/>
      </c>
      <c r="DA733" s="535" t="str">
        <f t="shared" si="2050"/>
        <v/>
      </c>
      <c r="DB733" s="535" t="str">
        <f t="shared" si="2051"/>
        <v/>
      </c>
      <c r="DC733" s="534" t="str">
        <f t="shared" si="2052"/>
        <v/>
      </c>
      <c r="DD733" s="533" t="str">
        <f t="shared" si="2053"/>
        <v/>
      </c>
      <c r="DE733" s="635">
        <f t="shared" si="2073"/>
        <v>0</v>
      </c>
      <c r="DF733" s="95">
        <f t="shared" si="2074"/>
        <v>0</v>
      </c>
      <c r="DG733" s="95">
        <f t="shared" si="2075"/>
        <v>0</v>
      </c>
      <c r="DH733" s="95">
        <f t="shared" si="2076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20</v>
      </c>
      <c r="BW734" s="215">
        <v>1</v>
      </c>
      <c r="BX734" s="215">
        <v>1</v>
      </c>
      <c r="BY734" s="215"/>
      <c r="BZ734" s="582" t="str">
        <f t="shared" ref="BZ734:BZ743" si="2081">IF(DE734&lt;3,"",(SUM(B734:R734)-MIN(B734:R734)-MAX(B734:R734))/(DE734-2))</f>
        <v/>
      </c>
      <c r="CA734" s="582" t="str">
        <f t="shared" ref="CA734:CA743" si="2082">IF(DF734&lt;3,"",(SUM(T734:AJ734)-MIN(T734:AJ734)-MAX(T734:AJ734))/(DF734-2))</f>
        <v/>
      </c>
      <c r="CB734" s="582" t="str">
        <f t="shared" ref="CB734:CB743" si="2083">IF(DG734&lt;3,"",(SUM(AL734:BB734)-MIN(AL734:BB734)-MAX(AL734:BB734))/(DG734-2))</f>
        <v/>
      </c>
      <c r="CC734" s="670" t="str">
        <f t="shared" ref="CC734:CC743" si="2084">IF(DH734&lt;3,"",(SUM(BD734:BT734)-MIN(BD734:BT734)-MAX(BD734:BT734))/(DH734-2))</f>
        <v/>
      </c>
      <c r="CD734" s="988" t="str">
        <f t="shared" ref="CD734:CM734" si="208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085"/>
        <v/>
      </c>
      <c r="CF734" s="989" t="str">
        <f t="shared" si="2085"/>
        <v/>
      </c>
      <c r="CG734" s="989" t="str">
        <f t="shared" si="2085"/>
        <v/>
      </c>
      <c r="CH734" s="990" t="str">
        <f t="shared" si="2085"/>
        <v/>
      </c>
      <c r="CI734" s="990" t="str">
        <f t="shared" si="2085"/>
        <v/>
      </c>
      <c r="CJ734" s="989" t="str">
        <f t="shared" si="2085"/>
        <v/>
      </c>
      <c r="CK734" s="989" t="str">
        <f t="shared" si="2085"/>
        <v/>
      </c>
      <c r="CL734" s="989" t="str">
        <f t="shared" si="2085"/>
        <v/>
      </c>
      <c r="CM734" s="988" t="str">
        <f t="shared" si="2085"/>
        <v/>
      </c>
      <c r="CN734" s="533" t="str">
        <f t="shared" ref="CN734:CW737" si="2086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086"/>
        <v/>
      </c>
      <c r="CP734" s="535" t="str">
        <f t="shared" si="2086"/>
        <v/>
      </c>
      <c r="CQ734" s="535" t="str">
        <f t="shared" si="2086"/>
        <v/>
      </c>
      <c r="CR734" s="535" t="str">
        <f t="shared" si="2086"/>
        <v/>
      </c>
      <c r="CS734" s="535" t="str">
        <f t="shared" si="2086"/>
        <v/>
      </c>
      <c r="CT734" s="535" t="str">
        <f t="shared" si="2086"/>
        <v/>
      </c>
      <c r="CU734" s="536" t="str">
        <f t="shared" si="2086"/>
        <v/>
      </c>
      <c r="CV734" s="536" t="str">
        <f t="shared" si="2086"/>
        <v/>
      </c>
      <c r="CW734" s="536" t="str">
        <f t="shared" si="2086"/>
        <v/>
      </c>
      <c r="CX734" s="535" t="str">
        <f t="shared" ref="CX734:DD737" si="2087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087"/>
        <v/>
      </c>
      <c r="CZ734" s="535" t="str">
        <f t="shared" si="2087"/>
        <v/>
      </c>
      <c r="DA734" s="535" t="str">
        <f t="shared" si="2087"/>
        <v/>
      </c>
      <c r="DB734" s="535" t="str">
        <f t="shared" si="2087"/>
        <v/>
      </c>
      <c r="DC734" s="534" t="str">
        <f t="shared" si="2087"/>
        <v/>
      </c>
      <c r="DD734" s="533" t="str">
        <f t="shared" si="2087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081"/>
        <v/>
      </c>
      <c r="CA735" s="582" t="str">
        <f t="shared" si="2082"/>
        <v/>
      </c>
      <c r="CB735" s="582" t="str">
        <f t="shared" si="2083"/>
        <v/>
      </c>
      <c r="CC735" s="670" t="str">
        <f t="shared" si="2084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08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088"/>
        <v/>
      </c>
      <c r="CG735" s="989" t="str">
        <f t="shared" si="2088"/>
        <v/>
      </c>
      <c r="CH735" s="990" t="str">
        <f t="shared" si="2088"/>
        <v/>
      </c>
      <c r="CI735" s="990" t="str">
        <f t="shared" si="2088"/>
        <v/>
      </c>
      <c r="CJ735" s="989" t="str">
        <f t="shared" si="2088"/>
        <v/>
      </c>
      <c r="CK735" s="989" t="str">
        <f t="shared" si="2088"/>
        <v/>
      </c>
      <c r="CL735" s="989" t="str">
        <f t="shared" si="2088"/>
        <v/>
      </c>
      <c r="CM735" s="988" t="str">
        <f t="shared" si="2088"/>
        <v/>
      </c>
      <c r="CN735" s="533" t="str">
        <f t="shared" si="2086"/>
        <v/>
      </c>
      <c r="CO735" s="534" t="str">
        <f t="shared" si="2086"/>
        <v/>
      </c>
      <c r="CP735" s="535" t="str">
        <f t="shared" si="2086"/>
        <v/>
      </c>
      <c r="CQ735" s="535" t="str">
        <f t="shared" si="2086"/>
        <v/>
      </c>
      <c r="CR735" s="535" t="str">
        <f t="shared" si="2086"/>
        <v/>
      </c>
      <c r="CS735" s="535" t="str">
        <f t="shared" si="2086"/>
        <v/>
      </c>
      <c r="CT735" s="535" t="str">
        <f t="shared" si="2086"/>
        <v/>
      </c>
      <c r="CU735" s="536" t="str">
        <f t="shared" si="2086"/>
        <v/>
      </c>
      <c r="CV735" s="536" t="str">
        <f t="shared" si="2086"/>
        <v/>
      </c>
      <c r="CW735" s="536" t="str">
        <f t="shared" si="2086"/>
        <v/>
      </c>
      <c r="CX735" s="535" t="str">
        <f t="shared" si="2087"/>
        <v/>
      </c>
      <c r="CY735" s="535" t="str">
        <f t="shared" si="2087"/>
        <v/>
      </c>
      <c r="CZ735" s="535" t="str">
        <f t="shared" si="2087"/>
        <v/>
      </c>
      <c r="DA735" s="535" t="str">
        <f t="shared" si="2087"/>
        <v/>
      </c>
      <c r="DB735" s="535" t="str">
        <f t="shared" si="2087"/>
        <v/>
      </c>
      <c r="DC735" s="534" t="str">
        <f t="shared" si="2087"/>
        <v/>
      </c>
      <c r="DD735" s="533" t="str">
        <f t="shared" si="2087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105</v>
      </c>
      <c r="BW736" s="215">
        <v>2000</v>
      </c>
      <c r="BX736" s="215">
        <v>2500</v>
      </c>
      <c r="BY736" s="215"/>
      <c r="BZ736" s="582" t="str">
        <f t="shared" si="2081"/>
        <v/>
      </c>
      <c r="CA736" s="582" t="str">
        <f t="shared" si="2082"/>
        <v/>
      </c>
      <c r="CB736" s="582" t="str">
        <f t="shared" si="2083"/>
        <v/>
      </c>
      <c r="CC736" s="670" t="str">
        <f t="shared" si="2084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088"/>
        <v/>
      </c>
      <c r="CF736" s="989" t="str">
        <f t="shared" si="2088"/>
        <v/>
      </c>
      <c r="CG736" s="989" t="str">
        <f t="shared" si="2088"/>
        <v/>
      </c>
      <c r="CH736" s="990" t="str">
        <f t="shared" si="2088"/>
        <v/>
      </c>
      <c r="CI736" s="990" t="str">
        <f t="shared" si="2088"/>
        <v/>
      </c>
      <c r="CJ736" s="989" t="str">
        <f t="shared" si="2088"/>
        <v/>
      </c>
      <c r="CK736" s="989" t="str">
        <f t="shared" si="2088"/>
        <v/>
      </c>
      <c r="CL736" s="989" t="str">
        <f t="shared" si="2088"/>
        <v/>
      </c>
      <c r="CM736" s="988" t="str">
        <f t="shared" si="2088"/>
        <v/>
      </c>
      <c r="CN736" s="533" t="str">
        <f t="shared" si="2086"/>
        <v/>
      </c>
      <c r="CO736" s="534" t="str">
        <f t="shared" si="2086"/>
        <v/>
      </c>
      <c r="CP736" s="535" t="str">
        <f t="shared" si="2086"/>
        <v/>
      </c>
      <c r="CQ736" s="535" t="str">
        <f t="shared" si="2086"/>
        <v/>
      </c>
      <c r="CR736" s="535" t="str">
        <f t="shared" si="2086"/>
        <v/>
      </c>
      <c r="CS736" s="535" t="str">
        <f t="shared" si="2086"/>
        <v/>
      </c>
      <c r="CT736" s="535" t="str">
        <f t="shared" si="2086"/>
        <v/>
      </c>
      <c r="CU736" s="536" t="str">
        <f t="shared" si="2086"/>
        <v/>
      </c>
      <c r="CV736" s="536" t="str">
        <f t="shared" si="2086"/>
        <v/>
      </c>
      <c r="CW736" s="536" t="str">
        <f t="shared" si="2086"/>
        <v/>
      </c>
      <c r="CX736" s="535" t="str">
        <f t="shared" si="2087"/>
        <v/>
      </c>
      <c r="CY736" s="535" t="str">
        <f t="shared" si="2087"/>
        <v/>
      </c>
      <c r="CZ736" s="535" t="str">
        <f t="shared" si="2087"/>
        <v/>
      </c>
      <c r="DA736" s="535" t="str">
        <f t="shared" si="2087"/>
        <v/>
      </c>
      <c r="DB736" s="535" t="str">
        <f t="shared" si="2087"/>
        <v/>
      </c>
      <c r="DC736" s="534" t="str">
        <f t="shared" si="2087"/>
        <v/>
      </c>
      <c r="DD736" s="533" t="str">
        <f t="shared" si="2087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089">IF(B734="","",B733*B734*B735*B736)</f>
        <v/>
      </c>
      <c r="C737" s="592" t="str">
        <f t="shared" si="2089"/>
        <v/>
      </c>
      <c r="D737" s="592" t="str">
        <f t="shared" si="2089"/>
        <v/>
      </c>
      <c r="E737" s="592" t="str">
        <f t="shared" si="2089"/>
        <v/>
      </c>
      <c r="F737" s="592" t="str">
        <f t="shared" si="2089"/>
        <v/>
      </c>
      <c r="G737" s="592" t="str">
        <f t="shared" si="2089"/>
        <v/>
      </c>
      <c r="H737" s="592" t="str">
        <f t="shared" si="2089"/>
        <v/>
      </c>
      <c r="I737" s="592" t="str">
        <f t="shared" si="2089"/>
        <v/>
      </c>
      <c r="J737" s="592" t="str">
        <f t="shared" si="2089"/>
        <v/>
      </c>
      <c r="K737" s="592" t="str">
        <f t="shared" si="2089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090">IF(T734="","",T733*T734*T735*T736)</f>
        <v/>
      </c>
      <c r="U737" s="592" t="str">
        <f t="shared" si="2090"/>
        <v/>
      </c>
      <c r="V737" s="592" t="str">
        <f t="shared" si="2090"/>
        <v/>
      </c>
      <c r="W737" s="592" t="str">
        <f t="shared" si="2090"/>
        <v/>
      </c>
      <c r="X737" s="592" t="str">
        <f t="shared" si="2090"/>
        <v/>
      </c>
      <c r="Y737" s="592" t="str">
        <f t="shared" si="2090"/>
        <v/>
      </c>
      <c r="Z737" s="592" t="str">
        <f t="shared" si="2090"/>
        <v/>
      </c>
      <c r="AA737" s="592" t="str">
        <f t="shared" si="2090"/>
        <v/>
      </c>
      <c r="AB737" s="592" t="str">
        <f t="shared" si="2090"/>
        <v/>
      </c>
      <c r="AC737" s="592" t="str">
        <f t="shared" si="2090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091">IF(AL734="","",AL733*AL734*AL735*AL736)</f>
        <v/>
      </c>
      <c r="AM737" s="592" t="str">
        <f t="shared" si="2091"/>
        <v/>
      </c>
      <c r="AN737" s="592" t="str">
        <f t="shared" si="2091"/>
        <v/>
      </c>
      <c r="AO737" s="592" t="str">
        <f t="shared" si="2091"/>
        <v/>
      </c>
      <c r="AP737" s="592" t="str">
        <f t="shared" si="2091"/>
        <v/>
      </c>
      <c r="AQ737" s="592" t="str">
        <f t="shared" si="2091"/>
        <v/>
      </c>
      <c r="AR737" s="592" t="str">
        <f t="shared" si="2091"/>
        <v/>
      </c>
      <c r="AS737" s="592" t="str">
        <f t="shared" si="2091"/>
        <v/>
      </c>
      <c r="AT737" s="592" t="str">
        <f t="shared" si="2091"/>
        <v/>
      </c>
      <c r="AU737" s="592" t="str">
        <f t="shared" si="2091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M737" si="2092">IF(BD734="","",BD733*BD734*BD735*BD736)</f>
        <v/>
      </c>
      <c r="BE737" s="1195" t="str">
        <f t="shared" si="2092"/>
        <v/>
      </c>
      <c r="BF737" s="1195" t="str">
        <f t="shared" si="2092"/>
        <v/>
      </c>
      <c r="BG737" s="1195" t="str">
        <f t="shared" si="2092"/>
        <v/>
      </c>
      <c r="BH737" s="1195" t="str">
        <f t="shared" si="2092"/>
        <v/>
      </c>
      <c r="BI737" s="1195" t="str">
        <f t="shared" si="2092"/>
        <v/>
      </c>
      <c r="BJ737" s="1195" t="str">
        <f t="shared" si="2092"/>
        <v/>
      </c>
      <c r="BK737" s="1195" t="str">
        <f t="shared" si="2092"/>
        <v/>
      </c>
      <c r="BL737" s="1195" t="str">
        <f t="shared" si="2092"/>
        <v/>
      </c>
      <c r="BM737" s="1195" t="str">
        <f t="shared" si="2092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>IF(BV734="","",BV733*BV734*BV735*BV736)</f>
        <v>4200</v>
      </c>
      <c r="BW737" s="1195">
        <f>IF(BW734="","",BW733*BW734*BW735*BW736)</f>
        <v>6000</v>
      </c>
      <c r="BX737" s="1195">
        <f>IF(BX734="","",BX733*BX734*BX735*BX736)</f>
        <v>30000</v>
      </c>
      <c r="BY737" s="1195" t="str">
        <f>IF(BY734="","",BY733*BY734*BY735*BY736)</f>
        <v/>
      </c>
      <c r="BZ737" s="582" t="str">
        <f t="shared" si="2081"/>
        <v/>
      </c>
      <c r="CA737" s="582" t="str">
        <f t="shared" si="2082"/>
        <v/>
      </c>
      <c r="CB737" s="582" t="str">
        <f t="shared" si="2083"/>
        <v/>
      </c>
      <c r="CC737" s="670" t="str">
        <f t="shared" si="2084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088"/>
        <v/>
      </c>
      <c r="CF737" s="989" t="str">
        <f t="shared" si="2088"/>
        <v/>
      </c>
      <c r="CG737" s="989" t="str">
        <f t="shared" si="2088"/>
        <v/>
      </c>
      <c r="CH737" s="990" t="str">
        <f t="shared" si="2088"/>
        <v/>
      </c>
      <c r="CI737" s="990" t="str">
        <f t="shared" si="2088"/>
        <v/>
      </c>
      <c r="CJ737" s="989" t="str">
        <f t="shared" si="2088"/>
        <v/>
      </c>
      <c r="CK737" s="989" t="str">
        <f t="shared" si="2088"/>
        <v/>
      </c>
      <c r="CL737" s="989" t="str">
        <f t="shared" si="2088"/>
        <v/>
      </c>
      <c r="CM737" s="988" t="str">
        <f t="shared" si="2088"/>
        <v/>
      </c>
      <c r="CN737" s="533" t="str">
        <f t="shared" si="2086"/>
        <v/>
      </c>
      <c r="CO737" s="534" t="str">
        <f t="shared" si="2086"/>
        <v/>
      </c>
      <c r="CP737" s="535" t="str">
        <f t="shared" si="2086"/>
        <v/>
      </c>
      <c r="CQ737" s="535" t="str">
        <f t="shared" si="2086"/>
        <v/>
      </c>
      <c r="CR737" s="535" t="str">
        <f t="shared" si="2086"/>
        <v/>
      </c>
      <c r="CS737" s="535" t="str">
        <f t="shared" si="2086"/>
        <v/>
      </c>
      <c r="CT737" s="535" t="str">
        <f t="shared" si="2086"/>
        <v/>
      </c>
      <c r="CU737" s="536" t="str">
        <f t="shared" si="2086"/>
        <v/>
      </c>
      <c r="CV737" s="536" t="str">
        <f t="shared" si="2086"/>
        <v/>
      </c>
      <c r="CW737" s="536" t="str">
        <f t="shared" si="2086"/>
        <v/>
      </c>
      <c r="CX737" s="535" t="str">
        <f t="shared" si="2087"/>
        <v/>
      </c>
      <c r="CY737" s="535" t="str">
        <f t="shared" si="2087"/>
        <v/>
      </c>
      <c r="CZ737" s="535" t="str">
        <f t="shared" si="2087"/>
        <v/>
      </c>
      <c r="DA737" s="535" t="str">
        <f t="shared" si="2087"/>
        <v/>
      </c>
      <c r="DB737" s="535" t="str">
        <f t="shared" si="2087"/>
        <v/>
      </c>
      <c r="DC737" s="534" t="str">
        <f t="shared" si="2087"/>
        <v/>
      </c>
      <c r="DD737" s="533" t="str">
        <f t="shared" si="2087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081"/>
        <v/>
      </c>
      <c r="CA738" s="574" t="str">
        <f t="shared" si="2082"/>
        <v/>
      </c>
      <c r="CB738" s="574" t="str">
        <f t="shared" si="2083"/>
        <v/>
      </c>
      <c r="CC738" s="669" t="str">
        <f t="shared" si="2084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081"/>
        <v/>
      </c>
      <c r="CA739" s="582" t="str">
        <f t="shared" si="2082"/>
        <v/>
      </c>
      <c r="CB739" s="582" t="str">
        <f t="shared" si="2083"/>
        <v/>
      </c>
      <c r="CC739" s="670" t="str">
        <f t="shared" si="2084"/>
        <v/>
      </c>
      <c r="CD739" s="988" t="str">
        <f t="shared" ref="CD739:CI742" si="209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093"/>
        <v/>
      </c>
      <c r="CF739" s="989" t="str">
        <f t="shared" si="2093"/>
        <v/>
      </c>
      <c r="CG739" s="989" t="str">
        <f t="shared" si="2093"/>
        <v/>
      </c>
      <c r="CH739" s="990" t="str">
        <f t="shared" si="2093"/>
        <v/>
      </c>
      <c r="CI739" s="990" t="str">
        <f t="shared" si="2093"/>
        <v/>
      </c>
      <c r="CJ739" s="989" t="str">
        <f t="shared" ref="CJ739:CM742" si="2094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094"/>
        <v/>
      </c>
      <c r="CL739" s="989" t="str">
        <f t="shared" si="2094"/>
        <v/>
      </c>
      <c r="CM739" s="988" t="str">
        <f t="shared" si="2094"/>
        <v/>
      </c>
      <c r="CN739" s="533" t="str">
        <f t="shared" ref="CN739:CW743" si="2095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095"/>
        <v/>
      </c>
      <c r="CP739" s="535" t="str">
        <f t="shared" si="2095"/>
        <v/>
      </c>
      <c r="CQ739" s="535" t="str">
        <f t="shared" si="2095"/>
        <v/>
      </c>
      <c r="CR739" s="535" t="str">
        <f t="shared" si="2095"/>
        <v/>
      </c>
      <c r="CS739" s="535" t="str">
        <f t="shared" si="2095"/>
        <v/>
      </c>
      <c r="CT739" s="535" t="str">
        <f t="shared" si="2095"/>
        <v/>
      </c>
      <c r="CU739" s="536" t="str">
        <f t="shared" si="2095"/>
        <v/>
      </c>
      <c r="CV739" s="536" t="str">
        <f t="shared" si="2095"/>
        <v/>
      </c>
      <c r="CW739" s="536" t="str">
        <f t="shared" si="2095"/>
        <v/>
      </c>
      <c r="CX739" s="535" t="str">
        <f t="shared" ref="CX739:DD743" si="2096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096"/>
        <v/>
      </c>
      <c r="CZ739" s="535" t="str">
        <f t="shared" si="2096"/>
        <v/>
      </c>
      <c r="DA739" s="535" t="str">
        <f t="shared" si="2096"/>
        <v/>
      </c>
      <c r="DB739" s="535" t="str">
        <f t="shared" si="2096"/>
        <v/>
      </c>
      <c r="DC739" s="534" t="str">
        <f t="shared" si="2096"/>
        <v/>
      </c>
      <c r="DD739" s="533" t="str">
        <f t="shared" si="2096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081"/>
        <v/>
      </c>
      <c r="CA740" s="582" t="str">
        <f t="shared" si="2082"/>
        <v/>
      </c>
      <c r="CB740" s="582" t="str">
        <f t="shared" si="2083"/>
        <v/>
      </c>
      <c r="CC740" s="670" t="str">
        <f t="shared" si="2084"/>
        <v/>
      </c>
      <c r="CD740" s="988" t="str">
        <f t="shared" si="2093"/>
        <v/>
      </c>
      <c r="CE740" s="989" t="str">
        <f t="shared" si="2093"/>
        <v/>
      </c>
      <c r="CF740" s="989" t="str">
        <f t="shared" si="2093"/>
        <v/>
      </c>
      <c r="CG740" s="989" t="str">
        <f t="shared" si="2093"/>
        <v/>
      </c>
      <c r="CH740" s="990" t="str">
        <f t="shared" si="2093"/>
        <v/>
      </c>
      <c r="CI740" s="990" t="str">
        <f t="shared" si="2093"/>
        <v/>
      </c>
      <c r="CJ740" s="989" t="str">
        <f t="shared" si="2094"/>
        <v/>
      </c>
      <c r="CK740" s="989" t="str">
        <f t="shared" si="2094"/>
        <v/>
      </c>
      <c r="CL740" s="989" t="str">
        <f t="shared" si="2094"/>
        <v/>
      </c>
      <c r="CM740" s="988" t="str">
        <f t="shared" si="2094"/>
        <v/>
      </c>
      <c r="CN740" s="533" t="str">
        <f t="shared" si="2095"/>
        <v/>
      </c>
      <c r="CO740" s="534" t="str">
        <f t="shared" si="2095"/>
        <v/>
      </c>
      <c r="CP740" s="535" t="str">
        <f t="shared" si="2095"/>
        <v/>
      </c>
      <c r="CQ740" s="535" t="str">
        <f t="shared" si="2095"/>
        <v/>
      </c>
      <c r="CR740" s="535" t="str">
        <f t="shared" si="2095"/>
        <v/>
      </c>
      <c r="CS740" s="535" t="str">
        <f t="shared" si="2095"/>
        <v/>
      </c>
      <c r="CT740" s="535" t="str">
        <f t="shared" si="2095"/>
        <v/>
      </c>
      <c r="CU740" s="536" t="str">
        <f t="shared" si="2095"/>
        <v/>
      </c>
      <c r="CV740" s="536" t="str">
        <f t="shared" si="2095"/>
        <v/>
      </c>
      <c r="CW740" s="536" t="str">
        <f t="shared" si="2095"/>
        <v/>
      </c>
      <c r="CX740" s="535" t="str">
        <f t="shared" si="2096"/>
        <v/>
      </c>
      <c r="CY740" s="535" t="str">
        <f t="shared" si="2096"/>
        <v/>
      </c>
      <c r="CZ740" s="535" t="str">
        <f t="shared" si="2096"/>
        <v/>
      </c>
      <c r="DA740" s="535" t="str">
        <f t="shared" si="2096"/>
        <v/>
      </c>
      <c r="DB740" s="535" t="str">
        <f t="shared" si="2096"/>
        <v/>
      </c>
      <c r="DC740" s="534" t="str">
        <f t="shared" si="2096"/>
        <v/>
      </c>
      <c r="DD740" s="533" t="str">
        <f t="shared" si="2096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081"/>
        <v/>
      </c>
      <c r="CA741" s="582" t="str">
        <f t="shared" si="2082"/>
        <v/>
      </c>
      <c r="CB741" s="582" t="str">
        <f t="shared" si="2083"/>
        <v/>
      </c>
      <c r="CC741" s="670" t="str">
        <f t="shared" si="2084"/>
        <v/>
      </c>
      <c r="CD741" s="988" t="str">
        <f t="shared" si="2093"/>
        <v/>
      </c>
      <c r="CE741" s="989" t="str">
        <f t="shared" si="2093"/>
        <v/>
      </c>
      <c r="CF741" s="989" t="str">
        <f t="shared" si="2093"/>
        <v/>
      </c>
      <c r="CG741" s="989" t="str">
        <f t="shared" si="2093"/>
        <v/>
      </c>
      <c r="CH741" s="990" t="str">
        <f t="shared" si="2093"/>
        <v/>
      </c>
      <c r="CI741" s="990" t="str">
        <f t="shared" si="2093"/>
        <v/>
      </c>
      <c r="CJ741" s="989" t="str">
        <f t="shared" si="2094"/>
        <v/>
      </c>
      <c r="CK741" s="989" t="str">
        <f t="shared" si="2094"/>
        <v/>
      </c>
      <c r="CL741" s="989" t="str">
        <f t="shared" si="2094"/>
        <v/>
      </c>
      <c r="CM741" s="988" t="str">
        <f t="shared" si="2094"/>
        <v/>
      </c>
      <c r="CN741" s="533" t="str">
        <f t="shared" si="2095"/>
        <v/>
      </c>
      <c r="CO741" s="534" t="str">
        <f t="shared" si="2095"/>
        <v/>
      </c>
      <c r="CP741" s="535" t="str">
        <f t="shared" si="2095"/>
        <v/>
      </c>
      <c r="CQ741" s="535" t="str">
        <f t="shared" si="2095"/>
        <v/>
      </c>
      <c r="CR741" s="535" t="str">
        <f t="shared" si="2095"/>
        <v/>
      </c>
      <c r="CS741" s="535" t="str">
        <f t="shared" si="2095"/>
        <v/>
      </c>
      <c r="CT741" s="535" t="str">
        <f t="shared" si="2095"/>
        <v/>
      </c>
      <c r="CU741" s="536" t="str">
        <f t="shared" si="2095"/>
        <v/>
      </c>
      <c r="CV741" s="536" t="str">
        <f t="shared" si="2095"/>
        <v/>
      </c>
      <c r="CW741" s="536" t="str">
        <f t="shared" si="2095"/>
        <v/>
      </c>
      <c r="CX741" s="535" t="str">
        <f t="shared" si="2096"/>
        <v/>
      </c>
      <c r="CY741" s="535" t="str">
        <f t="shared" si="2096"/>
        <v/>
      </c>
      <c r="CZ741" s="535" t="str">
        <f t="shared" si="2096"/>
        <v/>
      </c>
      <c r="DA741" s="535" t="str">
        <f t="shared" si="2096"/>
        <v/>
      </c>
      <c r="DB741" s="535" t="str">
        <f t="shared" si="2096"/>
        <v/>
      </c>
      <c r="DC741" s="534" t="str">
        <f t="shared" si="2096"/>
        <v/>
      </c>
      <c r="DD741" s="533" t="str">
        <f t="shared" si="2096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081"/>
        <v/>
      </c>
      <c r="CA742" s="582" t="str">
        <f t="shared" si="2082"/>
        <v/>
      </c>
      <c r="CB742" s="582" t="str">
        <f t="shared" si="2083"/>
        <v/>
      </c>
      <c r="CC742" s="670" t="str">
        <f t="shared" si="2084"/>
        <v/>
      </c>
      <c r="CD742" s="988" t="str">
        <f t="shared" si="2093"/>
        <v/>
      </c>
      <c r="CE742" s="989" t="str">
        <f t="shared" si="2093"/>
        <v/>
      </c>
      <c r="CF742" s="989" t="str">
        <f t="shared" si="2093"/>
        <v/>
      </c>
      <c r="CG742" s="989" t="str">
        <f t="shared" si="2093"/>
        <v/>
      </c>
      <c r="CH742" s="990" t="str">
        <f t="shared" si="2093"/>
        <v/>
      </c>
      <c r="CI742" s="990" t="str">
        <f t="shared" si="2093"/>
        <v/>
      </c>
      <c r="CJ742" s="989" t="str">
        <f t="shared" si="2094"/>
        <v/>
      </c>
      <c r="CK742" s="989" t="str">
        <f t="shared" si="2094"/>
        <v/>
      </c>
      <c r="CL742" s="989" t="str">
        <f t="shared" si="2094"/>
        <v/>
      </c>
      <c r="CM742" s="988" t="str">
        <f t="shared" si="2094"/>
        <v/>
      </c>
      <c r="CN742" s="533" t="str">
        <f t="shared" si="2095"/>
        <v/>
      </c>
      <c r="CO742" s="534" t="str">
        <f t="shared" si="2095"/>
        <v/>
      </c>
      <c r="CP742" s="535" t="str">
        <f t="shared" si="2095"/>
        <v/>
      </c>
      <c r="CQ742" s="535" t="str">
        <f t="shared" si="2095"/>
        <v/>
      </c>
      <c r="CR742" s="535" t="str">
        <f t="shared" si="2095"/>
        <v/>
      </c>
      <c r="CS742" s="535" t="str">
        <f t="shared" si="2095"/>
        <v/>
      </c>
      <c r="CT742" s="535" t="str">
        <f t="shared" si="2095"/>
        <v/>
      </c>
      <c r="CU742" s="536" t="str">
        <f t="shared" si="2095"/>
        <v/>
      </c>
      <c r="CV742" s="536" t="str">
        <f t="shared" si="2095"/>
        <v/>
      </c>
      <c r="CW742" s="536" t="str">
        <f t="shared" si="2095"/>
        <v/>
      </c>
      <c r="CX742" s="535" t="str">
        <f t="shared" si="2096"/>
        <v/>
      </c>
      <c r="CY742" s="535" t="str">
        <f t="shared" si="2096"/>
        <v/>
      </c>
      <c r="CZ742" s="535" t="str">
        <f t="shared" si="2096"/>
        <v/>
      </c>
      <c r="DA742" s="535" t="str">
        <f t="shared" si="2096"/>
        <v/>
      </c>
      <c r="DB742" s="535" t="str">
        <f t="shared" si="2096"/>
        <v/>
      </c>
      <c r="DC742" s="534" t="str">
        <f t="shared" si="2096"/>
        <v/>
      </c>
      <c r="DD742" s="533" t="str">
        <f t="shared" si="2096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081"/>
        <v>0</v>
      </c>
      <c r="CA743" s="582">
        <f t="shared" si="2082"/>
        <v>0</v>
      </c>
      <c r="CB743" s="582">
        <f t="shared" si="2083"/>
        <v>0</v>
      </c>
      <c r="CC743" s="670">
        <f t="shared" si="2084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09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097"/>
        <v>0</v>
      </c>
      <c r="CG743" s="989">
        <f t="shared" si="2097"/>
        <v>0</v>
      </c>
      <c r="CH743" s="990">
        <f t="shared" si="2097"/>
        <v>0</v>
      </c>
      <c r="CI743" s="990">
        <f t="shared" si="2097"/>
        <v>0</v>
      </c>
      <c r="CJ743" s="989">
        <f t="shared" si="2097"/>
        <v>0</v>
      </c>
      <c r="CK743" s="989">
        <f t="shared" si="2097"/>
        <v>0</v>
      </c>
      <c r="CL743" s="989">
        <f t="shared" si="2097"/>
        <v>0</v>
      </c>
      <c r="CM743" s="988">
        <f t="shared" si="2097"/>
        <v>0</v>
      </c>
      <c r="CN743" s="533" t="str">
        <f t="shared" si="2095"/>
        <v/>
      </c>
      <c r="CO743" s="534" t="str">
        <f t="shared" si="2095"/>
        <v/>
      </c>
      <c r="CP743" s="535" t="str">
        <f t="shared" si="2095"/>
        <v/>
      </c>
      <c r="CQ743" s="535" t="str">
        <f t="shared" si="2095"/>
        <v/>
      </c>
      <c r="CR743" s="535">
        <f t="shared" si="2095"/>
        <v>0</v>
      </c>
      <c r="CS743" s="535">
        <f t="shared" si="2095"/>
        <v>0</v>
      </c>
      <c r="CT743" s="535">
        <f t="shared" si="2095"/>
        <v>0</v>
      </c>
      <c r="CU743" s="536">
        <f t="shared" si="2095"/>
        <v>0</v>
      </c>
      <c r="CV743" s="536">
        <f t="shared" si="2095"/>
        <v>0</v>
      </c>
      <c r="CW743" s="536">
        <f t="shared" si="2095"/>
        <v>0</v>
      </c>
      <c r="CX743" s="535">
        <f t="shared" si="2096"/>
        <v>0</v>
      </c>
      <c r="CY743" s="535">
        <f t="shared" si="2096"/>
        <v>0</v>
      </c>
      <c r="CZ743" s="535">
        <f t="shared" si="2096"/>
        <v>0</v>
      </c>
      <c r="DA743" s="535">
        <f t="shared" si="2096"/>
        <v>0</v>
      </c>
      <c r="DB743" s="535" t="str">
        <f t="shared" si="2096"/>
        <v/>
      </c>
      <c r="DC743" s="534" t="str">
        <f t="shared" si="2096"/>
        <v/>
      </c>
      <c r="DD743" s="533" t="str">
        <f t="shared" si="2096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098">IF(DE745&lt;3,"",(SUM(B745:R745)-MIN(B745:R745)-MAX(B745:R745))/(DE745-2))</f>
        <v/>
      </c>
      <c r="CA745" s="582" t="str">
        <f t="shared" ref="CA745:CA760" si="2099">IF(DF745&lt;3,"",(SUM(T745:AJ745)-MIN(T745:AJ745)-MAX(T745:AJ745))/(DF745-2))</f>
        <v/>
      </c>
      <c r="CB745" s="582" t="str">
        <f t="shared" ref="CB745:CB760" si="2100">IF(DG745&lt;3,"",(SUM(AL745:BB745)-MIN(AL745:BB745)-MAX(AL745:BB745))/(DG745-2))</f>
        <v/>
      </c>
      <c r="CC745" s="670" t="str">
        <f t="shared" ref="CC745:CC760" si="2101">IF(DH745&lt;3,"",(SUM(BD745:BT745)-MIN(BD745:BT745)-MAX(BD745:BT745))/(DH745-2))</f>
        <v/>
      </c>
      <c r="CD745" s="988" t="str">
        <f t="shared" ref="CD745:CI748" si="210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102"/>
        <v/>
      </c>
      <c r="CF745" s="989" t="str">
        <f t="shared" si="2102"/>
        <v/>
      </c>
      <c r="CG745" s="989" t="str">
        <f t="shared" si="2102"/>
        <v/>
      </c>
      <c r="CH745" s="990" t="str">
        <f t="shared" si="2102"/>
        <v/>
      </c>
      <c r="CI745" s="990" t="str">
        <f t="shared" si="2102"/>
        <v/>
      </c>
      <c r="CJ745" s="989" t="str">
        <f t="shared" ref="CJ745:CM748" si="2103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103"/>
        <v/>
      </c>
      <c r="CL745" s="989" t="str">
        <f t="shared" si="2103"/>
        <v/>
      </c>
      <c r="CM745" s="988" t="str">
        <f t="shared" si="2103"/>
        <v/>
      </c>
      <c r="CN745" s="533" t="str">
        <f t="shared" ref="CN745:CW749" si="2104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104"/>
        <v/>
      </c>
      <c r="CP745" s="535" t="str">
        <f t="shared" si="2104"/>
        <v/>
      </c>
      <c r="CQ745" s="535" t="str">
        <f t="shared" si="2104"/>
        <v/>
      </c>
      <c r="CR745" s="535" t="str">
        <f t="shared" si="2104"/>
        <v/>
      </c>
      <c r="CS745" s="535" t="str">
        <f t="shared" si="2104"/>
        <v/>
      </c>
      <c r="CT745" s="535" t="str">
        <f t="shared" si="2104"/>
        <v/>
      </c>
      <c r="CU745" s="536" t="str">
        <f t="shared" si="2104"/>
        <v/>
      </c>
      <c r="CV745" s="536" t="str">
        <f t="shared" si="2104"/>
        <v/>
      </c>
      <c r="CW745" s="536" t="str">
        <f t="shared" si="2104"/>
        <v/>
      </c>
      <c r="CX745" s="535" t="str">
        <f t="shared" ref="CX745:DD749" si="2105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105"/>
        <v/>
      </c>
      <c r="CZ745" s="535" t="str">
        <f t="shared" si="2105"/>
        <v/>
      </c>
      <c r="DA745" s="535" t="str">
        <f t="shared" si="2105"/>
        <v/>
      </c>
      <c r="DB745" s="535" t="str">
        <f t="shared" si="2105"/>
        <v/>
      </c>
      <c r="DC745" s="534" t="str">
        <f t="shared" si="2105"/>
        <v/>
      </c>
      <c r="DD745" s="533" t="str">
        <f t="shared" si="2105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098"/>
        <v/>
      </c>
      <c r="CA746" s="582" t="str">
        <f t="shared" si="2099"/>
        <v/>
      </c>
      <c r="CB746" s="582" t="str">
        <f t="shared" si="2100"/>
        <v/>
      </c>
      <c r="CC746" s="670" t="str">
        <f t="shared" si="2101"/>
        <v/>
      </c>
      <c r="CD746" s="988" t="str">
        <f t="shared" si="2102"/>
        <v/>
      </c>
      <c r="CE746" s="989" t="str">
        <f t="shared" si="2102"/>
        <v/>
      </c>
      <c r="CF746" s="989" t="str">
        <f t="shared" si="2102"/>
        <v/>
      </c>
      <c r="CG746" s="989" t="str">
        <f t="shared" si="2102"/>
        <v/>
      </c>
      <c r="CH746" s="990" t="str">
        <f t="shared" si="2102"/>
        <v/>
      </c>
      <c r="CI746" s="990" t="str">
        <f t="shared" si="2102"/>
        <v/>
      </c>
      <c r="CJ746" s="989" t="str">
        <f t="shared" si="2103"/>
        <v/>
      </c>
      <c r="CK746" s="989" t="str">
        <f t="shared" si="2103"/>
        <v/>
      </c>
      <c r="CL746" s="989" t="str">
        <f t="shared" si="2103"/>
        <v/>
      </c>
      <c r="CM746" s="988" t="str">
        <f t="shared" si="2103"/>
        <v/>
      </c>
      <c r="CN746" s="533" t="str">
        <f t="shared" si="2104"/>
        <v/>
      </c>
      <c r="CO746" s="534" t="str">
        <f t="shared" si="2104"/>
        <v/>
      </c>
      <c r="CP746" s="535" t="str">
        <f t="shared" si="2104"/>
        <v/>
      </c>
      <c r="CQ746" s="535" t="str">
        <f t="shared" si="2104"/>
        <v/>
      </c>
      <c r="CR746" s="535" t="str">
        <f t="shared" si="2104"/>
        <v/>
      </c>
      <c r="CS746" s="535" t="str">
        <f t="shared" si="2104"/>
        <v/>
      </c>
      <c r="CT746" s="535" t="str">
        <f t="shared" si="2104"/>
        <v/>
      </c>
      <c r="CU746" s="536" t="str">
        <f t="shared" si="2104"/>
        <v/>
      </c>
      <c r="CV746" s="536" t="str">
        <f t="shared" si="2104"/>
        <v/>
      </c>
      <c r="CW746" s="536" t="str">
        <f t="shared" si="2104"/>
        <v/>
      </c>
      <c r="CX746" s="535" t="str">
        <f t="shared" si="2105"/>
        <v/>
      </c>
      <c r="CY746" s="535" t="str">
        <f t="shared" si="2105"/>
        <v/>
      </c>
      <c r="CZ746" s="535" t="str">
        <f t="shared" si="2105"/>
        <v/>
      </c>
      <c r="DA746" s="535" t="str">
        <f t="shared" si="2105"/>
        <v/>
      </c>
      <c r="DB746" s="535" t="str">
        <f t="shared" si="2105"/>
        <v/>
      </c>
      <c r="DC746" s="534" t="str">
        <f t="shared" si="2105"/>
        <v/>
      </c>
      <c r="DD746" s="533" t="str">
        <f t="shared" si="2105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098"/>
        <v/>
      </c>
      <c r="CA747" s="582" t="str">
        <f t="shared" si="2099"/>
        <v/>
      </c>
      <c r="CB747" s="582" t="str">
        <f t="shared" si="2100"/>
        <v/>
      </c>
      <c r="CC747" s="670" t="str">
        <f t="shared" si="2101"/>
        <v/>
      </c>
      <c r="CD747" s="988" t="str">
        <f t="shared" si="2102"/>
        <v/>
      </c>
      <c r="CE747" s="989" t="str">
        <f t="shared" si="2102"/>
        <v/>
      </c>
      <c r="CF747" s="989" t="str">
        <f t="shared" si="2102"/>
        <v/>
      </c>
      <c r="CG747" s="989" t="str">
        <f t="shared" si="2102"/>
        <v/>
      </c>
      <c r="CH747" s="990" t="str">
        <f t="shared" si="2102"/>
        <v/>
      </c>
      <c r="CI747" s="990" t="str">
        <f t="shared" si="2102"/>
        <v/>
      </c>
      <c r="CJ747" s="989" t="str">
        <f t="shared" si="2103"/>
        <v/>
      </c>
      <c r="CK747" s="989" t="str">
        <f t="shared" si="2103"/>
        <v/>
      </c>
      <c r="CL747" s="989" t="str">
        <f t="shared" si="2103"/>
        <v/>
      </c>
      <c r="CM747" s="988" t="str">
        <f t="shared" si="2103"/>
        <v/>
      </c>
      <c r="CN747" s="533" t="str">
        <f t="shared" si="2104"/>
        <v/>
      </c>
      <c r="CO747" s="534" t="str">
        <f t="shared" si="2104"/>
        <v/>
      </c>
      <c r="CP747" s="535" t="str">
        <f t="shared" si="2104"/>
        <v/>
      </c>
      <c r="CQ747" s="535" t="str">
        <f t="shared" si="2104"/>
        <v/>
      </c>
      <c r="CR747" s="535" t="str">
        <f t="shared" si="2104"/>
        <v/>
      </c>
      <c r="CS747" s="535" t="str">
        <f t="shared" si="2104"/>
        <v/>
      </c>
      <c r="CT747" s="535" t="str">
        <f t="shared" si="2104"/>
        <v/>
      </c>
      <c r="CU747" s="536" t="str">
        <f t="shared" si="2104"/>
        <v/>
      </c>
      <c r="CV747" s="536" t="str">
        <f t="shared" si="2104"/>
        <v/>
      </c>
      <c r="CW747" s="536" t="str">
        <f t="shared" si="2104"/>
        <v/>
      </c>
      <c r="CX747" s="535" t="str">
        <f t="shared" si="2105"/>
        <v/>
      </c>
      <c r="CY747" s="535" t="str">
        <f t="shared" si="2105"/>
        <v/>
      </c>
      <c r="CZ747" s="535" t="str">
        <f t="shared" si="2105"/>
        <v/>
      </c>
      <c r="DA747" s="535" t="str">
        <f t="shared" si="2105"/>
        <v/>
      </c>
      <c r="DB747" s="535" t="str">
        <f t="shared" si="2105"/>
        <v/>
      </c>
      <c r="DC747" s="534" t="str">
        <f t="shared" si="2105"/>
        <v/>
      </c>
      <c r="DD747" s="533" t="str">
        <f t="shared" si="2105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098"/>
        <v/>
      </c>
      <c r="CA748" s="582" t="str">
        <f t="shared" si="2099"/>
        <v/>
      </c>
      <c r="CB748" s="582" t="str">
        <f t="shared" si="2100"/>
        <v/>
      </c>
      <c r="CC748" s="670" t="str">
        <f t="shared" si="2101"/>
        <v/>
      </c>
      <c r="CD748" s="988" t="str">
        <f t="shared" si="2102"/>
        <v/>
      </c>
      <c r="CE748" s="989" t="str">
        <f t="shared" si="2102"/>
        <v/>
      </c>
      <c r="CF748" s="989" t="str">
        <f t="shared" si="2102"/>
        <v/>
      </c>
      <c r="CG748" s="989" t="str">
        <f t="shared" si="2102"/>
        <v/>
      </c>
      <c r="CH748" s="990" t="str">
        <f t="shared" si="2102"/>
        <v/>
      </c>
      <c r="CI748" s="990" t="str">
        <f t="shared" si="2102"/>
        <v/>
      </c>
      <c r="CJ748" s="989" t="str">
        <f t="shared" si="2103"/>
        <v/>
      </c>
      <c r="CK748" s="989" t="str">
        <f t="shared" si="2103"/>
        <v/>
      </c>
      <c r="CL748" s="989" t="str">
        <f t="shared" si="2103"/>
        <v/>
      </c>
      <c r="CM748" s="988" t="str">
        <f t="shared" si="2103"/>
        <v/>
      </c>
      <c r="CN748" s="533" t="str">
        <f t="shared" si="2104"/>
        <v/>
      </c>
      <c r="CO748" s="534" t="str">
        <f t="shared" si="2104"/>
        <v/>
      </c>
      <c r="CP748" s="535" t="str">
        <f t="shared" si="2104"/>
        <v/>
      </c>
      <c r="CQ748" s="535" t="str">
        <f t="shared" si="2104"/>
        <v/>
      </c>
      <c r="CR748" s="535" t="str">
        <f t="shared" si="2104"/>
        <v/>
      </c>
      <c r="CS748" s="535" t="str">
        <f t="shared" si="2104"/>
        <v/>
      </c>
      <c r="CT748" s="535" t="str">
        <f t="shared" si="2104"/>
        <v/>
      </c>
      <c r="CU748" s="536" t="str">
        <f t="shared" si="2104"/>
        <v/>
      </c>
      <c r="CV748" s="536" t="str">
        <f t="shared" si="2104"/>
        <v/>
      </c>
      <c r="CW748" s="536" t="str">
        <f t="shared" si="2104"/>
        <v/>
      </c>
      <c r="CX748" s="535" t="str">
        <f t="shared" si="2105"/>
        <v/>
      </c>
      <c r="CY748" s="535" t="str">
        <f t="shared" si="2105"/>
        <v/>
      </c>
      <c r="CZ748" s="535" t="str">
        <f t="shared" si="2105"/>
        <v/>
      </c>
      <c r="DA748" s="535" t="str">
        <f t="shared" si="2105"/>
        <v/>
      </c>
      <c r="DB748" s="535" t="str">
        <f t="shared" si="2105"/>
        <v/>
      </c>
      <c r="DC748" s="534" t="str">
        <f t="shared" si="2105"/>
        <v/>
      </c>
      <c r="DD748" s="533" t="str">
        <f t="shared" si="2105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098"/>
        <v>0</v>
      </c>
      <c r="CA749" s="582">
        <f t="shared" si="2099"/>
        <v>0</v>
      </c>
      <c r="CB749" s="582">
        <f t="shared" si="2100"/>
        <v>0</v>
      </c>
      <c r="CC749" s="670">
        <f t="shared" si="2101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10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106"/>
        <v>0</v>
      </c>
      <c r="CG749" s="989">
        <f t="shared" si="2106"/>
        <v>0</v>
      </c>
      <c r="CH749" s="990">
        <f t="shared" si="2106"/>
        <v>0</v>
      </c>
      <c r="CI749" s="990">
        <f t="shared" si="2106"/>
        <v>0</v>
      </c>
      <c r="CJ749" s="989">
        <f t="shared" si="2106"/>
        <v>0</v>
      </c>
      <c r="CK749" s="989">
        <f t="shared" si="2106"/>
        <v>0</v>
      </c>
      <c r="CL749" s="989">
        <f t="shared" si="2106"/>
        <v>0</v>
      </c>
      <c r="CM749" s="988">
        <f t="shared" si="2106"/>
        <v>0</v>
      </c>
      <c r="CN749" s="533" t="str">
        <f t="shared" si="2104"/>
        <v/>
      </c>
      <c r="CO749" s="534" t="str">
        <f t="shared" si="2104"/>
        <v/>
      </c>
      <c r="CP749" s="535" t="str">
        <f t="shared" si="2104"/>
        <v/>
      </c>
      <c r="CQ749" s="535" t="str">
        <f t="shared" si="2104"/>
        <v/>
      </c>
      <c r="CR749" s="535">
        <f t="shared" si="2104"/>
        <v>0</v>
      </c>
      <c r="CS749" s="535">
        <f t="shared" si="2104"/>
        <v>0</v>
      </c>
      <c r="CT749" s="535">
        <f t="shared" si="2104"/>
        <v>0</v>
      </c>
      <c r="CU749" s="536">
        <f t="shared" si="2104"/>
        <v>0</v>
      </c>
      <c r="CV749" s="536">
        <f t="shared" si="2104"/>
        <v>0</v>
      </c>
      <c r="CW749" s="536">
        <f t="shared" si="2104"/>
        <v>0</v>
      </c>
      <c r="CX749" s="535">
        <f t="shared" si="2105"/>
        <v>0</v>
      </c>
      <c r="CY749" s="535">
        <f t="shared" si="2105"/>
        <v>0</v>
      </c>
      <c r="CZ749" s="535">
        <f t="shared" si="2105"/>
        <v>0</v>
      </c>
      <c r="DA749" s="535">
        <f t="shared" si="2105"/>
        <v>0</v>
      </c>
      <c r="DB749" s="535" t="str">
        <f t="shared" si="2105"/>
        <v/>
      </c>
      <c r="DC749" s="534" t="str">
        <f t="shared" si="2105"/>
        <v/>
      </c>
      <c r="DD749" s="533" t="str">
        <f t="shared" si="2105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098"/>
        <v/>
      </c>
      <c r="CA750" s="574" t="str">
        <f t="shared" si="2099"/>
        <v/>
      </c>
      <c r="CB750" s="574" t="str">
        <f t="shared" si="2100"/>
        <v/>
      </c>
      <c r="CC750" s="669" t="str">
        <f t="shared" si="2101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098"/>
        <v/>
      </c>
      <c r="CA751" s="582" t="str">
        <f t="shared" si="2099"/>
        <v/>
      </c>
      <c r="CB751" s="582" t="str">
        <f t="shared" si="2100"/>
        <v/>
      </c>
      <c r="CC751" s="670" t="str">
        <f t="shared" si="2101"/>
        <v/>
      </c>
      <c r="CD751" s="988" t="str">
        <f t="shared" ref="CD751:CI754" si="210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107"/>
        <v/>
      </c>
      <c r="CF751" s="989" t="str">
        <f t="shared" si="2107"/>
        <v/>
      </c>
      <c r="CG751" s="989" t="str">
        <f t="shared" si="2107"/>
        <v/>
      </c>
      <c r="CH751" s="990" t="str">
        <f t="shared" si="2107"/>
        <v/>
      </c>
      <c r="CI751" s="990" t="str">
        <f t="shared" si="2107"/>
        <v/>
      </c>
      <c r="CJ751" s="989" t="str">
        <f t="shared" ref="CJ751:CM754" si="2108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108"/>
        <v/>
      </c>
      <c r="CL751" s="989" t="str">
        <f t="shared" si="2108"/>
        <v/>
      </c>
      <c r="CM751" s="988" t="str">
        <f t="shared" si="2108"/>
        <v/>
      </c>
      <c r="CN751" s="533" t="str">
        <f t="shared" ref="CN751:CW755" si="2109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109"/>
        <v/>
      </c>
      <c r="CP751" s="535" t="str">
        <f t="shared" si="2109"/>
        <v/>
      </c>
      <c r="CQ751" s="535" t="str">
        <f t="shared" si="2109"/>
        <v/>
      </c>
      <c r="CR751" s="535" t="str">
        <f t="shared" si="2109"/>
        <v/>
      </c>
      <c r="CS751" s="535" t="str">
        <f t="shared" si="2109"/>
        <v/>
      </c>
      <c r="CT751" s="535" t="str">
        <f t="shared" si="2109"/>
        <v/>
      </c>
      <c r="CU751" s="536" t="str">
        <f t="shared" si="2109"/>
        <v/>
      </c>
      <c r="CV751" s="536" t="str">
        <f t="shared" si="2109"/>
        <v/>
      </c>
      <c r="CW751" s="536" t="str">
        <f t="shared" si="2109"/>
        <v/>
      </c>
      <c r="CX751" s="535" t="str">
        <f t="shared" ref="CX751:DD755" si="2110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110"/>
        <v/>
      </c>
      <c r="CZ751" s="535" t="str">
        <f t="shared" si="2110"/>
        <v/>
      </c>
      <c r="DA751" s="535" t="str">
        <f t="shared" si="2110"/>
        <v/>
      </c>
      <c r="DB751" s="535" t="str">
        <f t="shared" si="2110"/>
        <v/>
      </c>
      <c r="DC751" s="534" t="str">
        <f t="shared" si="2110"/>
        <v/>
      </c>
      <c r="DD751" s="533" t="str">
        <f t="shared" si="2110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098"/>
        <v/>
      </c>
      <c r="CA752" s="582" t="str">
        <f t="shared" si="2099"/>
        <v/>
      </c>
      <c r="CB752" s="582" t="str">
        <f t="shared" si="2100"/>
        <v/>
      </c>
      <c r="CC752" s="670" t="str">
        <f t="shared" si="2101"/>
        <v/>
      </c>
      <c r="CD752" s="988" t="str">
        <f t="shared" si="2107"/>
        <v/>
      </c>
      <c r="CE752" s="989" t="str">
        <f t="shared" si="2107"/>
        <v/>
      </c>
      <c r="CF752" s="989" t="str">
        <f t="shared" si="2107"/>
        <v/>
      </c>
      <c r="CG752" s="989" t="str">
        <f t="shared" si="2107"/>
        <v/>
      </c>
      <c r="CH752" s="990" t="str">
        <f t="shared" si="2107"/>
        <v/>
      </c>
      <c r="CI752" s="990" t="str">
        <f t="shared" si="2107"/>
        <v/>
      </c>
      <c r="CJ752" s="989" t="str">
        <f t="shared" si="2108"/>
        <v/>
      </c>
      <c r="CK752" s="989" t="str">
        <f t="shared" si="2108"/>
        <v/>
      </c>
      <c r="CL752" s="989" t="str">
        <f t="shared" si="2108"/>
        <v/>
      </c>
      <c r="CM752" s="988" t="str">
        <f t="shared" si="2108"/>
        <v/>
      </c>
      <c r="CN752" s="533" t="str">
        <f t="shared" si="2109"/>
        <v/>
      </c>
      <c r="CO752" s="534" t="str">
        <f t="shared" si="2109"/>
        <v/>
      </c>
      <c r="CP752" s="535" t="str">
        <f t="shared" si="2109"/>
        <v/>
      </c>
      <c r="CQ752" s="535" t="str">
        <f t="shared" si="2109"/>
        <v/>
      </c>
      <c r="CR752" s="535" t="str">
        <f t="shared" si="2109"/>
        <v/>
      </c>
      <c r="CS752" s="535" t="str">
        <f t="shared" si="2109"/>
        <v/>
      </c>
      <c r="CT752" s="535" t="str">
        <f t="shared" si="2109"/>
        <v/>
      </c>
      <c r="CU752" s="536" t="str">
        <f t="shared" si="2109"/>
        <v/>
      </c>
      <c r="CV752" s="536" t="str">
        <f t="shared" si="2109"/>
        <v/>
      </c>
      <c r="CW752" s="536" t="str">
        <f t="shared" si="2109"/>
        <v/>
      </c>
      <c r="CX752" s="535" t="str">
        <f t="shared" si="2110"/>
        <v/>
      </c>
      <c r="CY752" s="535" t="str">
        <f t="shared" si="2110"/>
        <v/>
      </c>
      <c r="CZ752" s="535" t="str">
        <f t="shared" si="2110"/>
        <v/>
      </c>
      <c r="DA752" s="535" t="str">
        <f t="shared" si="2110"/>
        <v/>
      </c>
      <c r="DB752" s="535" t="str">
        <f t="shared" si="2110"/>
        <v/>
      </c>
      <c r="DC752" s="534" t="str">
        <f t="shared" si="2110"/>
        <v/>
      </c>
      <c r="DD752" s="533" t="str">
        <f t="shared" si="2110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098"/>
        <v/>
      </c>
      <c r="CA753" s="582" t="str">
        <f t="shared" si="2099"/>
        <v/>
      </c>
      <c r="CB753" s="582" t="str">
        <f t="shared" si="2100"/>
        <v/>
      </c>
      <c r="CC753" s="670" t="str">
        <f t="shared" si="2101"/>
        <v/>
      </c>
      <c r="CD753" s="988" t="str">
        <f t="shared" si="2107"/>
        <v/>
      </c>
      <c r="CE753" s="989" t="str">
        <f t="shared" si="2107"/>
        <v/>
      </c>
      <c r="CF753" s="989" t="str">
        <f t="shared" si="2107"/>
        <v/>
      </c>
      <c r="CG753" s="989" t="str">
        <f t="shared" si="2107"/>
        <v/>
      </c>
      <c r="CH753" s="990" t="str">
        <f t="shared" si="2107"/>
        <v/>
      </c>
      <c r="CI753" s="990" t="str">
        <f t="shared" si="2107"/>
        <v/>
      </c>
      <c r="CJ753" s="989" t="str">
        <f t="shared" si="2108"/>
        <v/>
      </c>
      <c r="CK753" s="989" t="str">
        <f t="shared" si="2108"/>
        <v/>
      </c>
      <c r="CL753" s="989" t="str">
        <f t="shared" si="2108"/>
        <v/>
      </c>
      <c r="CM753" s="988" t="str">
        <f t="shared" si="2108"/>
        <v/>
      </c>
      <c r="CN753" s="533" t="str">
        <f t="shared" si="2109"/>
        <v/>
      </c>
      <c r="CO753" s="534" t="str">
        <f t="shared" si="2109"/>
        <v/>
      </c>
      <c r="CP753" s="535" t="str">
        <f t="shared" si="2109"/>
        <v/>
      </c>
      <c r="CQ753" s="535" t="str">
        <f t="shared" si="2109"/>
        <v/>
      </c>
      <c r="CR753" s="535" t="str">
        <f t="shared" si="2109"/>
        <v/>
      </c>
      <c r="CS753" s="535" t="str">
        <f t="shared" si="2109"/>
        <v/>
      </c>
      <c r="CT753" s="535" t="str">
        <f t="shared" si="2109"/>
        <v/>
      </c>
      <c r="CU753" s="536" t="str">
        <f t="shared" si="2109"/>
        <v/>
      </c>
      <c r="CV753" s="536" t="str">
        <f t="shared" si="2109"/>
        <v/>
      </c>
      <c r="CW753" s="536" t="str">
        <f t="shared" si="2109"/>
        <v/>
      </c>
      <c r="CX753" s="535" t="str">
        <f t="shared" si="2110"/>
        <v/>
      </c>
      <c r="CY753" s="535" t="str">
        <f t="shared" si="2110"/>
        <v/>
      </c>
      <c r="CZ753" s="535" t="str">
        <f t="shared" si="2110"/>
        <v/>
      </c>
      <c r="DA753" s="535" t="str">
        <f t="shared" si="2110"/>
        <v/>
      </c>
      <c r="DB753" s="535" t="str">
        <f t="shared" si="2110"/>
        <v/>
      </c>
      <c r="DC753" s="534" t="str">
        <f t="shared" si="2110"/>
        <v/>
      </c>
      <c r="DD753" s="533" t="str">
        <f t="shared" si="2110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098"/>
        <v/>
      </c>
      <c r="CA754" s="582" t="str">
        <f t="shared" si="2099"/>
        <v/>
      </c>
      <c r="CB754" s="582" t="str">
        <f t="shared" si="2100"/>
        <v/>
      </c>
      <c r="CC754" s="670" t="str">
        <f t="shared" si="2101"/>
        <v/>
      </c>
      <c r="CD754" s="988" t="str">
        <f t="shared" si="2107"/>
        <v/>
      </c>
      <c r="CE754" s="989" t="str">
        <f t="shared" si="2107"/>
        <v/>
      </c>
      <c r="CF754" s="989" t="str">
        <f t="shared" si="2107"/>
        <v/>
      </c>
      <c r="CG754" s="989" t="str">
        <f t="shared" si="2107"/>
        <v/>
      </c>
      <c r="CH754" s="990" t="str">
        <f t="shared" si="2107"/>
        <v/>
      </c>
      <c r="CI754" s="990" t="str">
        <f t="shared" si="2107"/>
        <v/>
      </c>
      <c r="CJ754" s="989" t="str">
        <f t="shared" si="2108"/>
        <v/>
      </c>
      <c r="CK754" s="989" t="str">
        <f t="shared" si="2108"/>
        <v/>
      </c>
      <c r="CL754" s="989" t="str">
        <f t="shared" si="2108"/>
        <v/>
      </c>
      <c r="CM754" s="988" t="str">
        <f t="shared" si="2108"/>
        <v/>
      </c>
      <c r="CN754" s="533" t="str">
        <f t="shared" si="2109"/>
        <v/>
      </c>
      <c r="CO754" s="534" t="str">
        <f t="shared" si="2109"/>
        <v/>
      </c>
      <c r="CP754" s="535" t="str">
        <f t="shared" si="2109"/>
        <v/>
      </c>
      <c r="CQ754" s="535" t="str">
        <f t="shared" si="2109"/>
        <v/>
      </c>
      <c r="CR754" s="535" t="str">
        <f t="shared" si="2109"/>
        <v/>
      </c>
      <c r="CS754" s="535" t="str">
        <f t="shared" si="2109"/>
        <v/>
      </c>
      <c r="CT754" s="535" t="str">
        <f t="shared" si="2109"/>
        <v/>
      </c>
      <c r="CU754" s="536" t="str">
        <f t="shared" si="2109"/>
        <v/>
      </c>
      <c r="CV754" s="536" t="str">
        <f t="shared" si="2109"/>
        <v/>
      </c>
      <c r="CW754" s="536" t="str">
        <f t="shared" si="2109"/>
        <v/>
      </c>
      <c r="CX754" s="535" t="str">
        <f t="shared" si="2110"/>
        <v/>
      </c>
      <c r="CY754" s="535" t="str">
        <f t="shared" si="2110"/>
        <v/>
      </c>
      <c r="CZ754" s="535" t="str">
        <f t="shared" si="2110"/>
        <v/>
      </c>
      <c r="DA754" s="535" t="str">
        <f t="shared" si="2110"/>
        <v/>
      </c>
      <c r="DB754" s="535" t="str">
        <f t="shared" si="2110"/>
        <v/>
      </c>
      <c r="DC754" s="534" t="str">
        <f t="shared" si="2110"/>
        <v/>
      </c>
      <c r="DD754" s="533" t="str">
        <f t="shared" si="2110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4500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098"/>
        <v>0</v>
      </c>
      <c r="CA755" s="582">
        <f t="shared" si="2099"/>
        <v>0</v>
      </c>
      <c r="CB755" s="582">
        <f t="shared" si="2100"/>
        <v>0</v>
      </c>
      <c r="CC755" s="670">
        <f t="shared" si="2101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11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111"/>
        <v>0</v>
      </c>
      <c r="CG755" s="989">
        <f t="shared" si="2111"/>
        <v>0</v>
      </c>
      <c r="CH755" s="990">
        <f t="shared" si="2111"/>
        <v>0</v>
      </c>
      <c r="CI755" s="990">
        <f t="shared" si="2111"/>
        <v>0</v>
      </c>
      <c r="CJ755" s="989">
        <f t="shared" si="2111"/>
        <v>0</v>
      </c>
      <c r="CK755" s="989">
        <f t="shared" si="2111"/>
        <v>0</v>
      </c>
      <c r="CL755" s="989">
        <f t="shared" si="2111"/>
        <v>0</v>
      </c>
      <c r="CM755" s="988">
        <f t="shared" si="2111"/>
        <v>0</v>
      </c>
      <c r="CN755" s="533" t="str">
        <f t="shared" si="2109"/>
        <v/>
      </c>
      <c r="CO755" s="534" t="str">
        <f t="shared" si="2109"/>
        <v/>
      </c>
      <c r="CP755" s="535" t="str">
        <f t="shared" si="2109"/>
        <v/>
      </c>
      <c r="CQ755" s="535" t="str">
        <f t="shared" si="2109"/>
        <v/>
      </c>
      <c r="CR755" s="535">
        <f t="shared" si="2109"/>
        <v>0</v>
      </c>
      <c r="CS755" s="535">
        <f t="shared" si="2109"/>
        <v>0</v>
      </c>
      <c r="CT755" s="535">
        <f t="shared" si="2109"/>
        <v>0</v>
      </c>
      <c r="CU755" s="536">
        <f t="shared" si="2109"/>
        <v>0</v>
      </c>
      <c r="CV755" s="536">
        <f t="shared" si="2109"/>
        <v>0</v>
      </c>
      <c r="CW755" s="536">
        <f t="shared" si="2109"/>
        <v>0</v>
      </c>
      <c r="CX755" s="535">
        <f t="shared" si="2110"/>
        <v>0</v>
      </c>
      <c r="CY755" s="535">
        <f t="shared" si="2110"/>
        <v>0</v>
      </c>
      <c r="CZ755" s="535">
        <f t="shared" si="2110"/>
        <v>0</v>
      </c>
      <c r="DA755" s="535">
        <f t="shared" si="2110"/>
        <v>0</v>
      </c>
      <c r="DB755" s="535" t="str">
        <f t="shared" si="2110"/>
        <v/>
      </c>
      <c r="DC755" s="534" t="str">
        <f t="shared" si="2110"/>
        <v/>
      </c>
      <c r="DD755" s="533" t="str">
        <f t="shared" si="2110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098"/>
        <v/>
      </c>
      <c r="CA756" s="574" t="str">
        <f t="shared" si="2099"/>
        <v/>
      </c>
      <c r="CB756" s="574" t="str">
        <f t="shared" si="2100"/>
        <v/>
      </c>
      <c r="CC756" s="669" t="str">
        <f t="shared" si="2101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098"/>
        <v/>
      </c>
      <c r="CA757" s="582" t="str">
        <f t="shared" si="2099"/>
        <v/>
      </c>
      <c r="CB757" s="582" t="str">
        <f t="shared" si="2100"/>
        <v/>
      </c>
      <c r="CC757" s="670" t="str">
        <f t="shared" si="2101"/>
        <v/>
      </c>
      <c r="CD757" s="988" t="str">
        <f t="shared" ref="CD757:CI759" si="211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112"/>
        <v/>
      </c>
      <c r="CF757" s="989" t="str">
        <f t="shared" si="2112"/>
        <v/>
      </c>
      <c r="CG757" s="989" t="str">
        <f t="shared" si="2112"/>
        <v/>
      </c>
      <c r="CH757" s="990" t="str">
        <f t="shared" si="2112"/>
        <v/>
      </c>
      <c r="CI757" s="990" t="str">
        <f t="shared" si="2112"/>
        <v/>
      </c>
      <c r="CJ757" s="989" t="str">
        <f t="shared" ref="CJ757:CM759" si="2113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113"/>
        <v/>
      </c>
      <c r="CL757" s="989" t="str">
        <f t="shared" si="2113"/>
        <v/>
      </c>
      <c r="CM757" s="988" t="str">
        <f t="shared" si="2113"/>
        <v/>
      </c>
      <c r="CN757" s="533" t="str">
        <f t="shared" ref="CN757:CW760" si="2114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114"/>
        <v/>
      </c>
      <c r="CP757" s="535" t="str">
        <f t="shared" si="2114"/>
        <v/>
      </c>
      <c r="CQ757" s="535" t="str">
        <f t="shared" si="2114"/>
        <v/>
      </c>
      <c r="CR757" s="535" t="str">
        <f t="shared" si="2114"/>
        <v/>
      </c>
      <c r="CS757" s="535" t="str">
        <f t="shared" si="2114"/>
        <v/>
      </c>
      <c r="CT757" s="535" t="str">
        <f t="shared" si="2114"/>
        <v/>
      </c>
      <c r="CU757" s="536" t="str">
        <f t="shared" si="2114"/>
        <v/>
      </c>
      <c r="CV757" s="536" t="str">
        <f t="shared" si="2114"/>
        <v/>
      </c>
      <c r="CW757" s="536" t="str">
        <f t="shared" si="2114"/>
        <v/>
      </c>
      <c r="CX757" s="535" t="str">
        <f t="shared" ref="CX757:DD760" si="2115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115"/>
        <v/>
      </c>
      <c r="CZ757" s="535" t="str">
        <f t="shared" si="2115"/>
        <v/>
      </c>
      <c r="DA757" s="535" t="str">
        <f t="shared" si="2115"/>
        <v/>
      </c>
      <c r="DB757" s="535" t="str">
        <f t="shared" si="2115"/>
        <v/>
      </c>
      <c r="DC757" s="534" t="str">
        <f t="shared" si="2115"/>
        <v/>
      </c>
      <c r="DD757" s="533" t="str">
        <f t="shared" si="2115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098"/>
        <v/>
      </c>
      <c r="CA758" s="582" t="str">
        <f t="shared" si="2099"/>
        <v/>
      </c>
      <c r="CB758" s="582" t="str">
        <f t="shared" si="2100"/>
        <v/>
      </c>
      <c r="CC758" s="670" t="str">
        <f t="shared" si="2101"/>
        <v/>
      </c>
      <c r="CD758" s="988" t="str">
        <f t="shared" si="2112"/>
        <v/>
      </c>
      <c r="CE758" s="989" t="str">
        <f t="shared" si="2112"/>
        <v/>
      </c>
      <c r="CF758" s="989" t="str">
        <f t="shared" si="2112"/>
        <v/>
      </c>
      <c r="CG758" s="989" t="str">
        <f t="shared" si="2112"/>
        <v/>
      </c>
      <c r="CH758" s="990" t="str">
        <f t="shared" si="2112"/>
        <v/>
      </c>
      <c r="CI758" s="990" t="str">
        <f t="shared" si="2112"/>
        <v/>
      </c>
      <c r="CJ758" s="989" t="str">
        <f t="shared" si="2113"/>
        <v/>
      </c>
      <c r="CK758" s="989" t="str">
        <f t="shared" si="2113"/>
        <v/>
      </c>
      <c r="CL758" s="989" t="str">
        <f t="shared" si="2113"/>
        <v/>
      </c>
      <c r="CM758" s="988" t="str">
        <f t="shared" si="2113"/>
        <v/>
      </c>
      <c r="CN758" s="533" t="str">
        <f t="shared" si="2114"/>
        <v/>
      </c>
      <c r="CO758" s="534" t="str">
        <f t="shared" si="2114"/>
        <v/>
      </c>
      <c r="CP758" s="535" t="str">
        <f t="shared" si="2114"/>
        <v/>
      </c>
      <c r="CQ758" s="535" t="str">
        <f t="shared" si="2114"/>
        <v/>
      </c>
      <c r="CR758" s="535" t="str">
        <f t="shared" si="2114"/>
        <v/>
      </c>
      <c r="CS758" s="535" t="str">
        <f t="shared" si="2114"/>
        <v/>
      </c>
      <c r="CT758" s="535" t="str">
        <f t="shared" si="2114"/>
        <v/>
      </c>
      <c r="CU758" s="536" t="str">
        <f t="shared" si="2114"/>
        <v/>
      </c>
      <c r="CV758" s="536" t="str">
        <f t="shared" si="2114"/>
        <v/>
      </c>
      <c r="CW758" s="536" t="str">
        <f t="shared" si="2114"/>
        <v/>
      </c>
      <c r="CX758" s="535" t="str">
        <f t="shared" si="2115"/>
        <v/>
      </c>
      <c r="CY758" s="535" t="str">
        <f t="shared" si="2115"/>
        <v/>
      </c>
      <c r="CZ758" s="535" t="str">
        <f t="shared" si="2115"/>
        <v/>
      </c>
      <c r="DA758" s="535" t="str">
        <f t="shared" si="2115"/>
        <v/>
      </c>
      <c r="DB758" s="535" t="str">
        <f t="shared" si="2115"/>
        <v/>
      </c>
      <c r="DC758" s="534" t="str">
        <f t="shared" si="2115"/>
        <v/>
      </c>
      <c r="DD758" s="533" t="str">
        <f t="shared" si="2115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098"/>
        <v/>
      </c>
      <c r="CA759" s="582" t="str">
        <f t="shared" si="2099"/>
        <v/>
      </c>
      <c r="CB759" s="582" t="str">
        <f t="shared" si="2100"/>
        <v/>
      </c>
      <c r="CC759" s="670" t="str">
        <f t="shared" si="2101"/>
        <v/>
      </c>
      <c r="CD759" s="988" t="str">
        <f t="shared" si="2112"/>
        <v/>
      </c>
      <c r="CE759" s="989" t="str">
        <f t="shared" si="2112"/>
        <v/>
      </c>
      <c r="CF759" s="989" t="str">
        <f t="shared" si="2112"/>
        <v/>
      </c>
      <c r="CG759" s="989" t="str">
        <f t="shared" si="2112"/>
        <v/>
      </c>
      <c r="CH759" s="990" t="str">
        <f t="shared" si="2112"/>
        <v/>
      </c>
      <c r="CI759" s="990" t="str">
        <f t="shared" si="2112"/>
        <v/>
      </c>
      <c r="CJ759" s="989" t="str">
        <f t="shared" si="2113"/>
        <v/>
      </c>
      <c r="CK759" s="989" t="str">
        <f t="shared" si="2113"/>
        <v/>
      </c>
      <c r="CL759" s="989" t="str">
        <f t="shared" si="2113"/>
        <v/>
      </c>
      <c r="CM759" s="988" t="str">
        <f t="shared" si="2113"/>
        <v/>
      </c>
      <c r="CN759" s="533" t="str">
        <f t="shared" si="2114"/>
        <v/>
      </c>
      <c r="CO759" s="534" t="str">
        <f t="shared" si="2114"/>
        <v/>
      </c>
      <c r="CP759" s="535" t="str">
        <f t="shared" si="2114"/>
        <v/>
      </c>
      <c r="CQ759" s="535" t="str">
        <f t="shared" si="2114"/>
        <v/>
      </c>
      <c r="CR759" s="535" t="str">
        <f t="shared" si="2114"/>
        <v/>
      </c>
      <c r="CS759" s="535" t="str">
        <f t="shared" si="2114"/>
        <v/>
      </c>
      <c r="CT759" s="535" t="str">
        <f t="shared" si="2114"/>
        <v/>
      </c>
      <c r="CU759" s="536" t="str">
        <f t="shared" si="2114"/>
        <v/>
      </c>
      <c r="CV759" s="536" t="str">
        <f t="shared" si="2114"/>
        <v/>
      </c>
      <c r="CW759" s="536" t="str">
        <f t="shared" si="2114"/>
        <v/>
      </c>
      <c r="CX759" s="535" t="str">
        <f t="shared" si="2115"/>
        <v/>
      </c>
      <c r="CY759" s="535" t="str">
        <f t="shared" si="2115"/>
        <v/>
      </c>
      <c r="CZ759" s="535" t="str">
        <f t="shared" si="2115"/>
        <v/>
      </c>
      <c r="DA759" s="535" t="str">
        <f t="shared" si="2115"/>
        <v/>
      </c>
      <c r="DB759" s="535" t="str">
        <f t="shared" si="2115"/>
        <v/>
      </c>
      <c r="DC759" s="534" t="str">
        <f t="shared" si="2115"/>
        <v/>
      </c>
      <c r="DD759" s="533" t="str">
        <f t="shared" si="2115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27600</v>
      </c>
      <c r="BY760" s="591">
        <f>'Data 2'!BY249</f>
        <v>0</v>
      </c>
      <c r="BZ760" s="582">
        <f t="shared" si="2098"/>
        <v>0</v>
      </c>
      <c r="CA760" s="582">
        <f t="shared" si="2099"/>
        <v>0</v>
      </c>
      <c r="CB760" s="582">
        <f t="shared" si="2100"/>
        <v>0</v>
      </c>
      <c r="CC760" s="670">
        <f t="shared" si="2101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11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116"/>
        <v>0</v>
      </c>
      <c r="CG760" s="989">
        <f t="shared" si="2116"/>
        <v>0</v>
      </c>
      <c r="CH760" s="990">
        <f t="shared" si="2116"/>
        <v>0</v>
      </c>
      <c r="CI760" s="990">
        <f t="shared" si="2116"/>
        <v>0</v>
      </c>
      <c r="CJ760" s="989">
        <f t="shared" si="2116"/>
        <v>0</v>
      </c>
      <c r="CK760" s="989">
        <f t="shared" si="2116"/>
        <v>0</v>
      </c>
      <c r="CL760" s="989">
        <f t="shared" si="2116"/>
        <v>0</v>
      </c>
      <c r="CM760" s="988">
        <f t="shared" si="2116"/>
        <v>0</v>
      </c>
      <c r="CN760" s="533" t="str">
        <f t="shared" si="2114"/>
        <v/>
      </c>
      <c r="CO760" s="534" t="str">
        <f t="shared" si="2114"/>
        <v/>
      </c>
      <c r="CP760" s="535" t="str">
        <f t="shared" si="2114"/>
        <v/>
      </c>
      <c r="CQ760" s="535" t="str">
        <f t="shared" si="2114"/>
        <v/>
      </c>
      <c r="CR760" s="535">
        <f t="shared" si="2114"/>
        <v>0</v>
      </c>
      <c r="CS760" s="535">
        <f t="shared" si="2114"/>
        <v>0</v>
      </c>
      <c r="CT760" s="535">
        <f t="shared" si="2114"/>
        <v>0</v>
      </c>
      <c r="CU760" s="536">
        <f t="shared" si="2114"/>
        <v>0</v>
      </c>
      <c r="CV760" s="536">
        <f t="shared" si="2114"/>
        <v>0</v>
      </c>
      <c r="CW760" s="536">
        <f t="shared" si="2114"/>
        <v>0</v>
      </c>
      <c r="CX760" s="535">
        <f t="shared" si="2115"/>
        <v>0</v>
      </c>
      <c r="CY760" s="535">
        <f t="shared" si="2115"/>
        <v>0</v>
      </c>
      <c r="CZ760" s="535">
        <f t="shared" si="2115"/>
        <v>0</v>
      </c>
      <c r="DA760" s="535">
        <f t="shared" si="2115"/>
        <v>0</v>
      </c>
      <c r="DB760" s="535" t="str">
        <f t="shared" si="2115"/>
        <v/>
      </c>
      <c r="DC760" s="534" t="str">
        <f t="shared" si="2115"/>
        <v/>
      </c>
      <c r="DD760" s="533" t="str">
        <f t="shared" si="2115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117">IF(DE762&lt;3,"",(SUM(B762:R762)-MIN(B762:R762)-MAX(B762:R762))/(DE762-2))</f>
        <v/>
      </c>
      <c r="CA762" s="582" t="str">
        <f t="shared" ref="CA762:CA776" si="2118">IF(DF762&lt;3,"",(SUM(T762:AJ762)-MIN(T762:AJ762)-MAX(T762:AJ762))/(DF762-2))</f>
        <v/>
      </c>
      <c r="CB762" s="582" t="str">
        <f t="shared" ref="CB762:CB776" si="2119">IF(DG762&lt;3,"",(SUM(AL762:BB762)-MIN(AL762:BB762)-MAX(AL762:BB762))/(DG762-2))</f>
        <v/>
      </c>
      <c r="CC762" s="670" t="str">
        <f t="shared" ref="CC762:CC776" si="2120">IF(DH762&lt;3,"",(SUM(BD762:BT762)-MIN(BD762:BT762)-MAX(BD762:BT762))/(DH762-2))</f>
        <v/>
      </c>
      <c r="CD762" s="988" t="str">
        <f t="shared" ref="CD762:CM762" si="212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121"/>
        <v/>
      </c>
      <c r="CF762" s="989" t="str">
        <f t="shared" si="2121"/>
        <v/>
      </c>
      <c r="CG762" s="989" t="str">
        <f t="shared" si="2121"/>
        <v/>
      </c>
      <c r="CH762" s="990" t="str">
        <f t="shared" si="2121"/>
        <v/>
      </c>
      <c r="CI762" s="990" t="str">
        <f t="shared" si="2121"/>
        <v/>
      </c>
      <c r="CJ762" s="989" t="str">
        <f t="shared" si="2121"/>
        <v/>
      </c>
      <c r="CK762" s="989" t="str">
        <f t="shared" si="2121"/>
        <v/>
      </c>
      <c r="CL762" s="989" t="str">
        <f t="shared" si="2121"/>
        <v/>
      </c>
      <c r="CM762" s="988" t="str">
        <f t="shared" si="2121"/>
        <v/>
      </c>
      <c r="CN762" s="533" t="str">
        <f t="shared" ref="CN762:CW765" si="2122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122"/>
        <v/>
      </c>
      <c r="CP762" s="535" t="str">
        <f t="shared" si="2122"/>
        <v/>
      </c>
      <c r="CQ762" s="535" t="str">
        <f t="shared" si="2122"/>
        <v/>
      </c>
      <c r="CR762" s="535" t="str">
        <f t="shared" si="2122"/>
        <v/>
      </c>
      <c r="CS762" s="535" t="str">
        <f t="shared" si="2122"/>
        <v/>
      </c>
      <c r="CT762" s="535" t="str">
        <f t="shared" si="2122"/>
        <v/>
      </c>
      <c r="CU762" s="536" t="str">
        <f t="shared" si="2122"/>
        <v/>
      </c>
      <c r="CV762" s="536" t="str">
        <f t="shared" si="2122"/>
        <v/>
      </c>
      <c r="CW762" s="536" t="str">
        <f t="shared" si="2122"/>
        <v/>
      </c>
      <c r="CX762" s="535" t="str">
        <f t="shared" ref="CX762:DD765" si="2123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123"/>
        <v/>
      </c>
      <c r="CZ762" s="535" t="str">
        <f t="shared" si="2123"/>
        <v/>
      </c>
      <c r="DA762" s="535" t="str">
        <f t="shared" si="2123"/>
        <v/>
      </c>
      <c r="DB762" s="535" t="str">
        <f t="shared" si="2123"/>
        <v/>
      </c>
      <c r="DC762" s="534" t="str">
        <f t="shared" si="2123"/>
        <v/>
      </c>
      <c r="DD762" s="533" t="str">
        <f t="shared" si="2123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117"/>
        <v/>
      </c>
      <c r="CA763" s="582" t="str">
        <f t="shared" si="2118"/>
        <v/>
      </c>
      <c r="CB763" s="582" t="str">
        <f t="shared" si="2119"/>
        <v/>
      </c>
      <c r="CC763" s="670" t="str">
        <f t="shared" si="2120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12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124"/>
        <v/>
      </c>
      <c r="CG763" s="989" t="str">
        <f t="shared" si="2124"/>
        <v/>
      </c>
      <c r="CH763" s="990" t="str">
        <f t="shared" si="2124"/>
        <v/>
      </c>
      <c r="CI763" s="990" t="str">
        <f t="shared" si="2124"/>
        <v/>
      </c>
      <c r="CJ763" s="989" t="str">
        <f t="shared" si="2124"/>
        <v/>
      </c>
      <c r="CK763" s="989" t="str">
        <f t="shared" si="2124"/>
        <v/>
      </c>
      <c r="CL763" s="989" t="str">
        <f t="shared" si="2124"/>
        <v/>
      </c>
      <c r="CM763" s="988" t="str">
        <f t="shared" si="2124"/>
        <v/>
      </c>
      <c r="CN763" s="533" t="str">
        <f t="shared" si="2122"/>
        <v/>
      </c>
      <c r="CO763" s="534" t="str">
        <f t="shared" si="2122"/>
        <v/>
      </c>
      <c r="CP763" s="535" t="str">
        <f t="shared" si="2122"/>
        <v/>
      </c>
      <c r="CQ763" s="535" t="str">
        <f t="shared" si="2122"/>
        <v/>
      </c>
      <c r="CR763" s="535" t="str">
        <f t="shared" si="2122"/>
        <v/>
      </c>
      <c r="CS763" s="535" t="str">
        <f t="shared" si="2122"/>
        <v/>
      </c>
      <c r="CT763" s="535" t="str">
        <f t="shared" si="2122"/>
        <v/>
      </c>
      <c r="CU763" s="536" t="str">
        <f t="shared" si="2122"/>
        <v/>
      </c>
      <c r="CV763" s="536" t="str">
        <f t="shared" si="2122"/>
        <v/>
      </c>
      <c r="CW763" s="536" t="str">
        <f t="shared" si="2122"/>
        <v/>
      </c>
      <c r="CX763" s="535" t="str">
        <f t="shared" si="2123"/>
        <v/>
      </c>
      <c r="CY763" s="535" t="str">
        <f t="shared" si="2123"/>
        <v/>
      </c>
      <c r="CZ763" s="535" t="str">
        <f t="shared" si="2123"/>
        <v/>
      </c>
      <c r="DA763" s="535" t="str">
        <f t="shared" si="2123"/>
        <v/>
      </c>
      <c r="DB763" s="535" t="str">
        <f t="shared" si="2123"/>
        <v/>
      </c>
      <c r="DC763" s="534" t="str">
        <f t="shared" si="2123"/>
        <v/>
      </c>
      <c r="DD763" s="533" t="str">
        <f t="shared" si="2123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117"/>
        <v/>
      </c>
      <c r="CA764" s="582" t="str">
        <f t="shared" si="2118"/>
        <v/>
      </c>
      <c r="CB764" s="582" t="str">
        <f t="shared" si="2119"/>
        <v/>
      </c>
      <c r="CC764" s="670" t="str">
        <f t="shared" si="2120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124"/>
        <v/>
      </c>
      <c r="CF764" s="989" t="str">
        <f t="shared" si="2124"/>
        <v/>
      </c>
      <c r="CG764" s="989" t="str">
        <f t="shared" si="2124"/>
        <v/>
      </c>
      <c r="CH764" s="990" t="str">
        <f t="shared" si="2124"/>
        <v/>
      </c>
      <c r="CI764" s="990" t="str">
        <f t="shared" si="2124"/>
        <v/>
      </c>
      <c r="CJ764" s="989" t="str">
        <f t="shared" si="2124"/>
        <v/>
      </c>
      <c r="CK764" s="989" t="str">
        <f t="shared" si="2124"/>
        <v/>
      </c>
      <c r="CL764" s="989" t="str">
        <f t="shared" si="2124"/>
        <v/>
      </c>
      <c r="CM764" s="988" t="str">
        <f t="shared" si="2124"/>
        <v/>
      </c>
      <c r="CN764" s="533" t="str">
        <f t="shared" si="2122"/>
        <v/>
      </c>
      <c r="CO764" s="534" t="str">
        <f t="shared" si="2122"/>
        <v/>
      </c>
      <c r="CP764" s="535" t="str">
        <f t="shared" si="2122"/>
        <v/>
      </c>
      <c r="CQ764" s="535" t="str">
        <f t="shared" si="2122"/>
        <v/>
      </c>
      <c r="CR764" s="535" t="str">
        <f t="shared" si="2122"/>
        <v/>
      </c>
      <c r="CS764" s="535" t="str">
        <f t="shared" si="2122"/>
        <v/>
      </c>
      <c r="CT764" s="535" t="str">
        <f t="shared" si="2122"/>
        <v/>
      </c>
      <c r="CU764" s="536" t="str">
        <f t="shared" si="2122"/>
        <v/>
      </c>
      <c r="CV764" s="536" t="str">
        <f t="shared" si="2122"/>
        <v/>
      </c>
      <c r="CW764" s="536" t="str">
        <f t="shared" si="2122"/>
        <v/>
      </c>
      <c r="CX764" s="535" t="str">
        <f t="shared" si="2123"/>
        <v/>
      </c>
      <c r="CY764" s="535" t="str">
        <f t="shared" si="2123"/>
        <v/>
      </c>
      <c r="CZ764" s="535" t="str">
        <f t="shared" si="2123"/>
        <v/>
      </c>
      <c r="DA764" s="535" t="str">
        <f t="shared" si="2123"/>
        <v/>
      </c>
      <c r="DB764" s="535" t="str">
        <f t="shared" si="2123"/>
        <v/>
      </c>
      <c r="DC764" s="534" t="str">
        <f t="shared" si="2123"/>
        <v/>
      </c>
      <c r="DD764" s="533" t="str">
        <f t="shared" si="2123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125">IF(B762="","",B762*B763*B764)</f>
        <v/>
      </c>
      <c r="C765" s="592" t="str">
        <f t="shared" si="2125"/>
        <v/>
      </c>
      <c r="D765" s="592" t="str">
        <f t="shared" si="2125"/>
        <v/>
      </c>
      <c r="E765" s="592" t="str">
        <f t="shared" si="2125"/>
        <v/>
      </c>
      <c r="F765" s="592" t="str">
        <f t="shared" si="2125"/>
        <v/>
      </c>
      <c r="G765" s="592" t="str">
        <f t="shared" si="2125"/>
        <v/>
      </c>
      <c r="H765" s="592" t="str">
        <f t="shared" si="2125"/>
        <v/>
      </c>
      <c r="I765" s="592" t="str">
        <f t="shared" si="2125"/>
        <v/>
      </c>
      <c r="J765" s="592" t="str">
        <f t="shared" si="2125"/>
        <v/>
      </c>
      <c r="K765" s="592" t="str">
        <f t="shared" si="2125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126">IF(T762="","",T762*T763*T764)</f>
        <v/>
      </c>
      <c r="U765" s="592" t="str">
        <f t="shared" si="2126"/>
        <v/>
      </c>
      <c r="V765" s="592" t="str">
        <f t="shared" si="2126"/>
        <v/>
      </c>
      <c r="W765" s="592" t="str">
        <f t="shared" si="2126"/>
        <v/>
      </c>
      <c r="X765" s="592" t="str">
        <f t="shared" si="2126"/>
        <v/>
      </c>
      <c r="Y765" s="592" t="str">
        <f t="shared" si="2126"/>
        <v/>
      </c>
      <c r="Z765" s="592" t="str">
        <f t="shared" si="2126"/>
        <v/>
      </c>
      <c r="AA765" s="592" t="str">
        <f t="shared" si="2126"/>
        <v/>
      </c>
      <c r="AB765" s="592" t="str">
        <f t="shared" si="2126"/>
        <v/>
      </c>
      <c r="AC765" s="592" t="str">
        <f t="shared" si="2126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127">IF(AL762="","",AL762*AL763*AL764)</f>
        <v/>
      </c>
      <c r="AM765" s="592" t="str">
        <f t="shared" si="2127"/>
        <v/>
      </c>
      <c r="AN765" s="592" t="str">
        <f t="shared" si="2127"/>
        <v/>
      </c>
      <c r="AO765" s="592" t="str">
        <f t="shared" si="2127"/>
        <v/>
      </c>
      <c r="AP765" s="592" t="str">
        <f t="shared" si="2127"/>
        <v/>
      </c>
      <c r="AQ765" s="592" t="str">
        <f t="shared" si="2127"/>
        <v/>
      </c>
      <c r="AR765" s="592" t="str">
        <f t="shared" si="2127"/>
        <v/>
      </c>
      <c r="AS765" s="592" t="str">
        <f t="shared" si="2127"/>
        <v/>
      </c>
      <c r="AT765" s="592" t="str">
        <f t="shared" si="2127"/>
        <v/>
      </c>
      <c r="AU765" s="592" t="str">
        <f t="shared" si="2127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128">IF(BD762="","",BD762*BD763*BD764)</f>
        <v/>
      </c>
      <c r="BE765" s="1195" t="str">
        <f t="shared" si="2128"/>
        <v/>
      </c>
      <c r="BF765" s="1195" t="str">
        <f t="shared" si="2128"/>
        <v/>
      </c>
      <c r="BG765" s="1195" t="str">
        <f t="shared" si="2128"/>
        <v/>
      </c>
      <c r="BH765" s="1195" t="str">
        <f t="shared" si="2128"/>
        <v/>
      </c>
      <c r="BI765" s="1195" t="str">
        <f t="shared" si="2128"/>
        <v/>
      </c>
      <c r="BJ765" s="1195" t="str">
        <f t="shared" si="2128"/>
        <v/>
      </c>
      <c r="BK765" s="1195" t="str">
        <f t="shared" si="2128"/>
        <v/>
      </c>
      <c r="BL765" s="1195" t="str">
        <f t="shared" si="2128"/>
        <v/>
      </c>
      <c r="BM765" s="1195" t="str">
        <f t="shared" si="2128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117"/>
        <v/>
      </c>
      <c r="CA765" s="582" t="str">
        <f t="shared" si="2118"/>
        <v/>
      </c>
      <c r="CB765" s="582" t="str">
        <f t="shared" si="2119"/>
        <v/>
      </c>
      <c r="CC765" s="670" t="str">
        <f t="shared" si="2120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124"/>
        <v/>
      </c>
      <c r="CF765" s="989" t="str">
        <f t="shared" si="2124"/>
        <v/>
      </c>
      <c r="CG765" s="989" t="str">
        <f t="shared" si="2124"/>
        <v/>
      </c>
      <c r="CH765" s="990" t="str">
        <f t="shared" si="2124"/>
        <v/>
      </c>
      <c r="CI765" s="990" t="str">
        <f t="shared" si="2124"/>
        <v/>
      </c>
      <c r="CJ765" s="989" t="str">
        <f t="shared" si="2124"/>
        <v/>
      </c>
      <c r="CK765" s="989" t="str">
        <f t="shared" si="2124"/>
        <v/>
      </c>
      <c r="CL765" s="989" t="str">
        <f t="shared" si="2124"/>
        <v/>
      </c>
      <c r="CM765" s="988" t="str">
        <f t="shared" si="2124"/>
        <v/>
      </c>
      <c r="CN765" s="533" t="str">
        <f t="shared" si="2122"/>
        <v/>
      </c>
      <c r="CO765" s="534" t="str">
        <f t="shared" si="2122"/>
        <v/>
      </c>
      <c r="CP765" s="535" t="str">
        <f t="shared" si="2122"/>
        <v/>
      </c>
      <c r="CQ765" s="535" t="str">
        <f t="shared" si="2122"/>
        <v/>
      </c>
      <c r="CR765" s="535" t="str">
        <f t="shared" si="2122"/>
        <v/>
      </c>
      <c r="CS765" s="535" t="str">
        <f t="shared" si="2122"/>
        <v/>
      </c>
      <c r="CT765" s="535" t="str">
        <f t="shared" si="2122"/>
        <v/>
      </c>
      <c r="CU765" s="536" t="str">
        <f t="shared" si="2122"/>
        <v/>
      </c>
      <c r="CV765" s="536" t="str">
        <f t="shared" si="2122"/>
        <v/>
      </c>
      <c r="CW765" s="536" t="str">
        <f t="shared" si="2122"/>
        <v/>
      </c>
      <c r="CX765" s="535" t="str">
        <f t="shared" si="2123"/>
        <v/>
      </c>
      <c r="CY765" s="535" t="str">
        <f t="shared" si="2123"/>
        <v/>
      </c>
      <c r="CZ765" s="535" t="str">
        <f t="shared" si="2123"/>
        <v/>
      </c>
      <c r="DA765" s="535" t="str">
        <f t="shared" si="2123"/>
        <v/>
      </c>
      <c r="DB765" s="535" t="str">
        <f t="shared" si="2123"/>
        <v/>
      </c>
      <c r="DC765" s="534" t="str">
        <f t="shared" si="2123"/>
        <v/>
      </c>
      <c r="DD765" s="533" t="str">
        <f t="shared" si="2123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117"/>
        <v/>
      </c>
      <c r="CA766" s="574" t="str">
        <f t="shared" si="2118"/>
        <v/>
      </c>
      <c r="CB766" s="574" t="str">
        <f t="shared" si="2119"/>
        <v/>
      </c>
      <c r="CC766" s="669" t="str">
        <f t="shared" si="2120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117"/>
        <v/>
      </c>
      <c r="CA767" s="582" t="str">
        <f t="shared" si="2118"/>
        <v/>
      </c>
      <c r="CB767" s="582" t="str">
        <f t="shared" si="2119"/>
        <v/>
      </c>
      <c r="CC767" s="670" t="str">
        <f t="shared" si="2120"/>
        <v/>
      </c>
      <c r="CD767" s="988" t="str">
        <f t="shared" ref="CD767:CM767" si="212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129"/>
        <v/>
      </c>
      <c r="CF767" s="989" t="str">
        <f t="shared" si="2129"/>
        <v/>
      </c>
      <c r="CG767" s="989" t="str">
        <f t="shared" si="2129"/>
        <v/>
      </c>
      <c r="CH767" s="990" t="str">
        <f t="shared" si="2129"/>
        <v/>
      </c>
      <c r="CI767" s="990" t="str">
        <f t="shared" si="2129"/>
        <v/>
      </c>
      <c r="CJ767" s="989" t="str">
        <f t="shared" si="2129"/>
        <v/>
      </c>
      <c r="CK767" s="989" t="str">
        <f t="shared" si="2129"/>
        <v/>
      </c>
      <c r="CL767" s="989" t="str">
        <f t="shared" si="2129"/>
        <v/>
      </c>
      <c r="CM767" s="988" t="str">
        <f t="shared" si="2129"/>
        <v/>
      </c>
      <c r="CN767" s="533" t="str">
        <f t="shared" ref="CN767:CW770" si="2130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130"/>
        <v/>
      </c>
      <c r="CP767" s="535" t="str">
        <f t="shared" si="2130"/>
        <v/>
      </c>
      <c r="CQ767" s="535" t="str">
        <f t="shared" si="2130"/>
        <v/>
      </c>
      <c r="CR767" s="535" t="str">
        <f t="shared" si="2130"/>
        <v/>
      </c>
      <c r="CS767" s="535" t="str">
        <f t="shared" si="2130"/>
        <v/>
      </c>
      <c r="CT767" s="535" t="str">
        <f t="shared" si="2130"/>
        <v/>
      </c>
      <c r="CU767" s="536" t="str">
        <f t="shared" si="2130"/>
        <v/>
      </c>
      <c r="CV767" s="536" t="str">
        <f t="shared" si="2130"/>
        <v/>
      </c>
      <c r="CW767" s="536" t="str">
        <f t="shared" si="2130"/>
        <v/>
      </c>
      <c r="CX767" s="535" t="str">
        <f t="shared" ref="CX767:DD770" si="2131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131"/>
        <v/>
      </c>
      <c r="CZ767" s="535" t="str">
        <f t="shared" si="2131"/>
        <v/>
      </c>
      <c r="DA767" s="535" t="str">
        <f t="shared" si="2131"/>
        <v/>
      </c>
      <c r="DB767" s="535" t="str">
        <f t="shared" si="2131"/>
        <v/>
      </c>
      <c r="DC767" s="534" t="str">
        <f t="shared" si="2131"/>
        <v/>
      </c>
      <c r="DD767" s="533" t="str">
        <f t="shared" si="2131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117"/>
        <v/>
      </c>
      <c r="CA768" s="582" t="str">
        <f t="shared" si="2118"/>
        <v/>
      </c>
      <c r="CB768" s="582" t="str">
        <f t="shared" si="2119"/>
        <v/>
      </c>
      <c r="CC768" s="670" t="str">
        <f t="shared" si="2120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13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132"/>
        <v/>
      </c>
      <c r="CG768" s="989" t="str">
        <f t="shared" si="2132"/>
        <v/>
      </c>
      <c r="CH768" s="990" t="str">
        <f t="shared" si="2132"/>
        <v/>
      </c>
      <c r="CI768" s="990" t="str">
        <f t="shared" si="2132"/>
        <v/>
      </c>
      <c r="CJ768" s="989" t="str">
        <f t="shared" si="2132"/>
        <v/>
      </c>
      <c r="CK768" s="989" t="str">
        <f t="shared" si="2132"/>
        <v/>
      </c>
      <c r="CL768" s="989" t="str">
        <f t="shared" si="2132"/>
        <v/>
      </c>
      <c r="CM768" s="988" t="str">
        <f t="shared" si="2132"/>
        <v/>
      </c>
      <c r="CN768" s="533" t="str">
        <f t="shared" si="2130"/>
        <v/>
      </c>
      <c r="CO768" s="534" t="str">
        <f t="shared" si="2130"/>
        <v/>
      </c>
      <c r="CP768" s="535" t="str">
        <f t="shared" si="2130"/>
        <v/>
      </c>
      <c r="CQ768" s="535" t="str">
        <f t="shared" si="2130"/>
        <v/>
      </c>
      <c r="CR768" s="535" t="str">
        <f t="shared" si="2130"/>
        <v/>
      </c>
      <c r="CS768" s="535" t="str">
        <f t="shared" si="2130"/>
        <v/>
      </c>
      <c r="CT768" s="535" t="str">
        <f t="shared" si="2130"/>
        <v/>
      </c>
      <c r="CU768" s="536" t="str">
        <f t="shared" si="2130"/>
        <v/>
      </c>
      <c r="CV768" s="536" t="str">
        <f t="shared" si="2130"/>
        <v/>
      </c>
      <c r="CW768" s="536" t="str">
        <f t="shared" si="2130"/>
        <v/>
      </c>
      <c r="CX768" s="535" t="str">
        <f t="shared" si="2131"/>
        <v/>
      </c>
      <c r="CY768" s="535" t="str">
        <f t="shared" si="2131"/>
        <v/>
      </c>
      <c r="CZ768" s="535" t="str">
        <f t="shared" si="2131"/>
        <v/>
      </c>
      <c r="DA768" s="535" t="str">
        <f t="shared" si="2131"/>
        <v/>
      </c>
      <c r="DB768" s="535" t="str">
        <f t="shared" si="2131"/>
        <v/>
      </c>
      <c r="DC768" s="534" t="str">
        <f t="shared" si="2131"/>
        <v/>
      </c>
      <c r="DD768" s="533" t="str">
        <f t="shared" si="2131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117"/>
        <v/>
      </c>
      <c r="CA769" s="582" t="str">
        <f t="shared" si="2118"/>
        <v/>
      </c>
      <c r="CB769" s="582" t="str">
        <f t="shared" si="2119"/>
        <v/>
      </c>
      <c r="CC769" s="670" t="str">
        <f t="shared" si="2120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132"/>
        <v/>
      </c>
      <c r="CF769" s="989" t="str">
        <f t="shared" si="2132"/>
        <v/>
      </c>
      <c r="CG769" s="989" t="str">
        <f t="shared" si="2132"/>
        <v/>
      </c>
      <c r="CH769" s="990" t="str">
        <f t="shared" si="2132"/>
        <v/>
      </c>
      <c r="CI769" s="990" t="str">
        <f t="shared" si="2132"/>
        <v/>
      </c>
      <c r="CJ769" s="989" t="str">
        <f t="shared" si="2132"/>
        <v/>
      </c>
      <c r="CK769" s="989" t="str">
        <f t="shared" si="2132"/>
        <v/>
      </c>
      <c r="CL769" s="989" t="str">
        <f t="shared" si="2132"/>
        <v/>
      </c>
      <c r="CM769" s="988" t="str">
        <f t="shared" si="2132"/>
        <v/>
      </c>
      <c r="CN769" s="533" t="str">
        <f t="shared" si="2130"/>
        <v/>
      </c>
      <c r="CO769" s="534" t="str">
        <f t="shared" si="2130"/>
        <v/>
      </c>
      <c r="CP769" s="535" t="str">
        <f t="shared" si="2130"/>
        <v/>
      </c>
      <c r="CQ769" s="535" t="str">
        <f t="shared" si="2130"/>
        <v/>
      </c>
      <c r="CR769" s="535" t="str">
        <f t="shared" si="2130"/>
        <v/>
      </c>
      <c r="CS769" s="535" t="str">
        <f t="shared" si="2130"/>
        <v/>
      </c>
      <c r="CT769" s="535" t="str">
        <f t="shared" si="2130"/>
        <v/>
      </c>
      <c r="CU769" s="536" t="str">
        <f t="shared" si="2130"/>
        <v/>
      </c>
      <c r="CV769" s="536" t="str">
        <f t="shared" si="2130"/>
        <v/>
      </c>
      <c r="CW769" s="536" t="str">
        <f t="shared" si="2130"/>
        <v/>
      </c>
      <c r="CX769" s="535" t="str">
        <f t="shared" si="2131"/>
        <v/>
      </c>
      <c r="CY769" s="535" t="str">
        <f t="shared" si="2131"/>
        <v/>
      </c>
      <c r="CZ769" s="535" t="str">
        <f t="shared" si="2131"/>
        <v/>
      </c>
      <c r="DA769" s="535" t="str">
        <f t="shared" si="2131"/>
        <v/>
      </c>
      <c r="DB769" s="535" t="str">
        <f t="shared" si="2131"/>
        <v/>
      </c>
      <c r="DC769" s="534" t="str">
        <f t="shared" si="2131"/>
        <v/>
      </c>
      <c r="DD769" s="533" t="str">
        <f t="shared" si="2131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133">IF(B767="","",B767*B768*B769)</f>
        <v/>
      </c>
      <c r="C770" s="592" t="str">
        <f t="shared" si="2133"/>
        <v/>
      </c>
      <c r="D770" s="592" t="str">
        <f t="shared" si="2133"/>
        <v/>
      </c>
      <c r="E770" s="592" t="str">
        <f t="shared" si="2133"/>
        <v/>
      </c>
      <c r="F770" s="592" t="str">
        <f t="shared" si="2133"/>
        <v/>
      </c>
      <c r="G770" s="592" t="str">
        <f t="shared" si="2133"/>
        <v/>
      </c>
      <c r="H770" s="592" t="str">
        <f t="shared" si="2133"/>
        <v/>
      </c>
      <c r="I770" s="592" t="str">
        <f t="shared" si="2133"/>
        <v/>
      </c>
      <c r="J770" s="592" t="str">
        <f t="shared" si="2133"/>
        <v/>
      </c>
      <c r="K770" s="592" t="str">
        <f t="shared" si="2133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134">IF(T767="","",T767*T768*T769)</f>
        <v/>
      </c>
      <c r="U770" s="592" t="str">
        <f t="shared" si="2134"/>
        <v/>
      </c>
      <c r="V770" s="592" t="str">
        <f t="shared" si="2134"/>
        <v/>
      </c>
      <c r="W770" s="592" t="str">
        <f t="shared" si="2134"/>
        <v/>
      </c>
      <c r="X770" s="592" t="str">
        <f t="shared" si="2134"/>
        <v/>
      </c>
      <c r="Y770" s="592" t="str">
        <f t="shared" si="2134"/>
        <v/>
      </c>
      <c r="Z770" s="592" t="str">
        <f t="shared" si="2134"/>
        <v/>
      </c>
      <c r="AA770" s="592" t="str">
        <f t="shared" si="2134"/>
        <v/>
      </c>
      <c r="AB770" s="592" t="str">
        <f t="shared" si="2134"/>
        <v/>
      </c>
      <c r="AC770" s="592" t="str">
        <f t="shared" si="2134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135">IF(AL767="","",AL767*AL768*AL769)</f>
        <v/>
      </c>
      <c r="AM770" s="592" t="str">
        <f t="shared" si="2135"/>
        <v/>
      </c>
      <c r="AN770" s="592" t="str">
        <f t="shared" si="2135"/>
        <v/>
      </c>
      <c r="AO770" s="592" t="str">
        <f t="shared" si="2135"/>
        <v/>
      </c>
      <c r="AP770" s="592" t="str">
        <f t="shared" si="2135"/>
        <v/>
      </c>
      <c r="AQ770" s="592" t="str">
        <f t="shared" si="2135"/>
        <v/>
      </c>
      <c r="AR770" s="592" t="str">
        <f t="shared" si="2135"/>
        <v/>
      </c>
      <c r="AS770" s="592" t="str">
        <f t="shared" si="2135"/>
        <v/>
      </c>
      <c r="AT770" s="592" t="str">
        <f t="shared" si="2135"/>
        <v/>
      </c>
      <c r="AU770" s="592" t="str">
        <f t="shared" si="2135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136">IF(BD767="","",BD767*BD768*BD769)</f>
        <v/>
      </c>
      <c r="BE770" s="1195" t="str">
        <f t="shared" si="2136"/>
        <v/>
      </c>
      <c r="BF770" s="1195" t="str">
        <f t="shared" si="2136"/>
        <v/>
      </c>
      <c r="BG770" s="1195" t="str">
        <f t="shared" si="2136"/>
        <v/>
      </c>
      <c r="BH770" s="1195" t="str">
        <f t="shared" si="2136"/>
        <v/>
      </c>
      <c r="BI770" s="1195" t="str">
        <f t="shared" si="2136"/>
        <v/>
      </c>
      <c r="BJ770" s="1195" t="str">
        <f t="shared" si="2136"/>
        <v/>
      </c>
      <c r="BK770" s="1195" t="str">
        <f t="shared" si="2136"/>
        <v/>
      </c>
      <c r="BL770" s="1195" t="str">
        <f t="shared" si="2136"/>
        <v/>
      </c>
      <c r="BM770" s="1195" t="str">
        <f t="shared" si="2136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117"/>
        <v/>
      </c>
      <c r="CA770" s="582" t="str">
        <f t="shared" si="2118"/>
        <v/>
      </c>
      <c r="CB770" s="582" t="str">
        <f t="shared" si="2119"/>
        <v/>
      </c>
      <c r="CC770" s="670" t="str">
        <f t="shared" si="2120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132"/>
        <v/>
      </c>
      <c r="CF770" s="989" t="str">
        <f t="shared" si="2132"/>
        <v/>
      </c>
      <c r="CG770" s="989" t="str">
        <f t="shared" si="2132"/>
        <v/>
      </c>
      <c r="CH770" s="990" t="str">
        <f t="shared" si="2132"/>
        <v/>
      </c>
      <c r="CI770" s="990" t="str">
        <f t="shared" si="2132"/>
        <v/>
      </c>
      <c r="CJ770" s="989" t="str">
        <f t="shared" si="2132"/>
        <v/>
      </c>
      <c r="CK770" s="989" t="str">
        <f t="shared" si="2132"/>
        <v/>
      </c>
      <c r="CL770" s="989" t="str">
        <f t="shared" si="2132"/>
        <v/>
      </c>
      <c r="CM770" s="988" t="str">
        <f t="shared" si="2132"/>
        <v/>
      </c>
      <c r="CN770" s="533" t="str">
        <f t="shared" si="2130"/>
        <v/>
      </c>
      <c r="CO770" s="534" t="str">
        <f t="shared" si="2130"/>
        <v/>
      </c>
      <c r="CP770" s="535" t="str">
        <f t="shared" si="2130"/>
        <v/>
      </c>
      <c r="CQ770" s="535" t="str">
        <f t="shared" si="2130"/>
        <v/>
      </c>
      <c r="CR770" s="535" t="str">
        <f t="shared" si="2130"/>
        <v/>
      </c>
      <c r="CS770" s="535" t="str">
        <f t="shared" si="2130"/>
        <v/>
      </c>
      <c r="CT770" s="535" t="str">
        <f t="shared" si="2130"/>
        <v/>
      </c>
      <c r="CU770" s="536" t="str">
        <f t="shared" si="2130"/>
        <v/>
      </c>
      <c r="CV770" s="536" t="str">
        <f t="shared" si="2130"/>
        <v/>
      </c>
      <c r="CW770" s="536" t="str">
        <f t="shared" si="2130"/>
        <v/>
      </c>
      <c r="CX770" s="535" t="str">
        <f t="shared" si="2131"/>
        <v/>
      </c>
      <c r="CY770" s="535" t="str">
        <f t="shared" si="2131"/>
        <v/>
      </c>
      <c r="CZ770" s="535" t="str">
        <f t="shared" si="2131"/>
        <v/>
      </c>
      <c r="DA770" s="535" t="str">
        <f t="shared" si="2131"/>
        <v/>
      </c>
      <c r="DB770" s="535" t="str">
        <f t="shared" si="2131"/>
        <v/>
      </c>
      <c r="DC770" s="534" t="str">
        <f t="shared" si="2131"/>
        <v/>
      </c>
      <c r="DD770" s="533" t="str">
        <f t="shared" si="2131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117"/>
        <v/>
      </c>
      <c r="CA771" s="574" t="str">
        <f t="shared" si="2118"/>
        <v/>
      </c>
      <c r="CB771" s="574" t="str">
        <f t="shared" si="2119"/>
        <v/>
      </c>
      <c r="CC771" s="669" t="str">
        <f t="shared" si="2120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/>
      <c r="BZ772" s="582" t="str">
        <f t="shared" si="2117"/>
        <v/>
      </c>
      <c r="CA772" s="582" t="str">
        <f t="shared" si="2118"/>
        <v/>
      </c>
      <c r="CB772" s="582" t="str">
        <f t="shared" si="2119"/>
        <v/>
      </c>
      <c r="CC772" s="670" t="str">
        <f t="shared" si="2120"/>
        <v/>
      </c>
      <c r="CD772" s="988" t="str">
        <f t="shared" ref="CD772:CM772" si="213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137"/>
        <v/>
      </c>
      <c r="CF772" s="989" t="str">
        <f t="shared" si="2137"/>
        <v/>
      </c>
      <c r="CG772" s="989" t="str">
        <f t="shared" si="2137"/>
        <v/>
      </c>
      <c r="CH772" s="990" t="str">
        <f t="shared" si="2137"/>
        <v/>
      </c>
      <c r="CI772" s="990" t="str">
        <f t="shared" si="2137"/>
        <v/>
      </c>
      <c r="CJ772" s="989" t="str">
        <f t="shared" si="2137"/>
        <v/>
      </c>
      <c r="CK772" s="989" t="str">
        <f t="shared" si="2137"/>
        <v/>
      </c>
      <c r="CL772" s="989" t="str">
        <f t="shared" si="2137"/>
        <v/>
      </c>
      <c r="CM772" s="988" t="str">
        <f t="shared" si="2137"/>
        <v/>
      </c>
      <c r="CN772" s="533" t="str">
        <f t="shared" ref="CN772:CW776" si="2138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138"/>
        <v/>
      </c>
      <c r="CP772" s="535" t="str">
        <f t="shared" si="2138"/>
        <v/>
      </c>
      <c r="CQ772" s="535" t="str">
        <f t="shared" si="2138"/>
        <v/>
      </c>
      <c r="CR772" s="535" t="str">
        <f t="shared" si="2138"/>
        <v/>
      </c>
      <c r="CS772" s="535" t="str">
        <f t="shared" si="2138"/>
        <v/>
      </c>
      <c r="CT772" s="535" t="str">
        <f t="shared" si="2138"/>
        <v/>
      </c>
      <c r="CU772" s="536" t="str">
        <f t="shared" si="2138"/>
        <v/>
      </c>
      <c r="CV772" s="536" t="str">
        <f t="shared" si="2138"/>
        <v/>
      </c>
      <c r="CW772" s="536" t="str">
        <f t="shared" si="2138"/>
        <v/>
      </c>
      <c r="CX772" s="535" t="str">
        <f t="shared" ref="CX772:DD776" si="2139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139"/>
        <v/>
      </c>
      <c r="CZ772" s="535" t="str">
        <f t="shared" si="2139"/>
        <v/>
      </c>
      <c r="DA772" s="535" t="str">
        <f t="shared" si="2139"/>
        <v/>
      </c>
      <c r="DB772" s="535" t="str">
        <f t="shared" si="2139"/>
        <v/>
      </c>
      <c r="DC772" s="534" t="str">
        <f t="shared" si="2139"/>
        <v/>
      </c>
      <c r="DD772" s="533" t="str">
        <f t="shared" si="2139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/>
      <c r="BZ773" s="582" t="str">
        <f t="shared" si="2117"/>
        <v/>
      </c>
      <c r="CA773" s="582" t="str">
        <f t="shared" si="2118"/>
        <v/>
      </c>
      <c r="CB773" s="582" t="str">
        <f t="shared" si="2119"/>
        <v/>
      </c>
      <c r="CC773" s="670" t="str">
        <f t="shared" si="2120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14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140"/>
        <v/>
      </c>
      <c r="CG773" s="989" t="str">
        <f t="shared" si="2140"/>
        <v/>
      </c>
      <c r="CH773" s="990" t="str">
        <f t="shared" si="2140"/>
        <v/>
      </c>
      <c r="CI773" s="990" t="str">
        <f t="shared" si="2140"/>
        <v/>
      </c>
      <c r="CJ773" s="989" t="str">
        <f t="shared" si="2140"/>
        <v/>
      </c>
      <c r="CK773" s="989" t="str">
        <f t="shared" si="2140"/>
        <v/>
      </c>
      <c r="CL773" s="989" t="str">
        <f t="shared" si="2140"/>
        <v/>
      </c>
      <c r="CM773" s="988" t="str">
        <f t="shared" si="2140"/>
        <v/>
      </c>
      <c r="CN773" s="533" t="str">
        <f t="shared" si="2138"/>
        <v/>
      </c>
      <c r="CO773" s="534" t="str">
        <f t="shared" si="2138"/>
        <v/>
      </c>
      <c r="CP773" s="535" t="str">
        <f t="shared" si="2138"/>
        <v/>
      </c>
      <c r="CQ773" s="535" t="str">
        <f t="shared" si="2138"/>
        <v/>
      </c>
      <c r="CR773" s="535" t="str">
        <f t="shared" si="2138"/>
        <v/>
      </c>
      <c r="CS773" s="535" t="str">
        <f t="shared" si="2138"/>
        <v/>
      </c>
      <c r="CT773" s="535" t="str">
        <f t="shared" si="2138"/>
        <v/>
      </c>
      <c r="CU773" s="536" t="str">
        <f t="shared" si="2138"/>
        <v/>
      </c>
      <c r="CV773" s="536" t="str">
        <f t="shared" si="2138"/>
        <v/>
      </c>
      <c r="CW773" s="536" t="str">
        <f t="shared" si="2138"/>
        <v/>
      </c>
      <c r="CX773" s="535" t="str">
        <f t="shared" si="2139"/>
        <v/>
      </c>
      <c r="CY773" s="535" t="str">
        <f t="shared" si="2139"/>
        <v/>
      </c>
      <c r="CZ773" s="535" t="str">
        <f t="shared" si="2139"/>
        <v/>
      </c>
      <c r="DA773" s="535" t="str">
        <f t="shared" si="2139"/>
        <v/>
      </c>
      <c r="DB773" s="535" t="str">
        <f t="shared" si="2139"/>
        <v/>
      </c>
      <c r="DC773" s="534" t="str">
        <f t="shared" si="2139"/>
        <v/>
      </c>
      <c r="DD773" s="533" t="str">
        <f t="shared" si="2139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/>
      <c r="BZ774" s="582" t="str">
        <f t="shared" si="2117"/>
        <v/>
      </c>
      <c r="CA774" s="582" t="str">
        <f t="shared" si="2118"/>
        <v/>
      </c>
      <c r="CB774" s="582" t="str">
        <f t="shared" si="2119"/>
        <v/>
      </c>
      <c r="CC774" s="670" t="str">
        <f t="shared" si="2120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140"/>
        <v/>
      </c>
      <c r="CF774" s="989" t="str">
        <f t="shared" si="2140"/>
        <v/>
      </c>
      <c r="CG774" s="989" t="str">
        <f t="shared" si="2140"/>
        <v/>
      </c>
      <c r="CH774" s="990" t="str">
        <f t="shared" si="2140"/>
        <v/>
      </c>
      <c r="CI774" s="990" t="str">
        <f t="shared" si="2140"/>
        <v/>
      </c>
      <c r="CJ774" s="989" t="str">
        <f t="shared" si="2140"/>
        <v/>
      </c>
      <c r="CK774" s="989" t="str">
        <f t="shared" si="2140"/>
        <v/>
      </c>
      <c r="CL774" s="989" t="str">
        <f t="shared" si="2140"/>
        <v/>
      </c>
      <c r="CM774" s="988" t="str">
        <f t="shared" si="2140"/>
        <v/>
      </c>
      <c r="CN774" s="533" t="str">
        <f t="shared" si="2138"/>
        <v/>
      </c>
      <c r="CO774" s="534" t="str">
        <f t="shared" si="2138"/>
        <v/>
      </c>
      <c r="CP774" s="535" t="str">
        <f t="shared" si="2138"/>
        <v/>
      </c>
      <c r="CQ774" s="535" t="str">
        <f t="shared" si="2138"/>
        <v/>
      </c>
      <c r="CR774" s="535" t="str">
        <f t="shared" si="2138"/>
        <v/>
      </c>
      <c r="CS774" s="535" t="str">
        <f t="shared" si="2138"/>
        <v/>
      </c>
      <c r="CT774" s="535" t="str">
        <f t="shared" si="2138"/>
        <v/>
      </c>
      <c r="CU774" s="536" t="str">
        <f t="shared" si="2138"/>
        <v/>
      </c>
      <c r="CV774" s="536" t="str">
        <f t="shared" si="2138"/>
        <v/>
      </c>
      <c r="CW774" s="536" t="str">
        <f t="shared" si="2138"/>
        <v/>
      </c>
      <c r="CX774" s="535" t="str">
        <f t="shared" si="2139"/>
        <v/>
      </c>
      <c r="CY774" s="535" t="str">
        <f t="shared" si="2139"/>
        <v/>
      </c>
      <c r="CZ774" s="535" t="str">
        <f t="shared" si="2139"/>
        <v/>
      </c>
      <c r="DA774" s="535" t="str">
        <f t="shared" si="2139"/>
        <v/>
      </c>
      <c r="DB774" s="535" t="str">
        <f t="shared" si="2139"/>
        <v/>
      </c>
      <c r="DC774" s="534" t="str">
        <f t="shared" si="2139"/>
        <v/>
      </c>
      <c r="DD774" s="533" t="str">
        <f t="shared" si="2139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/>
      <c r="BZ775" s="582" t="str">
        <f t="shared" si="2117"/>
        <v/>
      </c>
      <c r="CA775" s="582" t="str">
        <f t="shared" si="2118"/>
        <v/>
      </c>
      <c r="CB775" s="582" t="str">
        <f t="shared" si="2119"/>
        <v/>
      </c>
      <c r="CC775" s="670" t="str">
        <f t="shared" si="2120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140"/>
        <v/>
      </c>
      <c r="CF775" s="989" t="str">
        <f t="shared" si="2140"/>
        <v/>
      </c>
      <c r="CG775" s="989" t="str">
        <f t="shared" si="2140"/>
        <v/>
      </c>
      <c r="CH775" s="990" t="str">
        <f t="shared" si="2140"/>
        <v/>
      </c>
      <c r="CI775" s="990" t="str">
        <f t="shared" si="2140"/>
        <v/>
      </c>
      <c r="CJ775" s="989" t="str">
        <f t="shared" si="2140"/>
        <v/>
      </c>
      <c r="CK775" s="989" t="str">
        <f t="shared" si="2140"/>
        <v/>
      </c>
      <c r="CL775" s="989" t="str">
        <f t="shared" si="2140"/>
        <v/>
      </c>
      <c r="CM775" s="988" t="str">
        <f t="shared" si="2140"/>
        <v/>
      </c>
      <c r="CN775" s="533" t="str">
        <f t="shared" si="2138"/>
        <v/>
      </c>
      <c r="CO775" s="534" t="str">
        <f t="shared" si="2138"/>
        <v/>
      </c>
      <c r="CP775" s="535" t="str">
        <f t="shared" si="2138"/>
        <v/>
      </c>
      <c r="CQ775" s="535" t="str">
        <f t="shared" si="2138"/>
        <v/>
      </c>
      <c r="CR775" s="535" t="str">
        <f t="shared" si="2138"/>
        <v/>
      </c>
      <c r="CS775" s="535" t="str">
        <f t="shared" si="2138"/>
        <v/>
      </c>
      <c r="CT775" s="535" t="str">
        <f t="shared" si="2138"/>
        <v/>
      </c>
      <c r="CU775" s="536" t="str">
        <f t="shared" si="2138"/>
        <v/>
      </c>
      <c r="CV775" s="536" t="str">
        <f t="shared" si="2138"/>
        <v/>
      </c>
      <c r="CW775" s="536" t="str">
        <f t="shared" si="2138"/>
        <v/>
      </c>
      <c r="CX775" s="535" t="str">
        <f t="shared" si="2139"/>
        <v/>
      </c>
      <c r="CY775" s="535" t="str">
        <f t="shared" si="2139"/>
        <v/>
      </c>
      <c r="CZ775" s="535" t="str">
        <f t="shared" si="2139"/>
        <v/>
      </c>
      <c r="DA775" s="535" t="str">
        <f t="shared" si="2139"/>
        <v/>
      </c>
      <c r="DB775" s="535" t="str">
        <f t="shared" si="2139"/>
        <v/>
      </c>
      <c r="DC775" s="534" t="str">
        <f t="shared" si="2139"/>
        <v/>
      </c>
      <c r="DD775" s="533" t="str">
        <f t="shared" si="2139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117"/>
        <v/>
      </c>
      <c r="CA776" s="582" t="str">
        <f t="shared" si="2118"/>
        <v/>
      </c>
      <c r="CB776" s="582" t="str">
        <f t="shared" si="2119"/>
        <v/>
      </c>
      <c r="CC776" s="670" t="str">
        <f t="shared" si="2120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140"/>
        <v/>
      </c>
      <c r="CF776" s="989" t="str">
        <f t="shared" si="2140"/>
        <v/>
      </c>
      <c r="CG776" s="989" t="str">
        <f t="shared" si="2140"/>
        <v/>
      </c>
      <c r="CH776" s="990" t="str">
        <f t="shared" si="2140"/>
        <v/>
      </c>
      <c r="CI776" s="990" t="str">
        <f t="shared" si="2140"/>
        <v/>
      </c>
      <c r="CJ776" s="989" t="str">
        <f t="shared" si="2140"/>
        <v/>
      </c>
      <c r="CK776" s="989" t="str">
        <f t="shared" si="2140"/>
        <v/>
      </c>
      <c r="CL776" s="989" t="str">
        <f t="shared" si="2140"/>
        <v/>
      </c>
      <c r="CM776" s="988" t="str">
        <f t="shared" si="2140"/>
        <v/>
      </c>
      <c r="CN776" s="533" t="str">
        <f t="shared" si="2138"/>
        <v/>
      </c>
      <c r="CO776" s="534" t="str">
        <f t="shared" si="2138"/>
        <v/>
      </c>
      <c r="CP776" s="535" t="str">
        <f t="shared" si="2138"/>
        <v/>
      </c>
      <c r="CQ776" s="535" t="str">
        <f t="shared" si="2138"/>
        <v/>
      </c>
      <c r="CR776" s="535" t="str">
        <f t="shared" si="2138"/>
        <v/>
      </c>
      <c r="CS776" s="535" t="str">
        <f t="shared" si="2138"/>
        <v/>
      </c>
      <c r="CT776" s="535" t="str">
        <f t="shared" si="2138"/>
        <v/>
      </c>
      <c r="CU776" s="536" t="str">
        <f t="shared" si="2138"/>
        <v/>
      </c>
      <c r="CV776" s="536" t="str">
        <f t="shared" si="2138"/>
        <v/>
      </c>
      <c r="CW776" s="536" t="str">
        <f t="shared" si="2138"/>
        <v/>
      </c>
      <c r="CX776" s="535" t="str">
        <f t="shared" si="2139"/>
        <v/>
      </c>
      <c r="CY776" s="535" t="str">
        <f t="shared" si="2139"/>
        <v/>
      </c>
      <c r="CZ776" s="535" t="str">
        <f t="shared" si="2139"/>
        <v/>
      </c>
      <c r="DA776" s="535" t="str">
        <f t="shared" si="2139"/>
        <v/>
      </c>
      <c r="DB776" s="535" t="str">
        <f t="shared" si="2139"/>
        <v/>
      </c>
      <c r="DC776" s="534" t="str">
        <f t="shared" si="2139"/>
        <v/>
      </c>
      <c r="DD776" s="533" t="str">
        <f t="shared" si="2139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141">IF(DE778&lt;3,"",(SUM(B778:R778)-MIN(B778:R778)-MAX(B778:R778))/(DE778-2))</f>
        <v/>
      </c>
      <c r="CA778" s="582" t="str">
        <f t="shared" ref="CA778:CA785" si="2142">IF(DF778&lt;3,"",(SUM(T778:AJ778)-MIN(T778:AJ778)-MAX(T778:AJ778))/(DF778-2))</f>
        <v/>
      </c>
      <c r="CB778" s="582" t="str">
        <f t="shared" ref="CB778:CB785" si="2143">IF(DG778&lt;3,"",(SUM(AL778:BB778)-MIN(AL778:BB778)-MAX(AL778:BB778))/(DG778-2))</f>
        <v/>
      </c>
      <c r="CC778" s="670" t="str">
        <f t="shared" ref="CC778:CC785" si="2144">IF(DH778&lt;3,"",(SUM(BD778:BT778)-MIN(BD778:BT778)-MAX(BD778:BT778))/(DH778-2))</f>
        <v/>
      </c>
      <c r="CD778" s="988" t="str">
        <f t="shared" ref="CD778:CM778" si="214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145"/>
        <v/>
      </c>
      <c r="CF778" s="989" t="str">
        <f t="shared" si="2145"/>
        <v/>
      </c>
      <c r="CG778" s="989" t="str">
        <f t="shared" si="2145"/>
        <v/>
      </c>
      <c r="CH778" s="990" t="str">
        <f t="shared" si="2145"/>
        <v/>
      </c>
      <c r="CI778" s="990" t="str">
        <f t="shared" si="2145"/>
        <v/>
      </c>
      <c r="CJ778" s="989" t="str">
        <f t="shared" si="2145"/>
        <v/>
      </c>
      <c r="CK778" s="989" t="str">
        <f t="shared" si="2145"/>
        <v/>
      </c>
      <c r="CL778" s="989" t="str">
        <f t="shared" si="2145"/>
        <v/>
      </c>
      <c r="CM778" s="988" t="str">
        <f t="shared" si="2145"/>
        <v/>
      </c>
      <c r="CN778" s="533" t="str">
        <f t="shared" ref="CN778:CN785" si="2146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147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148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149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150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151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152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153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154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155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156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157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158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159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160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161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162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163">COUNT(B778:R778)</f>
        <v>0</v>
      </c>
      <c r="DF778" s="95">
        <f t="shared" ref="DF778:DF785" si="2164">COUNT(T778:AJ778)</f>
        <v>0</v>
      </c>
      <c r="DG778" s="95">
        <f t="shared" ref="DG778:DG785" si="2165">COUNT(AL778:BB778)</f>
        <v>0</v>
      </c>
      <c r="DH778" s="95">
        <f t="shared" ref="DH778:DH785" si="2166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141"/>
        <v/>
      </c>
      <c r="CA779" s="582" t="str">
        <f t="shared" si="2142"/>
        <v/>
      </c>
      <c r="CB779" s="582" t="str">
        <f t="shared" si="2143"/>
        <v/>
      </c>
      <c r="CC779" s="670" t="str">
        <f t="shared" si="2144"/>
        <v/>
      </c>
      <c r="CD779" s="988" t="str">
        <f t="shared" ref="CD779:CD785" si="216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16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168"/>
        <v/>
      </c>
      <c r="CG779" s="989" t="str">
        <f t="shared" si="2168"/>
        <v/>
      </c>
      <c r="CH779" s="990" t="str">
        <f t="shared" si="2168"/>
        <v/>
      </c>
      <c r="CI779" s="990" t="str">
        <f t="shared" si="2168"/>
        <v/>
      </c>
      <c r="CJ779" s="989" t="str">
        <f t="shared" si="2168"/>
        <v/>
      </c>
      <c r="CK779" s="989" t="str">
        <f t="shared" si="2168"/>
        <v/>
      </c>
      <c r="CL779" s="989" t="str">
        <f t="shared" si="2168"/>
        <v/>
      </c>
      <c r="CM779" s="988" t="str">
        <f t="shared" si="2168"/>
        <v/>
      </c>
      <c r="CN779" s="533" t="str">
        <f t="shared" si="2146"/>
        <v/>
      </c>
      <c r="CO779" s="534" t="str">
        <f t="shared" si="2147"/>
        <v/>
      </c>
      <c r="CP779" s="535" t="str">
        <f t="shared" si="2148"/>
        <v/>
      </c>
      <c r="CQ779" s="535" t="str">
        <f t="shared" si="2149"/>
        <v/>
      </c>
      <c r="CR779" s="535" t="str">
        <f t="shared" si="2150"/>
        <v/>
      </c>
      <c r="CS779" s="535" t="str">
        <f t="shared" si="2151"/>
        <v/>
      </c>
      <c r="CT779" s="535" t="str">
        <f t="shared" si="2152"/>
        <v/>
      </c>
      <c r="CU779" s="536" t="str">
        <f t="shared" si="2153"/>
        <v/>
      </c>
      <c r="CV779" s="536" t="str">
        <f t="shared" si="2154"/>
        <v/>
      </c>
      <c r="CW779" s="536" t="str">
        <f t="shared" si="2155"/>
        <v/>
      </c>
      <c r="CX779" s="535" t="str">
        <f t="shared" si="2156"/>
        <v/>
      </c>
      <c r="CY779" s="535" t="str">
        <f t="shared" si="2157"/>
        <v/>
      </c>
      <c r="CZ779" s="535" t="str">
        <f t="shared" si="2158"/>
        <v/>
      </c>
      <c r="DA779" s="535" t="str">
        <f t="shared" si="2159"/>
        <v/>
      </c>
      <c r="DB779" s="535" t="str">
        <f t="shared" si="2160"/>
        <v/>
      </c>
      <c r="DC779" s="534" t="str">
        <f t="shared" si="2161"/>
        <v/>
      </c>
      <c r="DD779" s="533" t="str">
        <f t="shared" si="2162"/>
        <v/>
      </c>
      <c r="DE779" s="635">
        <f t="shared" si="2163"/>
        <v>0</v>
      </c>
      <c r="DF779" s="95">
        <f t="shared" si="2164"/>
        <v>0</v>
      </c>
      <c r="DG779" s="95">
        <f t="shared" si="2165"/>
        <v>0</v>
      </c>
      <c r="DH779" s="95">
        <f t="shared" si="2166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141"/>
        <v/>
      </c>
      <c r="CA780" s="582" t="str">
        <f t="shared" si="2142"/>
        <v/>
      </c>
      <c r="CB780" s="582" t="str">
        <f t="shared" si="2143"/>
        <v/>
      </c>
      <c r="CC780" s="670" t="str">
        <f t="shared" si="2144"/>
        <v/>
      </c>
      <c r="CD780" s="988" t="str">
        <f t="shared" si="2167"/>
        <v/>
      </c>
      <c r="CE780" s="989" t="str">
        <f t="shared" si="2168"/>
        <v/>
      </c>
      <c r="CF780" s="989" t="str">
        <f t="shared" si="2168"/>
        <v/>
      </c>
      <c r="CG780" s="989" t="str">
        <f t="shared" si="2168"/>
        <v/>
      </c>
      <c r="CH780" s="990" t="str">
        <f t="shared" si="2168"/>
        <v/>
      </c>
      <c r="CI780" s="990" t="str">
        <f t="shared" si="2168"/>
        <v/>
      </c>
      <c r="CJ780" s="989" t="str">
        <f t="shared" si="2168"/>
        <v/>
      </c>
      <c r="CK780" s="989" t="str">
        <f t="shared" si="2168"/>
        <v/>
      </c>
      <c r="CL780" s="989" t="str">
        <f t="shared" si="2168"/>
        <v/>
      </c>
      <c r="CM780" s="988" t="str">
        <f t="shared" si="2168"/>
        <v/>
      </c>
      <c r="CN780" s="533" t="str">
        <f t="shared" si="2146"/>
        <v/>
      </c>
      <c r="CO780" s="534" t="str">
        <f t="shared" si="2147"/>
        <v/>
      </c>
      <c r="CP780" s="535" t="str">
        <f t="shared" si="2148"/>
        <v/>
      </c>
      <c r="CQ780" s="535" t="str">
        <f t="shared" si="2149"/>
        <v/>
      </c>
      <c r="CR780" s="535" t="str">
        <f t="shared" si="2150"/>
        <v/>
      </c>
      <c r="CS780" s="535" t="str">
        <f t="shared" si="2151"/>
        <v/>
      </c>
      <c r="CT780" s="535" t="str">
        <f t="shared" si="2152"/>
        <v/>
      </c>
      <c r="CU780" s="536" t="str">
        <f t="shared" si="2153"/>
        <v/>
      </c>
      <c r="CV780" s="536" t="str">
        <f t="shared" si="2154"/>
        <v/>
      </c>
      <c r="CW780" s="536" t="str">
        <f t="shared" si="2155"/>
        <v/>
      </c>
      <c r="CX780" s="535" t="str">
        <f t="shared" si="2156"/>
        <v/>
      </c>
      <c r="CY780" s="535" t="str">
        <f t="shared" si="2157"/>
        <v/>
      </c>
      <c r="CZ780" s="535" t="str">
        <f t="shared" si="2158"/>
        <v/>
      </c>
      <c r="DA780" s="535" t="str">
        <f t="shared" si="2159"/>
        <v/>
      </c>
      <c r="DB780" s="535" t="str">
        <f t="shared" si="2160"/>
        <v/>
      </c>
      <c r="DC780" s="534" t="str">
        <f t="shared" si="2161"/>
        <v/>
      </c>
      <c r="DD780" s="533" t="str">
        <f t="shared" si="2162"/>
        <v/>
      </c>
      <c r="DE780" s="635">
        <f t="shared" si="2163"/>
        <v>0</v>
      </c>
      <c r="DF780" s="95">
        <f t="shared" si="2164"/>
        <v>0</v>
      </c>
      <c r="DG780" s="95">
        <f t="shared" si="2165"/>
        <v>0</v>
      </c>
      <c r="DH780" s="95">
        <f t="shared" si="2166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169">IF(B778="","",B778*B779*B780)</f>
        <v/>
      </c>
      <c r="C781" s="592" t="str">
        <f t="shared" si="2169"/>
        <v/>
      </c>
      <c r="D781" s="592" t="str">
        <f t="shared" si="2169"/>
        <v/>
      </c>
      <c r="E781" s="592" t="str">
        <f t="shared" si="2169"/>
        <v/>
      </c>
      <c r="F781" s="592" t="str">
        <f t="shared" si="2169"/>
        <v/>
      </c>
      <c r="G781" s="592" t="str">
        <f t="shared" si="2169"/>
        <v/>
      </c>
      <c r="H781" s="592" t="str">
        <f t="shared" si="2169"/>
        <v/>
      </c>
      <c r="I781" s="592" t="str">
        <f t="shared" si="2169"/>
        <v/>
      </c>
      <c r="J781" s="592" t="str">
        <f t="shared" si="2169"/>
        <v/>
      </c>
      <c r="K781" s="592" t="str">
        <f t="shared" si="2169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170">IF(T778="","",T778*T779*T780)</f>
        <v/>
      </c>
      <c r="U781" s="592" t="str">
        <f t="shared" si="2170"/>
        <v/>
      </c>
      <c r="V781" s="592" t="str">
        <f t="shared" si="2170"/>
        <v/>
      </c>
      <c r="W781" s="592" t="str">
        <f t="shared" si="2170"/>
        <v/>
      </c>
      <c r="X781" s="592" t="str">
        <f t="shared" si="2170"/>
        <v/>
      </c>
      <c r="Y781" s="592" t="str">
        <f t="shared" si="2170"/>
        <v/>
      </c>
      <c r="Z781" s="592" t="str">
        <f t="shared" si="2170"/>
        <v/>
      </c>
      <c r="AA781" s="592" t="str">
        <f t="shared" si="2170"/>
        <v/>
      </c>
      <c r="AB781" s="592" t="str">
        <f t="shared" si="2170"/>
        <v/>
      </c>
      <c r="AC781" s="592" t="str">
        <f t="shared" si="2170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171">IF(AL778="","",AL778*AL779*AL780)</f>
        <v/>
      </c>
      <c r="AM781" s="592" t="str">
        <f t="shared" si="2171"/>
        <v/>
      </c>
      <c r="AN781" s="592" t="str">
        <f t="shared" si="2171"/>
        <v/>
      </c>
      <c r="AO781" s="592" t="str">
        <f t="shared" si="2171"/>
        <v/>
      </c>
      <c r="AP781" s="592" t="str">
        <f t="shared" si="2171"/>
        <v/>
      </c>
      <c r="AQ781" s="592" t="str">
        <f t="shared" si="2171"/>
        <v/>
      </c>
      <c r="AR781" s="592" t="str">
        <f t="shared" si="2171"/>
        <v/>
      </c>
      <c r="AS781" s="592" t="str">
        <f t="shared" si="2171"/>
        <v/>
      </c>
      <c r="AT781" s="592" t="str">
        <f t="shared" si="2171"/>
        <v/>
      </c>
      <c r="AU781" s="592" t="str">
        <f t="shared" si="2171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172">IF(BD778="","",BD778*BD779*BD780)</f>
        <v/>
      </c>
      <c r="BE781" s="1195" t="str">
        <f t="shared" si="2172"/>
        <v/>
      </c>
      <c r="BF781" s="1195" t="str">
        <f t="shared" si="2172"/>
        <v/>
      </c>
      <c r="BG781" s="1195" t="str">
        <f t="shared" si="2172"/>
        <v/>
      </c>
      <c r="BH781" s="1195" t="str">
        <f t="shared" si="2172"/>
        <v/>
      </c>
      <c r="BI781" s="1195" t="str">
        <f t="shared" si="2172"/>
        <v/>
      </c>
      <c r="BJ781" s="1195" t="str">
        <f t="shared" si="2172"/>
        <v/>
      </c>
      <c r="BK781" s="1195" t="str">
        <f t="shared" si="2172"/>
        <v/>
      </c>
      <c r="BL781" s="1195" t="str">
        <f t="shared" si="2172"/>
        <v/>
      </c>
      <c r="BM781" s="1195" t="str">
        <f t="shared" si="2172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141"/>
        <v/>
      </c>
      <c r="CA781" s="582" t="str">
        <f t="shared" si="2142"/>
        <v/>
      </c>
      <c r="CB781" s="582" t="str">
        <f t="shared" si="2143"/>
        <v/>
      </c>
      <c r="CC781" s="670" t="str">
        <f t="shared" si="2144"/>
        <v/>
      </c>
      <c r="CD781" s="988" t="str">
        <f t="shared" si="2167"/>
        <v/>
      </c>
      <c r="CE781" s="989" t="str">
        <f t="shared" si="2168"/>
        <v/>
      </c>
      <c r="CF781" s="989" t="str">
        <f t="shared" si="2168"/>
        <v/>
      </c>
      <c r="CG781" s="989" t="str">
        <f t="shared" si="2168"/>
        <v/>
      </c>
      <c r="CH781" s="990" t="str">
        <f t="shared" si="2168"/>
        <v/>
      </c>
      <c r="CI781" s="990" t="str">
        <f t="shared" si="2168"/>
        <v/>
      </c>
      <c r="CJ781" s="989" t="str">
        <f t="shared" si="2168"/>
        <v/>
      </c>
      <c r="CK781" s="989" t="str">
        <f t="shared" si="2168"/>
        <v/>
      </c>
      <c r="CL781" s="989" t="str">
        <f t="shared" si="2168"/>
        <v/>
      </c>
      <c r="CM781" s="988" t="str">
        <f t="shared" si="2168"/>
        <v/>
      </c>
      <c r="CN781" s="533" t="str">
        <f t="shared" si="2146"/>
        <v/>
      </c>
      <c r="CO781" s="534" t="str">
        <f t="shared" si="2147"/>
        <v/>
      </c>
      <c r="CP781" s="535" t="str">
        <f t="shared" si="2148"/>
        <v/>
      </c>
      <c r="CQ781" s="535" t="str">
        <f t="shared" si="2149"/>
        <v/>
      </c>
      <c r="CR781" s="535" t="str">
        <f t="shared" si="2150"/>
        <v/>
      </c>
      <c r="CS781" s="535" t="str">
        <f t="shared" si="2151"/>
        <v/>
      </c>
      <c r="CT781" s="535" t="str">
        <f t="shared" si="2152"/>
        <v/>
      </c>
      <c r="CU781" s="536" t="str">
        <f t="shared" si="2153"/>
        <v/>
      </c>
      <c r="CV781" s="536" t="str">
        <f t="shared" si="2154"/>
        <v/>
      </c>
      <c r="CW781" s="536" t="str">
        <f t="shared" si="2155"/>
        <v/>
      </c>
      <c r="CX781" s="535" t="str">
        <f t="shared" si="2156"/>
        <v/>
      </c>
      <c r="CY781" s="535" t="str">
        <f t="shared" si="2157"/>
        <v/>
      </c>
      <c r="CZ781" s="535" t="str">
        <f t="shared" si="2158"/>
        <v/>
      </c>
      <c r="DA781" s="535" t="str">
        <f t="shared" si="2159"/>
        <v/>
      </c>
      <c r="DB781" s="535" t="str">
        <f t="shared" si="2160"/>
        <v/>
      </c>
      <c r="DC781" s="534" t="str">
        <f t="shared" si="2161"/>
        <v/>
      </c>
      <c r="DD781" s="533" t="str">
        <f t="shared" si="2162"/>
        <v/>
      </c>
      <c r="DE781" s="635">
        <f t="shared" si="2163"/>
        <v>0</v>
      </c>
      <c r="DF781" s="95">
        <f t="shared" si="2164"/>
        <v>0</v>
      </c>
      <c r="DG781" s="95">
        <f t="shared" si="2165"/>
        <v>0</v>
      </c>
      <c r="DH781" s="95">
        <f t="shared" si="2166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>
        <v>500</v>
      </c>
      <c r="BW782" s="215">
        <v>500</v>
      </c>
      <c r="BX782" s="215">
        <v>2000</v>
      </c>
      <c r="BY782" s="215"/>
      <c r="BZ782" s="582" t="str">
        <f t="shared" si="2141"/>
        <v/>
      </c>
      <c r="CA782" s="582" t="str">
        <f t="shared" si="2142"/>
        <v/>
      </c>
      <c r="CB782" s="582" t="str">
        <f t="shared" si="2143"/>
        <v/>
      </c>
      <c r="CC782" s="670" t="str">
        <f t="shared" si="2144"/>
        <v/>
      </c>
      <c r="CD782" s="988" t="str">
        <f t="shared" si="2167"/>
        <v/>
      </c>
      <c r="CE782" s="989" t="str">
        <f t="shared" si="2168"/>
        <v/>
      </c>
      <c r="CF782" s="989" t="str">
        <f t="shared" si="2168"/>
        <v/>
      </c>
      <c r="CG782" s="989" t="str">
        <f t="shared" si="2168"/>
        <v/>
      </c>
      <c r="CH782" s="990" t="str">
        <f t="shared" si="2168"/>
        <v/>
      </c>
      <c r="CI782" s="990" t="str">
        <f t="shared" si="2168"/>
        <v/>
      </c>
      <c r="CJ782" s="989" t="str">
        <f t="shared" si="2168"/>
        <v/>
      </c>
      <c r="CK782" s="989" t="str">
        <f t="shared" si="2168"/>
        <v/>
      </c>
      <c r="CL782" s="989" t="str">
        <f t="shared" si="2168"/>
        <v/>
      </c>
      <c r="CM782" s="988" t="str">
        <f t="shared" si="2168"/>
        <v/>
      </c>
      <c r="CN782" s="533" t="str">
        <f t="shared" si="2146"/>
        <v/>
      </c>
      <c r="CO782" s="534" t="str">
        <f t="shared" si="2147"/>
        <v/>
      </c>
      <c r="CP782" s="535" t="str">
        <f t="shared" si="2148"/>
        <v/>
      </c>
      <c r="CQ782" s="535" t="str">
        <f t="shared" si="2149"/>
        <v/>
      </c>
      <c r="CR782" s="535" t="str">
        <f t="shared" si="2150"/>
        <v/>
      </c>
      <c r="CS782" s="535" t="str">
        <f t="shared" si="2151"/>
        <v/>
      </c>
      <c r="CT782" s="535" t="str">
        <f t="shared" si="2152"/>
        <v/>
      </c>
      <c r="CU782" s="536" t="str">
        <f t="shared" si="2153"/>
        <v/>
      </c>
      <c r="CV782" s="536" t="str">
        <f t="shared" si="2154"/>
        <v/>
      </c>
      <c r="CW782" s="536" t="str">
        <f t="shared" si="2155"/>
        <v/>
      </c>
      <c r="CX782" s="535" t="str">
        <f t="shared" si="2156"/>
        <v/>
      </c>
      <c r="CY782" s="535" t="str">
        <f t="shared" si="2157"/>
        <v/>
      </c>
      <c r="CZ782" s="535" t="str">
        <f t="shared" si="2158"/>
        <v/>
      </c>
      <c r="DA782" s="535" t="str">
        <f t="shared" si="2159"/>
        <v/>
      </c>
      <c r="DB782" s="535" t="str">
        <f t="shared" si="2160"/>
        <v/>
      </c>
      <c r="DC782" s="534" t="str">
        <f t="shared" si="2161"/>
        <v/>
      </c>
      <c r="DD782" s="533" t="str">
        <f t="shared" si="2162"/>
        <v/>
      </c>
      <c r="DE782" s="635">
        <f t="shared" si="2163"/>
        <v>0</v>
      </c>
      <c r="DF782" s="95">
        <f t="shared" si="2164"/>
        <v>0</v>
      </c>
      <c r="DG782" s="95">
        <f t="shared" si="2165"/>
        <v>0</v>
      </c>
      <c r="DH782" s="95">
        <f t="shared" si="2166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141"/>
        <v/>
      </c>
      <c r="CA783" s="582" t="str">
        <f t="shared" si="2142"/>
        <v/>
      </c>
      <c r="CB783" s="582" t="str">
        <f t="shared" si="2143"/>
        <v/>
      </c>
      <c r="CC783" s="670" t="str">
        <f t="shared" si="2144"/>
        <v/>
      </c>
      <c r="CD783" s="988" t="str">
        <f t="shared" si="2167"/>
        <v/>
      </c>
      <c r="CE783" s="989" t="str">
        <f t="shared" si="2168"/>
        <v/>
      </c>
      <c r="CF783" s="989" t="str">
        <f t="shared" si="2168"/>
        <v/>
      </c>
      <c r="CG783" s="989" t="str">
        <f t="shared" si="2168"/>
        <v/>
      </c>
      <c r="CH783" s="990" t="str">
        <f t="shared" si="2168"/>
        <v/>
      </c>
      <c r="CI783" s="990" t="str">
        <f t="shared" si="2168"/>
        <v/>
      </c>
      <c r="CJ783" s="989" t="str">
        <f t="shared" si="2168"/>
        <v/>
      </c>
      <c r="CK783" s="989" t="str">
        <f t="shared" si="2168"/>
        <v/>
      </c>
      <c r="CL783" s="989" t="str">
        <f t="shared" si="2168"/>
        <v/>
      </c>
      <c r="CM783" s="988" t="str">
        <f t="shared" si="2168"/>
        <v/>
      </c>
      <c r="CN783" s="533" t="str">
        <f t="shared" si="2146"/>
        <v/>
      </c>
      <c r="CO783" s="534" t="str">
        <f t="shared" si="2147"/>
        <v/>
      </c>
      <c r="CP783" s="535" t="str">
        <f t="shared" si="2148"/>
        <v/>
      </c>
      <c r="CQ783" s="535" t="str">
        <f t="shared" si="2149"/>
        <v/>
      </c>
      <c r="CR783" s="535" t="str">
        <f t="shared" si="2150"/>
        <v/>
      </c>
      <c r="CS783" s="535" t="str">
        <f t="shared" si="2151"/>
        <v/>
      </c>
      <c r="CT783" s="535" t="str">
        <f t="shared" si="2152"/>
        <v/>
      </c>
      <c r="CU783" s="536" t="str">
        <f t="shared" si="2153"/>
        <v/>
      </c>
      <c r="CV783" s="536" t="str">
        <f t="shared" si="2154"/>
        <v/>
      </c>
      <c r="CW783" s="536" t="str">
        <f t="shared" si="2155"/>
        <v/>
      </c>
      <c r="CX783" s="535" t="str">
        <f t="shared" si="2156"/>
        <v/>
      </c>
      <c r="CY783" s="535" t="str">
        <f t="shared" si="2157"/>
        <v/>
      </c>
      <c r="CZ783" s="535" t="str">
        <f t="shared" si="2158"/>
        <v/>
      </c>
      <c r="DA783" s="535" t="str">
        <f t="shared" si="2159"/>
        <v/>
      </c>
      <c r="DB783" s="535" t="str">
        <f t="shared" si="2160"/>
        <v/>
      </c>
      <c r="DC783" s="534" t="str">
        <f t="shared" si="2161"/>
        <v/>
      </c>
      <c r="DD783" s="533" t="str">
        <f t="shared" si="2162"/>
        <v/>
      </c>
      <c r="DE783" s="635">
        <f t="shared" si="2163"/>
        <v>0</v>
      </c>
      <c r="DF783" s="95">
        <f t="shared" si="2164"/>
        <v>0</v>
      </c>
      <c r="DG783" s="95">
        <f t="shared" si="2165"/>
        <v>0</v>
      </c>
      <c r="DH783" s="95">
        <f t="shared" si="2166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/>
      <c r="BZ784" s="582" t="str">
        <f t="shared" si="2141"/>
        <v/>
      </c>
      <c r="CA784" s="582" t="str">
        <f t="shared" si="2142"/>
        <v/>
      </c>
      <c r="CB784" s="582" t="str">
        <f t="shared" si="2143"/>
        <v/>
      </c>
      <c r="CC784" s="670" t="str">
        <f t="shared" si="2144"/>
        <v/>
      </c>
      <c r="CD784" s="988" t="str">
        <f t="shared" si="2167"/>
        <v/>
      </c>
      <c r="CE784" s="989" t="str">
        <f t="shared" si="2168"/>
        <v/>
      </c>
      <c r="CF784" s="989" t="str">
        <f t="shared" si="2168"/>
        <v/>
      </c>
      <c r="CG784" s="989" t="str">
        <f t="shared" si="2168"/>
        <v/>
      </c>
      <c r="CH784" s="990" t="str">
        <f t="shared" si="2168"/>
        <v/>
      </c>
      <c r="CI784" s="990" t="str">
        <f t="shared" si="2168"/>
        <v/>
      </c>
      <c r="CJ784" s="989" t="str">
        <f t="shared" si="2168"/>
        <v/>
      </c>
      <c r="CK784" s="989" t="str">
        <f t="shared" si="2168"/>
        <v/>
      </c>
      <c r="CL784" s="989" t="str">
        <f t="shared" si="2168"/>
        <v/>
      </c>
      <c r="CM784" s="988" t="str">
        <f t="shared" si="2168"/>
        <v/>
      </c>
      <c r="CN784" s="533" t="str">
        <f t="shared" si="2146"/>
        <v/>
      </c>
      <c r="CO784" s="534" t="str">
        <f t="shared" si="2147"/>
        <v/>
      </c>
      <c r="CP784" s="535" t="str">
        <f t="shared" si="2148"/>
        <v/>
      </c>
      <c r="CQ784" s="535" t="str">
        <f t="shared" si="2149"/>
        <v/>
      </c>
      <c r="CR784" s="535" t="str">
        <f t="shared" si="2150"/>
        <v/>
      </c>
      <c r="CS784" s="535" t="str">
        <f t="shared" si="2151"/>
        <v/>
      </c>
      <c r="CT784" s="535" t="str">
        <f t="shared" si="2152"/>
        <v/>
      </c>
      <c r="CU784" s="536" t="str">
        <f t="shared" si="2153"/>
        <v/>
      </c>
      <c r="CV784" s="536" t="str">
        <f t="shared" si="2154"/>
        <v/>
      </c>
      <c r="CW784" s="536" t="str">
        <f t="shared" si="2155"/>
        <v/>
      </c>
      <c r="CX784" s="535" t="str">
        <f t="shared" si="2156"/>
        <v/>
      </c>
      <c r="CY784" s="535" t="str">
        <f t="shared" si="2157"/>
        <v/>
      </c>
      <c r="CZ784" s="535" t="str">
        <f t="shared" si="2158"/>
        <v/>
      </c>
      <c r="DA784" s="535" t="str">
        <f t="shared" si="2159"/>
        <v/>
      </c>
      <c r="DB784" s="535" t="str">
        <f t="shared" si="2160"/>
        <v/>
      </c>
      <c r="DC784" s="534" t="str">
        <f t="shared" si="2161"/>
        <v/>
      </c>
      <c r="DD784" s="533" t="str">
        <f t="shared" si="2162"/>
        <v/>
      </c>
      <c r="DE784" s="635">
        <f t="shared" si="2163"/>
        <v>0</v>
      </c>
      <c r="DF784" s="95">
        <f t="shared" si="2164"/>
        <v>0</v>
      </c>
      <c r="DG784" s="95">
        <f t="shared" si="2165"/>
        <v>0</v>
      </c>
      <c r="DH784" s="95">
        <f t="shared" si="2166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141"/>
        <v/>
      </c>
      <c r="CA785" s="582" t="str">
        <f t="shared" si="2142"/>
        <v/>
      </c>
      <c r="CB785" s="582" t="str">
        <f t="shared" si="2143"/>
        <v/>
      </c>
      <c r="CC785" s="670" t="str">
        <f t="shared" si="2144"/>
        <v/>
      </c>
      <c r="CD785" s="988" t="str">
        <f t="shared" si="2167"/>
        <v/>
      </c>
      <c r="CE785" s="989" t="str">
        <f t="shared" si="2168"/>
        <v/>
      </c>
      <c r="CF785" s="989" t="str">
        <f t="shared" si="2168"/>
        <v/>
      </c>
      <c r="CG785" s="989" t="str">
        <f t="shared" si="2168"/>
        <v/>
      </c>
      <c r="CH785" s="990" t="str">
        <f t="shared" si="2168"/>
        <v/>
      </c>
      <c r="CI785" s="990" t="str">
        <f t="shared" si="2168"/>
        <v/>
      </c>
      <c r="CJ785" s="989" t="str">
        <f t="shared" si="2168"/>
        <v/>
      </c>
      <c r="CK785" s="989" t="str">
        <f t="shared" si="2168"/>
        <v/>
      </c>
      <c r="CL785" s="989" t="str">
        <f t="shared" si="2168"/>
        <v/>
      </c>
      <c r="CM785" s="988" t="str">
        <f t="shared" si="2168"/>
        <v/>
      </c>
      <c r="CN785" s="533" t="str">
        <f t="shared" si="2146"/>
        <v/>
      </c>
      <c r="CO785" s="534" t="str">
        <f t="shared" si="2147"/>
        <v/>
      </c>
      <c r="CP785" s="535" t="str">
        <f t="shared" si="2148"/>
        <v/>
      </c>
      <c r="CQ785" s="535" t="str">
        <f t="shared" si="2149"/>
        <v/>
      </c>
      <c r="CR785" s="535" t="str">
        <f t="shared" si="2150"/>
        <v/>
      </c>
      <c r="CS785" s="535" t="str">
        <f t="shared" si="2151"/>
        <v/>
      </c>
      <c r="CT785" s="535" t="str">
        <f t="shared" si="2152"/>
        <v/>
      </c>
      <c r="CU785" s="536" t="str">
        <f t="shared" si="2153"/>
        <v/>
      </c>
      <c r="CV785" s="536" t="str">
        <f t="shared" si="2154"/>
        <v/>
      </c>
      <c r="CW785" s="536" t="str">
        <f t="shared" si="2155"/>
        <v/>
      </c>
      <c r="CX785" s="535" t="str">
        <f t="shared" si="2156"/>
        <v/>
      </c>
      <c r="CY785" s="535" t="str">
        <f t="shared" si="2157"/>
        <v/>
      </c>
      <c r="CZ785" s="535" t="str">
        <f t="shared" si="2158"/>
        <v/>
      </c>
      <c r="DA785" s="535" t="str">
        <f t="shared" si="2159"/>
        <v/>
      </c>
      <c r="DB785" s="535" t="str">
        <f t="shared" si="2160"/>
        <v/>
      </c>
      <c r="DC785" s="534" t="str">
        <f t="shared" si="2161"/>
        <v/>
      </c>
      <c r="DD785" s="533" t="str">
        <f t="shared" si="2162"/>
        <v/>
      </c>
      <c r="DE785" s="635">
        <f t="shared" si="2163"/>
        <v>0</v>
      </c>
      <c r="DF785" s="95">
        <f t="shared" si="2164"/>
        <v>0</v>
      </c>
      <c r="DG785" s="95">
        <f t="shared" si="2165"/>
        <v>0</v>
      </c>
      <c r="DH785" s="95">
        <f t="shared" si="2166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173">IF(DE787&lt;3,"",(SUM(B787:R787)-MIN(B787:R787)-MAX(B787:R787))/(DE787-2))</f>
        <v/>
      </c>
      <c r="CA787" s="582" t="str">
        <f t="shared" ref="CA787:CA806" si="2174">IF(DF787&lt;3,"",(SUM(T787:AJ787)-MIN(T787:AJ787)-MAX(T787:AJ787))/(DF787-2))</f>
        <v/>
      </c>
      <c r="CB787" s="582" t="str">
        <f t="shared" ref="CB787:CB806" si="2175">IF(DG787&lt;3,"",(SUM(AL787:BB787)-MIN(AL787:BB787)-MAX(AL787:BB787))/(DG787-2))</f>
        <v/>
      </c>
      <c r="CC787" s="670" t="str">
        <f t="shared" ref="CC787:CC806" si="2176">IF(DH787&lt;3,"",(SUM(BD787:BT787)-MIN(BD787:BT787)-MAX(BD787:BT787))/(DH787-2))</f>
        <v/>
      </c>
      <c r="CD787" s="988" t="str">
        <f t="shared" ref="CD787:CM787" si="21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177"/>
        <v/>
      </c>
      <c r="CF787" s="989" t="str">
        <f t="shared" si="2177"/>
        <v/>
      </c>
      <c r="CG787" s="989" t="str">
        <f t="shared" si="2177"/>
        <v/>
      </c>
      <c r="CH787" s="990" t="str">
        <f t="shared" si="2177"/>
        <v/>
      </c>
      <c r="CI787" s="990" t="str">
        <f t="shared" si="2177"/>
        <v/>
      </c>
      <c r="CJ787" s="989" t="str">
        <f t="shared" si="2177"/>
        <v/>
      </c>
      <c r="CK787" s="989" t="str">
        <f t="shared" si="2177"/>
        <v/>
      </c>
      <c r="CL787" s="989" t="str">
        <f t="shared" si="2177"/>
        <v/>
      </c>
      <c r="CM787" s="988" t="str">
        <f t="shared" si="2177"/>
        <v/>
      </c>
      <c r="CN787" s="533" t="str">
        <f t="shared" ref="CN787:CN810" si="2178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179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180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181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182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183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184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18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18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18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18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18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19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19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19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19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19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195">COUNT(B787:R787)</f>
        <v>0</v>
      </c>
      <c r="DF787" s="95">
        <f t="shared" ref="DF787:DF806" si="2196">COUNT(T787:AJ787)</f>
        <v>0</v>
      </c>
      <c r="DG787" s="95">
        <f t="shared" ref="DG787:DG806" si="2197">COUNT(AL787:BB787)</f>
        <v>0</v>
      </c>
      <c r="DH787" s="95">
        <f t="shared" ref="DH787:DH806" si="2198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173"/>
        <v/>
      </c>
      <c r="CA788" s="582" t="str">
        <f t="shared" si="2174"/>
        <v/>
      </c>
      <c r="CB788" s="582" t="str">
        <f t="shared" si="2175"/>
        <v/>
      </c>
      <c r="CC788" s="670" t="str">
        <f t="shared" si="2176"/>
        <v/>
      </c>
      <c r="CD788" s="988" t="str">
        <f t="shared" ref="CD788:CD810" si="219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20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200"/>
        <v/>
      </c>
      <c r="CG788" s="989" t="str">
        <f t="shared" si="2200"/>
        <v/>
      </c>
      <c r="CH788" s="990" t="str">
        <f t="shared" si="2200"/>
        <v/>
      </c>
      <c r="CI788" s="990" t="str">
        <f t="shared" si="2200"/>
        <v/>
      </c>
      <c r="CJ788" s="989" t="str">
        <f t="shared" si="2200"/>
        <v/>
      </c>
      <c r="CK788" s="989" t="str">
        <f t="shared" si="2200"/>
        <v/>
      </c>
      <c r="CL788" s="989" t="str">
        <f t="shared" si="2200"/>
        <v/>
      </c>
      <c r="CM788" s="988" t="str">
        <f t="shared" si="2200"/>
        <v/>
      </c>
      <c r="CN788" s="533" t="str">
        <f t="shared" si="2178"/>
        <v/>
      </c>
      <c r="CO788" s="534" t="str">
        <f t="shared" si="2179"/>
        <v/>
      </c>
      <c r="CP788" s="535" t="str">
        <f t="shared" si="2180"/>
        <v/>
      </c>
      <c r="CQ788" s="535" t="str">
        <f t="shared" si="2181"/>
        <v/>
      </c>
      <c r="CR788" s="535" t="str">
        <f t="shared" si="2182"/>
        <v/>
      </c>
      <c r="CS788" s="535" t="str">
        <f t="shared" si="2183"/>
        <v/>
      </c>
      <c r="CT788" s="535" t="str">
        <f t="shared" si="2184"/>
        <v/>
      </c>
      <c r="CU788" s="536" t="str">
        <f t="shared" si="2185"/>
        <v/>
      </c>
      <c r="CV788" s="536" t="str">
        <f t="shared" si="2186"/>
        <v/>
      </c>
      <c r="CW788" s="536" t="str">
        <f t="shared" si="2187"/>
        <v/>
      </c>
      <c r="CX788" s="535" t="str">
        <f t="shared" si="2188"/>
        <v/>
      </c>
      <c r="CY788" s="535" t="str">
        <f t="shared" si="2189"/>
        <v/>
      </c>
      <c r="CZ788" s="535" t="str">
        <f t="shared" si="2190"/>
        <v/>
      </c>
      <c r="DA788" s="535" t="str">
        <f t="shared" si="2191"/>
        <v/>
      </c>
      <c r="DB788" s="535" t="str">
        <f t="shared" si="2192"/>
        <v/>
      </c>
      <c r="DC788" s="534" t="str">
        <f t="shared" si="2193"/>
        <v/>
      </c>
      <c r="DD788" s="533" t="str">
        <f t="shared" si="2194"/>
        <v/>
      </c>
      <c r="DE788" s="635">
        <f t="shared" si="2195"/>
        <v>0</v>
      </c>
      <c r="DF788" s="95">
        <f t="shared" si="2196"/>
        <v>0</v>
      </c>
      <c r="DG788" s="95">
        <f t="shared" si="2197"/>
        <v>0</v>
      </c>
      <c r="DH788" s="95">
        <f t="shared" si="2198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173"/>
        <v/>
      </c>
      <c r="CA789" s="582" t="str">
        <f t="shared" si="2174"/>
        <v/>
      </c>
      <c r="CB789" s="582" t="str">
        <f t="shared" si="2175"/>
        <v/>
      </c>
      <c r="CC789" s="670" t="str">
        <f t="shared" si="2176"/>
        <v/>
      </c>
      <c r="CD789" s="988" t="str">
        <f t="shared" si="2199"/>
        <v/>
      </c>
      <c r="CE789" s="989" t="str">
        <f t="shared" si="2200"/>
        <v/>
      </c>
      <c r="CF789" s="989" t="str">
        <f t="shared" si="2200"/>
        <v/>
      </c>
      <c r="CG789" s="989" t="str">
        <f t="shared" si="2200"/>
        <v/>
      </c>
      <c r="CH789" s="990" t="str">
        <f t="shared" si="2200"/>
        <v/>
      </c>
      <c r="CI789" s="990" t="str">
        <f t="shared" si="2200"/>
        <v/>
      </c>
      <c r="CJ789" s="989" t="str">
        <f t="shared" si="2200"/>
        <v/>
      </c>
      <c r="CK789" s="989" t="str">
        <f t="shared" si="2200"/>
        <v/>
      </c>
      <c r="CL789" s="989" t="str">
        <f t="shared" si="2200"/>
        <v/>
      </c>
      <c r="CM789" s="988" t="str">
        <f t="shared" si="2200"/>
        <v/>
      </c>
      <c r="CN789" s="533" t="str">
        <f t="shared" si="2178"/>
        <v/>
      </c>
      <c r="CO789" s="534" t="str">
        <f t="shared" si="2179"/>
        <v/>
      </c>
      <c r="CP789" s="535" t="str">
        <f t="shared" si="2180"/>
        <v/>
      </c>
      <c r="CQ789" s="535" t="str">
        <f t="shared" si="2181"/>
        <v/>
      </c>
      <c r="CR789" s="535" t="str">
        <f t="shared" si="2182"/>
        <v/>
      </c>
      <c r="CS789" s="535" t="str">
        <f t="shared" si="2183"/>
        <v/>
      </c>
      <c r="CT789" s="535" t="str">
        <f t="shared" si="2184"/>
        <v/>
      </c>
      <c r="CU789" s="536" t="str">
        <f t="shared" si="2185"/>
        <v/>
      </c>
      <c r="CV789" s="536" t="str">
        <f t="shared" si="2186"/>
        <v/>
      </c>
      <c r="CW789" s="536" t="str">
        <f t="shared" si="2187"/>
        <v/>
      </c>
      <c r="CX789" s="535" t="str">
        <f t="shared" si="2188"/>
        <v/>
      </c>
      <c r="CY789" s="535" t="str">
        <f t="shared" si="2189"/>
        <v/>
      </c>
      <c r="CZ789" s="535" t="str">
        <f t="shared" si="2190"/>
        <v/>
      </c>
      <c r="DA789" s="535" t="str">
        <f t="shared" si="2191"/>
        <v/>
      </c>
      <c r="DB789" s="535" t="str">
        <f t="shared" si="2192"/>
        <v/>
      </c>
      <c r="DC789" s="534" t="str">
        <f t="shared" si="2193"/>
        <v/>
      </c>
      <c r="DD789" s="533" t="str">
        <f t="shared" si="2194"/>
        <v/>
      </c>
      <c r="DE789" s="635">
        <f t="shared" si="2195"/>
        <v>0</v>
      </c>
      <c r="DF789" s="95">
        <f t="shared" si="2196"/>
        <v>0</v>
      </c>
      <c r="DG789" s="95">
        <f t="shared" si="2197"/>
        <v>0</v>
      </c>
      <c r="DH789" s="95">
        <f t="shared" si="2198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201">IF(B787="","",B787*B788*B789)</f>
        <v/>
      </c>
      <c r="C790" s="592" t="str">
        <f t="shared" si="2201"/>
        <v/>
      </c>
      <c r="D790" s="592" t="str">
        <f t="shared" si="2201"/>
        <v/>
      </c>
      <c r="E790" s="592" t="str">
        <f t="shared" si="2201"/>
        <v/>
      </c>
      <c r="F790" s="592" t="str">
        <f t="shared" si="2201"/>
        <v/>
      </c>
      <c r="G790" s="592" t="str">
        <f t="shared" si="2201"/>
        <v/>
      </c>
      <c r="H790" s="592" t="str">
        <f t="shared" si="2201"/>
        <v/>
      </c>
      <c r="I790" s="592" t="str">
        <f t="shared" si="2201"/>
        <v/>
      </c>
      <c r="J790" s="592" t="str">
        <f t="shared" si="2201"/>
        <v/>
      </c>
      <c r="K790" s="592" t="str">
        <f t="shared" si="2201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202">IF(T787="","",T787*T788*T789)</f>
        <v/>
      </c>
      <c r="U790" s="592" t="str">
        <f t="shared" si="2202"/>
        <v/>
      </c>
      <c r="V790" s="592" t="str">
        <f t="shared" si="2202"/>
        <v/>
      </c>
      <c r="W790" s="592" t="str">
        <f t="shared" si="2202"/>
        <v/>
      </c>
      <c r="X790" s="592" t="str">
        <f t="shared" si="2202"/>
        <v/>
      </c>
      <c r="Y790" s="592" t="str">
        <f t="shared" si="2202"/>
        <v/>
      </c>
      <c r="Z790" s="592" t="str">
        <f t="shared" si="2202"/>
        <v/>
      </c>
      <c r="AA790" s="592" t="str">
        <f t="shared" si="2202"/>
        <v/>
      </c>
      <c r="AB790" s="592" t="str">
        <f t="shared" si="2202"/>
        <v/>
      </c>
      <c r="AC790" s="592" t="str">
        <f t="shared" si="2202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203">IF(AL787="","",AL787*AL788*AL789)</f>
        <v/>
      </c>
      <c r="AM790" s="592" t="str">
        <f t="shared" si="2203"/>
        <v/>
      </c>
      <c r="AN790" s="592" t="str">
        <f t="shared" si="2203"/>
        <v/>
      </c>
      <c r="AO790" s="1912" t="str">
        <f t="shared" si="2203"/>
        <v/>
      </c>
      <c r="AP790" s="592" t="str">
        <f t="shared" si="2203"/>
        <v/>
      </c>
      <c r="AQ790" s="592" t="str">
        <f t="shared" si="2203"/>
        <v/>
      </c>
      <c r="AR790" s="592" t="str">
        <f t="shared" si="2203"/>
        <v/>
      </c>
      <c r="AS790" s="592" t="str">
        <f t="shared" si="2203"/>
        <v/>
      </c>
      <c r="AT790" s="592" t="str">
        <f t="shared" si="2203"/>
        <v/>
      </c>
      <c r="AU790" s="592" t="str">
        <f t="shared" si="2203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204">IF(BD787="","",BD787*BD788*BD789)</f>
        <v/>
      </c>
      <c r="BE790" s="1195" t="str">
        <f t="shared" si="2204"/>
        <v/>
      </c>
      <c r="BF790" s="1195" t="str">
        <f t="shared" si="2204"/>
        <v/>
      </c>
      <c r="BG790" s="1195" t="str">
        <f t="shared" si="2204"/>
        <v/>
      </c>
      <c r="BH790" s="1195" t="str">
        <f t="shared" si="2204"/>
        <v/>
      </c>
      <c r="BI790" s="1195" t="str">
        <f t="shared" si="2204"/>
        <v/>
      </c>
      <c r="BJ790" s="1195" t="str">
        <f t="shared" si="2204"/>
        <v/>
      </c>
      <c r="BK790" s="1195" t="str">
        <f t="shared" si="2204"/>
        <v/>
      </c>
      <c r="BL790" s="1195" t="str">
        <f t="shared" si="2204"/>
        <v/>
      </c>
      <c r="BM790" s="1195" t="str">
        <f t="shared" si="2204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173"/>
        <v/>
      </c>
      <c r="CA790" s="582" t="str">
        <f t="shared" si="2174"/>
        <v/>
      </c>
      <c r="CB790" s="582" t="str">
        <f t="shared" si="2175"/>
        <v/>
      </c>
      <c r="CC790" s="670" t="str">
        <f t="shared" si="2176"/>
        <v/>
      </c>
      <c r="CD790" s="988" t="str">
        <f t="shared" si="2199"/>
        <v/>
      </c>
      <c r="CE790" s="989" t="str">
        <f t="shared" si="2200"/>
        <v/>
      </c>
      <c r="CF790" s="989" t="str">
        <f t="shared" si="2200"/>
        <v/>
      </c>
      <c r="CG790" s="989" t="str">
        <f t="shared" si="2200"/>
        <v/>
      </c>
      <c r="CH790" s="990" t="str">
        <f t="shared" si="2200"/>
        <v/>
      </c>
      <c r="CI790" s="990" t="str">
        <f t="shared" si="2200"/>
        <v/>
      </c>
      <c r="CJ790" s="989" t="str">
        <f t="shared" si="2200"/>
        <v/>
      </c>
      <c r="CK790" s="989" t="str">
        <f t="shared" si="2200"/>
        <v/>
      </c>
      <c r="CL790" s="989" t="str">
        <f t="shared" si="2200"/>
        <v/>
      </c>
      <c r="CM790" s="988" t="str">
        <f t="shared" si="2200"/>
        <v/>
      </c>
      <c r="CN790" s="533" t="str">
        <f t="shared" si="2178"/>
        <v/>
      </c>
      <c r="CO790" s="534" t="str">
        <f t="shared" si="2179"/>
        <v/>
      </c>
      <c r="CP790" s="535" t="str">
        <f t="shared" si="2180"/>
        <v/>
      </c>
      <c r="CQ790" s="535" t="str">
        <f t="shared" si="2181"/>
        <v/>
      </c>
      <c r="CR790" s="535" t="str">
        <f t="shared" si="2182"/>
        <v/>
      </c>
      <c r="CS790" s="535" t="str">
        <f t="shared" si="2183"/>
        <v/>
      </c>
      <c r="CT790" s="535" t="str">
        <f t="shared" si="2184"/>
        <v/>
      </c>
      <c r="CU790" s="536" t="str">
        <f t="shared" si="2185"/>
        <v/>
      </c>
      <c r="CV790" s="536" t="str">
        <f t="shared" si="2186"/>
        <v/>
      </c>
      <c r="CW790" s="536" t="str">
        <f t="shared" si="2187"/>
        <v/>
      </c>
      <c r="CX790" s="535" t="str">
        <f t="shared" si="2188"/>
        <v/>
      </c>
      <c r="CY790" s="535" t="str">
        <f t="shared" si="2189"/>
        <v/>
      </c>
      <c r="CZ790" s="535" t="str">
        <f t="shared" si="2190"/>
        <v/>
      </c>
      <c r="DA790" s="535" t="str">
        <f t="shared" si="2191"/>
        <v/>
      </c>
      <c r="DB790" s="535" t="str">
        <f t="shared" si="2192"/>
        <v/>
      </c>
      <c r="DC790" s="534" t="str">
        <f t="shared" si="2193"/>
        <v/>
      </c>
      <c r="DD790" s="533" t="str">
        <f t="shared" si="2194"/>
        <v/>
      </c>
      <c r="DE790" s="635">
        <f t="shared" si="2195"/>
        <v>0</v>
      </c>
      <c r="DF790" s="95">
        <f t="shared" si="2196"/>
        <v>0</v>
      </c>
      <c r="DG790" s="95">
        <f t="shared" si="2197"/>
        <v>0</v>
      </c>
      <c r="DH790" s="95">
        <f t="shared" si="2198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1000</v>
      </c>
      <c r="BY791" s="215"/>
      <c r="BZ791" s="582" t="str">
        <f t="shared" si="2173"/>
        <v/>
      </c>
      <c r="CA791" s="582" t="str">
        <f t="shared" si="2174"/>
        <v/>
      </c>
      <c r="CB791" s="582" t="str">
        <f t="shared" si="2175"/>
        <v/>
      </c>
      <c r="CC791" s="670" t="str">
        <f t="shared" si="2176"/>
        <v/>
      </c>
      <c r="CD791" s="988" t="str">
        <f t="shared" si="2199"/>
        <v/>
      </c>
      <c r="CE791" s="989" t="str">
        <f t="shared" si="2200"/>
        <v/>
      </c>
      <c r="CF791" s="989" t="str">
        <f t="shared" si="2200"/>
        <v/>
      </c>
      <c r="CG791" s="989" t="str">
        <f t="shared" si="2200"/>
        <v/>
      </c>
      <c r="CH791" s="990" t="str">
        <f t="shared" si="2200"/>
        <v/>
      </c>
      <c r="CI791" s="990" t="str">
        <f t="shared" si="2200"/>
        <v/>
      </c>
      <c r="CJ791" s="989" t="str">
        <f t="shared" si="2200"/>
        <v/>
      </c>
      <c r="CK791" s="989" t="str">
        <f t="shared" si="2200"/>
        <v/>
      </c>
      <c r="CL791" s="989" t="str">
        <f t="shared" si="2200"/>
        <v/>
      </c>
      <c r="CM791" s="988" t="str">
        <f t="shared" si="2200"/>
        <v/>
      </c>
      <c r="CN791" s="533" t="str">
        <f t="shared" si="2178"/>
        <v/>
      </c>
      <c r="CO791" s="534" t="str">
        <f t="shared" si="2179"/>
        <v/>
      </c>
      <c r="CP791" s="535" t="str">
        <f t="shared" si="2180"/>
        <v/>
      </c>
      <c r="CQ791" s="535" t="str">
        <f t="shared" si="2181"/>
        <v/>
      </c>
      <c r="CR791" s="535" t="str">
        <f t="shared" si="2182"/>
        <v/>
      </c>
      <c r="CS791" s="535" t="str">
        <f t="shared" si="2183"/>
        <v/>
      </c>
      <c r="CT791" s="535" t="str">
        <f t="shared" si="2184"/>
        <v/>
      </c>
      <c r="CU791" s="536" t="str">
        <f t="shared" si="2185"/>
        <v/>
      </c>
      <c r="CV791" s="536" t="str">
        <f t="shared" si="2186"/>
        <v/>
      </c>
      <c r="CW791" s="536" t="str">
        <f t="shared" si="2187"/>
        <v/>
      </c>
      <c r="CX791" s="535" t="str">
        <f t="shared" si="2188"/>
        <v/>
      </c>
      <c r="CY791" s="535" t="str">
        <f t="shared" si="2189"/>
        <v/>
      </c>
      <c r="CZ791" s="535" t="str">
        <f t="shared" si="2190"/>
        <v/>
      </c>
      <c r="DA791" s="535" t="str">
        <f t="shared" si="2191"/>
        <v/>
      </c>
      <c r="DB791" s="535" t="str">
        <f t="shared" si="2192"/>
        <v/>
      </c>
      <c r="DC791" s="534" t="str">
        <f t="shared" si="2193"/>
        <v/>
      </c>
      <c r="DD791" s="533" t="str">
        <f t="shared" si="2194"/>
        <v/>
      </c>
      <c r="DE791" s="635">
        <f t="shared" si="2195"/>
        <v>0</v>
      </c>
      <c r="DF791" s="95">
        <f t="shared" si="2196"/>
        <v>0</v>
      </c>
      <c r="DG791" s="95">
        <f t="shared" si="2197"/>
        <v>0</v>
      </c>
      <c r="DH791" s="95">
        <f t="shared" si="2198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300</v>
      </c>
      <c r="BY792" s="740"/>
      <c r="BZ792" s="582" t="str">
        <f t="shared" si="2173"/>
        <v/>
      </c>
      <c r="CA792" s="582" t="str">
        <f t="shared" si="2174"/>
        <v/>
      </c>
      <c r="CB792" s="582" t="str">
        <f t="shared" si="2175"/>
        <v/>
      </c>
      <c r="CC792" s="670" t="str">
        <f t="shared" si="2176"/>
        <v/>
      </c>
      <c r="CD792" s="988" t="str">
        <f t="shared" si="2199"/>
        <v/>
      </c>
      <c r="CE792" s="989" t="str">
        <f t="shared" si="2200"/>
        <v/>
      </c>
      <c r="CF792" s="989" t="str">
        <f t="shared" si="2200"/>
        <v/>
      </c>
      <c r="CG792" s="989" t="str">
        <f t="shared" si="2200"/>
        <v/>
      </c>
      <c r="CH792" s="990" t="str">
        <f t="shared" si="2200"/>
        <v/>
      </c>
      <c r="CI792" s="990" t="str">
        <f t="shared" si="2200"/>
        <v/>
      </c>
      <c r="CJ792" s="989" t="str">
        <f t="shared" si="2200"/>
        <v/>
      </c>
      <c r="CK792" s="989" t="str">
        <f t="shared" si="2200"/>
        <v/>
      </c>
      <c r="CL792" s="989" t="str">
        <f t="shared" si="2200"/>
        <v/>
      </c>
      <c r="CM792" s="988" t="str">
        <f t="shared" si="2200"/>
        <v/>
      </c>
      <c r="CN792" s="533" t="str">
        <f t="shared" si="2178"/>
        <v/>
      </c>
      <c r="CO792" s="534" t="str">
        <f t="shared" si="2179"/>
        <v/>
      </c>
      <c r="CP792" s="535" t="str">
        <f t="shared" si="2180"/>
        <v/>
      </c>
      <c r="CQ792" s="535" t="str">
        <f t="shared" si="2181"/>
        <v/>
      </c>
      <c r="CR792" s="535" t="str">
        <f t="shared" si="2182"/>
        <v/>
      </c>
      <c r="CS792" s="535" t="str">
        <f t="shared" si="2183"/>
        <v/>
      </c>
      <c r="CT792" s="535" t="str">
        <f t="shared" si="2184"/>
        <v/>
      </c>
      <c r="CU792" s="536" t="str">
        <f t="shared" si="2185"/>
        <v/>
      </c>
      <c r="CV792" s="536" t="str">
        <f t="shared" si="2186"/>
        <v/>
      </c>
      <c r="CW792" s="536" t="str">
        <f t="shared" si="2187"/>
        <v/>
      </c>
      <c r="CX792" s="535" t="str">
        <f t="shared" si="2188"/>
        <v/>
      </c>
      <c r="CY792" s="535" t="str">
        <f t="shared" si="2189"/>
        <v/>
      </c>
      <c r="CZ792" s="535" t="str">
        <f t="shared" si="2190"/>
        <v/>
      </c>
      <c r="DA792" s="535" t="str">
        <f t="shared" si="2191"/>
        <v/>
      </c>
      <c r="DB792" s="535" t="str">
        <f t="shared" si="2192"/>
        <v/>
      </c>
      <c r="DC792" s="534" t="str">
        <f t="shared" si="2193"/>
        <v/>
      </c>
      <c r="DD792" s="533" t="str">
        <f t="shared" si="2194"/>
        <v/>
      </c>
      <c r="DE792" s="635">
        <f t="shared" si="2195"/>
        <v>0</v>
      </c>
      <c r="DF792" s="95">
        <f t="shared" si="2196"/>
        <v>0</v>
      </c>
      <c r="DG792" s="95">
        <f t="shared" si="2197"/>
        <v>0</v>
      </c>
      <c r="DH792" s="95">
        <f t="shared" si="2198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/>
      <c r="BW793" s="215"/>
      <c r="BX793" s="215"/>
      <c r="BY793" s="215"/>
      <c r="BZ793" s="582" t="str">
        <f t="shared" si="2173"/>
        <v/>
      </c>
      <c r="CA793" s="582" t="str">
        <f t="shared" si="2174"/>
        <v/>
      </c>
      <c r="CB793" s="582" t="str">
        <f t="shared" si="2175"/>
        <v/>
      </c>
      <c r="CC793" s="670" t="str">
        <f t="shared" si="2176"/>
        <v/>
      </c>
      <c r="CD793" s="988" t="str">
        <f t="shared" si="2199"/>
        <v/>
      </c>
      <c r="CE793" s="989" t="str">
        <f t="shared" si="2200"/>
        <v/>
      </c>
      <c r="CF793" s="989" t="str">
        <f t="shared" si="2200"/>
        <v/>
      </c>
      <c r="CG793" s="989" t="str">
        <f t="shared" si="2200"/>
        <v/>
      </c>
      <c r="CH793" s="990" t="str">
        <f t="shared" si="2200"/>
        <v/>
      </c>
      <c r="CI793" s="990" t="str">
        <f t="shared" si="2200"/>
        <v/>
      </c>
      <c r="CJ793" s="989" t="str">
        <f t="shared" si="2200"/>
        <v/>
      </c>
      <c r="CK793" s="989" t="str">
        <f t="shared" si="2200"/>
        <v/>
      </c>
      <c r="CL793" s="989" t="str">
        <f t="shared" si="2200"/>
        <v/>
      </c>
      <c r="CM793" s="988" t="str">
        <f t="shared" si="2200"/>
        <v/>
      </c>
      <c r="CN793" s="533" t="str">
        <f t="shared" si="2178"/>
        <v/>
      </c>
      <c r="CO793" s="534" t="str">
        <f t="shared" si="2179"/>
        <v/>
      </c>
      <c r="CP793" s="535" t="str">
        <f t="shared" si="2180"/>
        <v/>
      </c>
      <c r="CQ793" s="535" t="str">
        <f t="shared" si="2181"/>
        <v/>
      </c>
      <c r="CR793" s="535" t="str">
        <f t="shared" si="2182"/>
        <v/>
      </c>
      <c r="CS793" s="535" t="str">
        <f t="shared" si="2183"/>
        <v/>
      </c>
      <c r="CT793" s="535" t="str">
        <f t="shared" si="2184"/>
        <v/>
      </c>
      <c r="CU793" s="536" t="str">
        <f t="shared" si="2185"/>
        <v/>
      </c>
      <c r="CV793" s="536" t="str">
        <f t="shared" si="2186"/>
        <v/>
      </c>
      <c r="CW793" s="536" t="str">
        <f t="shared" si="2187"/>
        <v/>
      </c>
      <c r="CX793" s="535" t="str">
        <f t="shared" si="2188"/>
        <v/>
      </c>
      <c r="CY793" s="535" t="str">
        <f t="shared" si="2189"/>
        <v/>
      </c>
      <c r="CZ793" s="535" t="str">
        <f t="shared" si="2190"/>
        <v/>
      </c>
      <c r="DA793" s="535" t="str">
        <f t="shared" si="2191"/>
        <v/>
      </c>
      <c r="DB793" s="535" t="str">
        <f t="shared" si="2192"/>
        <v/>
      </c>
      <c r="DC793" s="534" t="str">
        <f t="shared" si="2193"/>
        <v/>
      </c>
      <c r="DD793" s="533" t="str">
        <f t="shared" si="2194"/>
        <v/>
      </c>
      <c r="DE793" s="635">
        <f t="shared" si="2195"/>
        <v>0</v>
      </c>
      <c r="DF793" s="95">
        <f t="shared" si="2196"/>
        <v>0</v>
      </c>
      <c r="DG793" s="95">
        <f t="shared" si="2197"/>
        <v>0</v>
      </c>
      <c r="DH793" s="95">
        <f t="shared" si="2198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173"/>
        <v/>
      </c>
      <c r="CA794" s="582" t="str">
        <f t="shared" si="2174"/>
        <v/>
      </c>
      <c r="CB794" s="582" t="str">
        <f t="shared" si="2175"/>
        <v/>
      </c>
      <c r="CC794" s="670" t="str">
        <f t="shared" si="2176"/>
        <v/>
      </c>
      <c r="CD794" s="988" t="str">
        <f t="shared" si="2199"/>
        <v/>
      </c>
      <c r="CE794" s="989" t="str">
        <f t="shared" si="2200"/>
        <v/>
      </c>
      <c r="CF794" s="989" t="str">
        <f t="shared" si="2200"/>
        <v/>
      </c>
      <c r="CG794" s="989" t="str">
        <f t="shared" si="2200"/>
        <v/>
      </c>
      <c r="CH794" s="990" t="str">
        <f t="shared" si="2200"/>
        <v/>
      </c>
      <c r="CI794" s="990" t="str">
        <f t="shared" si="2200"/>
        <v/>
      </c>
      <c r="CJ794" s="989" t="str">
        <f t="shared" si="2200"/>
        <v/>
      </c>
      <c r="CK794" s="989" t="str">
        <f t="shared" si="2200"/>
        <v/>
      </c>
      <c r="CL794" s="989" t="str">
        <f t="shared" si="2200"/>
        <v/>
      </c>
      <c r="CM794" s="988" t="str">
        <f t="shared" si="2200"/>
        <v/>
      </c>
      <c r="CN794" s="533" t="str">
        <f t="shared" si="2178"/>
        <v/>
      </c>
      <c r="CO794" s="534" t="str">
        <f t="shared" si="2179"/>
        <v/>
      </c>
      <c r="CP794" s="535" t="str">
        <f t="shared" si="2180"/>
        <v/>
      </c>
      <c r="CQ794" s="535" t="str">
        <f t="shared" si="2181"/>
        <v/>
      </c>
      <c r="CR794" s="535" t="str">
        <f t="shared" si="2182"/>
        <v/>
      </c>
      <c r="CS794" s="535" t="str">
        <f t="shared" si="2183"/>
        <v/>
      </c>
      <c r="CT794" s="535" t="str">
        <f t="shared" si="2184"/>
        <v/>
      </c>
      <c r="CU794" s="536" t="str">
        <f t="shared" si="2185"/>
        <v/>
      </c>
      <c r="CV794" s="536" t="str">
        <f t="shared" si="2186"/>
        <v/>
      </c>
      <c r="CW794" s="536" t="str">
        <f t="shared" si="2187"/>
        <v/>
      </c>
      <c r="CX794" s="535" t="str">
        <f t="shared" si="2188"/>
        <v/>
      </c>
      <c r="CY794" s="535" t="str">
        <f t="shared" si="2189"/>
        <v/>
      </c>
      <c r="CZ794" s="535" t="str">
        <f t="shared" si="2190"/>
        <v/>
      </c>
      <c r="DA794" s="535" t="str">
        <f t="shared" si="2191"/>
        <v/>
      </c>
      <c r="DB794" s="535" t="str">
        <f t="shared" si="2192"/>
        <v/>
      </c>
      <c r="DC794" s="534" t="str">
        <f t="shared" si="2193"/>
        <v/>
      </c>
      <c r="DD794" s="533" t="str">
        <f t="shared" si="2194"/>
        <v/>
      </c>
      <c r="DE794" s="635">
        <f t="shared" si="2195"/>
        <v>0</v>
      </c>
      <c r="DF794" s="95">
        <f t="shared" si="2196"/>
        <v>0</v>
      </c>
      <c r="DG794" s="95">
        <f t="shared" si="2197"/>
        <v>0</v>
      </c>
      <c r="DH794" s="95">
        <f t="shared" si="2198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/>
      <c r="BW795" s="215"/>
      <c r="BX795" s="215"/>
      <c r="BY795" s="215"/>
      <c r="BZ795" s="582" t="str">
        <f t="shared" si="2173"/>
        <v/>
      </c>
      <c r="CA795" s="582" t="str">
        <f t="shared" si="2174"/>
        <v/>
      </c>
      <c r="CB795" s="582" t="str">
        <f t="shared" si="2175"/>
        <v/>
      </c>
      <c r="CC795" s="670" t="str">
        <f t="shared" si="2176"/>
        <v/>
      </c>
      <c r="CD795" s="988" t="str">
        <f t="shared" si="2199"/>
        <v/>
      </c>
      <c r="CE795" s="989" t="str">
        <f t="shared" si="2200"/>
        <v/>
      </c>
      <c r="CF795" s="989" t="str">
        <f t="shared" si="2200"/>
        <v/>
      </c>
      <c r="CG795" s="989" t="str">
        <f t="shared" si="2200"/>
        <v/>
      </c>
      <c r="CH795" s="990" t="str">
        <f t="shared" si="2200"/>
        <v/>
      </c>
      <c r="CI795" s="990" t="str">
        <f t="shared" si="2200"/>
        <v/>
      </c>
      <c r="CJ795" s="989" t="str">
        <f t="shared" si="2200"/>
        <v/>
      </c>
      <c r="CK795" s="989" t="str">
        <f t="shared" si="2200"/>
        <v/>
      </c>
      <c r="CL795" s="989" t="str">
        <f t="shared" si="2200"/>
        <v/>
      </c>
      <c r="CM795" s="988" t="str">
        <f t="shared" si="2200"/>
        <v/>
      </c>
      <c r="CN795" s="533" t="str">
        <f t="shared" si="2178"/>
        <v/>
      </c>
      <c r="CO795" s="534" t="str">
        <f t="shared" si="2179"/>
        <v/>
      </c>
      <c r="CP795" s="535" t="str">
        <f t="shared" si="2180"/>
        <v/>
      </c>
      <c r="CQ795" s="535" t="str">
        <f t="shared" si="2181"/>
        <v/>
      </c>
      <c r="CR795" s="535" t="str">
        <f t="shared" si="2182"/>
        <v/>
      </c>
      <c r="CS795" s="535" t="str">
        <f t="shared" si="2183"/>
        <v/>
      </c>
      <c r="CT795" s="535" t="str">
        <f t="shared" si="2184"/>
        <v/>
      </c>
      <c r="CU795" s="536" t="str">
        <f t="shared" si="2185"/>
        <v/>
      </c>
      <c r="CV795" s="536" t="str">
        <f t="shared" si="2186"/>
        <v/>
      </c>
      <c r="CW795" s="536" t="str">
        <f t="shared" si="2187"/>
        <v/>
      </c>
      <c r="CX795" s="535" t="str">
        <f t="shared" si="2188"/>
        <v/>
      </c>
      <c r="CY795" s="535" t="str">
        <f t="shared" si="2189"/>
        <v/>
      </c>
      <c r="CZ795" s="535" t="str">
        <f t="shared" si="2190"/>
        <v/>
      </c>
      <c r="DA795" s="535" t="str">
        <f t="shared" si="2191"/>
        <v/>
      </c>
      <c r="DB795" s="535" t="str">
        <f t="shared" si="2192"/>
        <v/>
      </c>
      <c r="DC795" s="534" t="str">
        <f t="shared" si="2193"/>
        <v/>
      </c>
      <c r="DD795" s="533" t="str">
        <f t="shared" si="2194"/>
        <v/>
      </c>
      <c r="DE795" s="635">
        <f t="shared" si="2195"/>
        <v>0</v>
      </c>
      <c r="DF795" s="95">
        <f t="shared" si="2196"/>
        <v>0</v>
      </c>
      <c r="DG795" s="95">
        <f t="shared" si="2197"/>
        <v>0</v>
      </c>
      <c r="DH795" s="95">
        <f t="shared" si="2198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173"/>
        <v/>
      </c>
      <c r="CA796" s="582" t="str">
        <f t="shared" si="2174"/>
        <v/>
      </c>
      <c r="CB796" s="582" t="str">
        <f t="shared" si="2175"/>
        <v/>
      </c>
      <c r="CC796" s="670" t="str">
        <f t="shared" si="2176"/>
        <v/>
      </c>
      <c r="CD796" s="988" t="str">
        <f t="shared" si="2199"/>
        <v/>
      </c>
      <c r="CE796" s="989" t="str">
        <f t="shared" si="2200"/>
        <v/>
      </c>
      <c r="CF796" s="989" t="str">
        <f t="shared" si="2200"/>
        <v/>
      </c>
      <c r="CG796" s="989" t="str">
        <f t="shared" si="2200"/>
        <v/>
      </c>
      <c r="CH796" s="990" t="str">
        <f t="shared" si="2200"/>
        <v/>
      </c>
      <c r="CI796" s="990" t="str">
        <f t="shared" si="2200"/>
        <v/>
      </c>
      <c r="CJ796" s="989" t="str">
        <f t="shared" si="2200"/>
        <v/>
      </c>
      <c r="CK796" s="989" t="str">
        <f t="shared" si="2200"/>
        <v/>
      </c>
      <c r="CL796" s="989" t="str">
        <f t="shared" si="2200"/>
        <v/>
      </c>
      <c r="CM796" s="988" t="str">
        <f t="shared" si="2200"/>
        <v/>
      </c>
      <c r="CN796" s="533" t="str">
        <f t="shared" si="2178"/>
        <v/>
      </c>
      <c r="CO796" s="534" t="str">
        <f t="shared" si="2179"/>
        <v/>
      </c>
      <c r="CP796" s="535" t="str">
        <f t="shared" si="2180"/>
        <v/>
      </c>
      <c r="CQ796" s="535" t="str">
        <f t="shared" si="2181"/>
        <v/>
      </c>
      <c r="CR796" s="535" t="str">
        <f t="shared" si="2182"/>
        <v/>
      </c>
      <c r="CS796" s="535" t="str">
        <f t="shared" si="2183"/>
        <v/>
      </c>
      <c r="CT796" s="535" t="str">
        <f t="shared" si="2184"/>
        <v/>
      </c>
      <c r="CU796" s="536" t="str">
        <f t="shared" si="2185"/>
        <v/>
      </c>
      <c r="CV796" s="536" t="str">
        <f t="shared" si="2186"/>
        <v/>
      </c>
      <c r="CW796" s="536" t="str">
        <f t="shared" si="2187"/>
        <v/>
      </c>
      <c r="CX796" s="535" t="str">
        <f t="shared" si="2188"/>
        <v/>
      </c>
      <c r="CY796" s="535" t="str">
        <f t="shared" si="2189"/>
        <v/>
      </c>
      <c r="CZ796" s="535" t="str">
        <f t="shared" si="2190"/>
        <v/>
      </c>
      <c r="DA796" s="535" t="str">
        <f t="shared" si="2191"/>
        <v/>
      </c>
      <c r="DB796" s="535" t="str">
        <f t="shared" si="2192"/>
        <v/>
      </c>
      <c r="DC796" s="534" t="str">
        <f t="shared" si="2193"/>
        <v/>
      </c>
      <c r="DD796" s="533" t="str">
        <f t="shared" si="2194"/>
        <v/>
      </c>
      <c r="DE796" s="635">
        <f t="shared" si="2195"/>
        <v>0</v>
      </c>
      <c r="DF796" s="95">
        <f t="shared" si="2196"/>
        <v>0</v>
      </c>
      <c r="DG796" s="95">
        <f t="shared" si="2197"/>
        <v>0</v>
      </c>
      <c r="DH796" s="95">
        <f t="shared" si="2198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600</v>
      </c>
      <c r="BY797" s="215"/>
      <c r="BZ797" s="582" t="str">
        <f t="shared" si="2173"/>
        <v/>
      </c>
      <c r="CA797" s="582" t="str">
        <f t="shared" si="2174"/>
        <v/>
      </c>
      <c r="CB797" s="582" t="str">
        <f t="shared" si="2175"/>
        <v/>
      </c>
      <c r="CC797" s="670" t="str">
        <f t="shared" si="2176"/>
        <v/>
      </c>
      <c r="CD797" s="988" t="str">
        <f t="shared" si="2199"/>
        <v/>
      </c>
      <c r="CE797" s="989" t="str">
        <f t="shared" si="2200"/>
        <v/>
      </c>
      <c r="CF797" s="989" t="str">
        <f t="shared" si="2200"/>
        <v/>
      </c>
      <c r="CG797" s="989" t="str">
        <f t="shared" si="2200"/>
        <v/>
      </c>
      <c r="CH797" s="990" t="str">
        <f t="shared" si="2200"/>
        <v/>
      </c>
      <c r="CI797" s="990" t="str">
        <f t="shared" si="2200"/>
        <v/>
      </c>
      <c r="CJ797" s="989" t="str">
        <f t="shared" si="2200"/>
        <v/>
      </c>
      <c r="CK797" s="989" t="str">
        <f t="shared" si="2200"/>
        <v/>
      </c>
      <c r="CL797" s="989" t="str">
        <f t="shared" si="2200"/>
        <v/>
      </c>
      <c r="CM797" s="988" t="str">
        <f t="shared" si="2200"/>
        <v/>
      </c>
      <c r="CN797" s="533" t="str">
        <f t="shared" si="2178"/>
        <v/>
      </c>
      <c r="CO797" s="534" t="str">
        <f t="shared" si="2179"/>
        <v/>
      </c>
      <c r="CP797" s="535" t="str">
        <f t="shared" si="2180"/>
        <v/>
      </c>
      <c r="CQ797" s="535" t="str">
        <f t="shared" si="2181"/>
        <v/>
      </c>
      <c r="CR797" s="535" t="str">
        <f t="shared" si="2182"/>
        <v/>
      </c>
      <c r="CS797" s="535" t="str">
        <f t="shared" si="2183"/>
        <v/>
      </c>
      <c r="CT797" s="535" t="str">
        <f t="shared" si="2184"/>
        <v/>
      </c>
      <c r="CU797" s="536" t="str">
        <f t="shared" si="2185"/>
        <v/>
      </c>
      <c r="CV797" s="536" t="str">
        <f t="shared" si="2186"/>
        <v/>
      </c>
      <c r="CW797" s="536" t="str">
        <f t="shared" si="2187"/>
        <v/>
      </c>
      <c r="CX797" s="535" t="str">
        <f t="shared" si="2188"/>
        <v/>
      </c>
      <c r="CY797" s="535" t="str">
        <f t="shared" si="2189"/>
        <v/>
      </c>
      <c r="CZ797" s="535" t="str">
        <f t="shared" si="2190"/>
        <v/>
      </c>
      <c r="DA797" s="535" t="str">
        <f t="shared" si="2191"/>
        <v/>
      </c>
      <c r="DB797" s="535" t="str">
        <f t="shared" si="2192"/>
        <v/>
      </c>
      <c r="DC797" s="534" t="str">
        <f t="shared" si="2193"/>
        <v/>
      </c>
      <c r="DD797" s="533" t="str">
        <f t="shared" si="2194"/>
        <v/>
      </c>
      <c r="DE797" s="635">
        <f t="shared" si="2195"/>
        <v>0</v>
      </c>
      <c r="DF797" s="95">
        <f t="shared" si="2196"/>
        <v>0</v>
      </c>
      <c r="DG797" s="95">
        <f t="shared" si="2197"/>
        <v>0</v>
      </c>
      <c r="DH797" s="95">
        <f t="shared" si="2198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/>
      <c r="BZ798" s="582" t="str">
        <f t="shared" si="2173"/>
        <v/>
      </c>
      <c r="CA798" s="582" t="str">
        <f t="shared" si="2174"/>
        <v/>
      </c>
      <c r="CB798" s="582" t="str">
        <f t="shared" si="2175"/>
        <v/>
      </c>
      <c r="CC798" s="670" t="str">
        <f t="shared" si="2176"/>
        <v/>
      </c>
      <c r="CD798" s="988" t="str">
        <f t="shared" si="2199"/>
        <v/>
      </c>
      <c r="CE798" s="989" t="str">
        <f t="shared" si="2200"/>
        <v/>
      </c>
      <c r="CF798" s="989" t="str">
        <f t="shared" si="2200"/>
        <v/>
      </c>
      <c r="CG798" s="989" t="str">
        <f t="shared" si="2200"/>
        <v/>
      </c>
      <c r="CH798" s="990" t="str">
        <f t="shared" si="2200"/>
        <v/>
      </c>
      <c r="CI798" s="990" t="str">
        <f t="shared" si="2200"/>
        <v/>
      </c>
      <c r="CJ798" s="989" t="str">
        <f t="shared" si="2200"/>
        <v/>
      </c>
      <c r="CK798" s="989" t="str">
        <f t="shared" si="2200"/>
        <v/>
      </c>
      <c r="CL798" s="989" t="str">
        <f t="shared" si="2200"/>
        <v/>
      </c>
      <c r="CM798" s="988" t="str">
        <f t="shared" si="2200"/>
        <v/>
      </c>
      <c r="CN798" s="533" t="str">
        <f t="shared" si="2178"/>
        <v/>
      </c>
      <c r="CO798" s="534" t="str">
        <f t="shared" si="2179"/>
        <v/>
      </c>
      <c r="CP798" s="535" t="str">
        <f t="shared" si="2180"/>
        <v/>
      </c>
      <c r="CQ798" s="535" t="str">
        <f t="shared" si="2181"/>
        <v/>
      </c>
      <c r="CR798" s="535" t="str">
        <f t="shared" si="2182"/>
        <v/>
      </c>
      <c r="CS798" s="535" t="str">
        <f t="shared" si="2183"/>
        <v/>
      </c>
      <c r="CT798" s="535" t="str">
        <f t="shared" si="2184"/>
        <v/>
      </c>
      <c r="CU798" s="536" t="str">
        <f t="shared" si="2185"/>
        <v/>
      </c>
      <c r="CV798" s="536" t="str">
        <f t="shared" si="2186"/>
        <v/>
      </c>
      <c r="CW798" s="536" t="str">
        <f t="shared" si="2187"/>
        <v/>
      </c>
      <c r="CX798" s="535" t="str">
        <f t="shared" si="2188"/>
        <v/>
      </c>
      <c r="CY798" s="535" t="str">
        <f t="shared" si="2189"/>
        <v/>
      </c>
      <c r="CZ798" s="535" t="str">
        <f t="shared" si="2190"/>
        <v/>
      </c>
      <c r="DA798" s="535" t="str">
        <f t="shared" si="2191"/>
        <v/>
      </c>
      <c r="DB798" s="535" t="str">
        <f t="shared" si="2192"/>
        <v/>
      </c>
      <c r="DC798" s="534" t="str">
        <f t="shared" si="2193"/>
        <v/>
      </c>
      <c r="DD798" s="533" t="str">
        <f t="shared" si="2194"/>
        <v/>
      </c>
      <c r="DE798" s="635">
        <f t="shared" si="2195"/>
        <v>0</v>
      </c>
      <c r="DF798" s="95">
        <f t="shared" si="2196"/>
        <v>0</v>
      </c>
      <c r="DG798" s="95">
        <f t="shared" si="2197"/>
        <v>0</v>
      </c>
      <c r="DH798" s="95">
        <f t="shared" si="2198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/>
      <c r="BZ799" s="582" t="str">
        <f t="shared" si="2173"/>
        <v/>
      </c>
      <c r="CA799" s="582" t="str">
        <f t="shared" si="2174"/>
        <v/>
      </c>
      <c r="CB799" s="582" t="str">
        <f t="shared" si="2175"/>
        <v/>
      </c>
      <c r="CC799" s="670" t="str">
        <f t="shared" si="2176"/>
        <v/>
      </c>
      <c r="CD799" s="988" t="str">
        <f t="shared" si="2199"/>
        <v/>
      </c>
      <c r="CE799" s="989" t="str">
        <f t="shared" si="2200"/>
        <v/>
      </c>
      <c r="CF799" s="989" t="str">
        <f t="shared" si="2200"/>
        <v/>
      </c>
      <c r="CG799" s="989" t="str">
        <f t="shared" si="2200"/>
        <v/>
      </c>
      <c r="CH799" s="990" t="str">
        <f t="shared" si="2200"/>
        <v/>
      </c>
      <c r="CI799" s="990" t="str">
        <f t="shared" si="2200"/>
        <v/>
      </c>
      <c r="CJ799" s="989" t="str">
        <f t="shared" si="2200"/>
        <v/>
      </c>
      <c r="CK799" s="989" t="str">
        <f t="shared" si="2200"/>
        <v/>
      </c>
      <c r="CL799" s="989" t="str">
        <f t="shared" si="2200"/>
        <v/>
      </c>
      <c r="CM799" s="988" t="str">
        <f t="shared" si="2200"/>
        <v/>
      </c>
      <c r="CN799" s="533" t="str">
        <f t="shared" si="2178"/>
        <v/>
      </c>
      <c r="CO799" s="534" t="str">
        <f t="shared" si="2179"/>
        <v/>
      </c>
      <c r="CP799" s="535" t="str">
        <f t="shared" si="2180"/>
        <v/>
      </c>
      <c r="CQ799" s="535" t="str">
        <f t="shared" si="2181"/>
        <v/>
      </c>
      <c r="CR799" s="535" t="str">
        <f t="shared" si="2182"/>
        <v/>
      </c>
      <c r="CS799" s="535" t="str">
        <f t="shared" si="2183"/>
        <v/>
      </c>
      <c r="CT799" s="535" t="str">
        <f t="shared" si="2184"/>
        <v/>
      </c>
      <c r="CU799" s="536" t="str">
        <f t="shared" si="2185"/>
        <v/>
      </c>
      <c r="CV799" s="536" t="str">
        <f t="shared" si="2186"/>
        <v/>
      </c>
      <c r="CW799" s="536" t="str">
        <f t="shared" si="2187"/>
        <v/>
      </c>
      <c r="CX799" s="535" t="str">
        <f t="shared" si="2188"/>
        <v/>
      </c>
      <c r="CY799" s="535" t="str">
        <f t="shared" si="2189"/>
        <v/>
      </c>
      <c r="CZ799" s="535" t="str">
        <f t="shared" si="2190"/>
        <v/>
      </c>
      <c r="DA799" s="535" t="str">
        <f t="shared" si="2191"/>
        <v/>
      </c>
      <c r="DB799" s="535" t="str">
        <f t="shared" si="2192"/>
        <v/>
      </c>
      <c r="DC799" s="534" t="str">
        <f t="shared" si="2193"/>
        <v/>
      </c>
      <c r="DD799" s="533" t="str">
        <f t="shared" si="2194"/>
        <v/>
      </c>
      <c r="DE799" s="635">
        <f t="shared" si="2195"/>
        <v>0</v>
      </c>
      <c r="DF799" s="95">
        <f t="shared" si="2196"/>
        <v>0</v>
      </c>
      <c r="DG799" s="95">
        <f t="shared" si="2197"/>
        <v>0</v>
      </c>
      <c r="DH799" s="95">
        <f t="shared" si="2198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/>
      <c r="BZ800" s="582" t="str">
        <f t="shared" si="2173"/>
        <v/>
      </c>
      <c r="CA800" s="582" t="str">
        <f t="shared" si="2174"/>
        <v/>
      </c>
      <c r="CB800" s="582" t="str">
        <f t="shared" si="2175"/>
        <v/>
      </c>
      <c r="CC800" s="670" t="str">
        <f t="shared" si="2176"/>
        <v/>
      </c>
      <c r="CD800" s="988" t="str">
        <f t="shared" si="2199"/>
        <v/>
      </c>
      <c r="CE800" s="989" t="str">
        <f t="shared" si="2200"/>
        <v/>
      </c>
      <c r="CF800" s="989" t="str">
        <f t="shared" si="2200"/>
        <v/>
      </c>
      <c r="CG800" s="989" t="str">
        <f t="shared" si="2200"/>
        <v/>
      </c>
      <c r="CH800" s="990" t="str">
        <f t="shared" si="2200"/>
        <v/>
      </c>
      <c r="CI800" s="990" t="str">
        <f t="shared" si="2200"/>
        <v/>
      </c>
      <c r="CJ800" s="989" t="str">
        <f t="shared" si="2200"/>
        <v/>
      </c>
      <c r="CK800" s="989" t="str">
        <f t="shared" si="2200"/>
        <v/>
      </c>
      <c r="CL800" s="989" t="str">
        <f t="shared" si="2200"/>
        <v/>
      </c>
      <c r="CM800" s="988" t="str">
        <f t="shared" si="2200"/>
        <v/>
      </c>
      <c r="CN800" s="533" t="str">
        <f t="shared" si="2178"/>
        <v/>
      </c>
      <c r="CO800" s="534" t="str">
        <f t="shared" si="2179"/>
        <v/>
      </c>
      <c r="CP800" s="535" t="str">
        <f t="shared" si="2180"/>
        <v/>
      </c>
      <c r="CQ800" s="535" t="str">
        <f t="shared" si="2181"/>
        <v/>
      </c>
      <c r="CR800" s="535" t="str">
        <f t="shared" si="2182"/>
        <v/>
      </c>
      <c r="CS800" s="535" t="str">
        <f t="shared" si="2183"/>
        <v/>
      </c>
      <c r="CT800" s="535" t="str">
        <f t="shared" si="2184"/>
        <v/>
      </c>
      <c r="CU800" s="536" t="str">
        <f t="shared" si="2185"/>
        <v/>
      </c>
      <c r="CV800" s="536" t="str">
        <f t="shared" si="2186"/>
        <v/>
      </c>
      <c r="CW800" s="536" t="str">
        <f t="shared" si="2187"/>
        <v/>
      </c>
      <c r="CX800" s="535" t="str">
        <f t="shared" si="2188"/>
        <v/>
      </c>
      <c r="CY800" s="535" t="str">
        <f t="shared" si="2189"/>
        <v/>
      </c>
      <c r="CZ800" s="535" t="str">
        <f t="shared" si="2190"/>
        <v/>
      </c>
      <c r="DA800" s="535" t="str">
        <f t="shared" si="2191"/>
        <v/>
      </c>
      <c r="DB800" s="535" t="str">
        <f t="shared" si="2192"/>
        <v/>
      </c>
      <c r="DC800" s="534" t="str">
        <f t="shared" si="2193"/>
        <v/>
      </c>
      <c r="DD800" s="533" t="str">
        <f t="shared" si="2194"/>
        <v/>
      </c>
      <c r="DE800" s="635">
        <f t="shared" si="2195"/>
        <v>0</v>
      </c>
      <c r="DF800" s="95">
        <f t="shared" si="2196"/>
        <v>0</v>
      </c>
      <c r="DG800" s="95">
        <f t="shared" si="2197"/>
        <v>0</v>
      </c>
      <c r="DH800" s="95">
        <f t="shared" si="2198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/>
      <c r="BZ801" s="582" t="str">
        <f t="shared" si="2173"/>
        <v/>
      </c>
      <c r="CA801" s="582" t="str">
        <f t="shared" si="2174"/>
        <v/>
      </c>
      <c r="CB801" s="582" t="str">
        <f t="shared" si="2175"/>
        <v/>
      </c>
      <c r="CC801" s="670" t="str">
        <f t="shared" si="2176"/>
        <v/>
      </c>
      <c r="CD801" s="988" t="str">
        <f t="shared" si="2199"/>
        <v/>
      </c>
      <c r="CE801" s="989" t="str">
        <f t="shared" si="2200"/>
        <v/>
      </c>
      <c r="CF801" s="989" t="str">
        <f t="shared" si="2200"/>
        <v/>
      </c>
      <c r="CG801" s="989" t="str">
        <f t="shared" si="2200"/>
        <v/>
      </c>
      <c r="CH801" s="990" t="str">
        <f t="shared" si="2200"/>
        <v/>
      </c>
      <c r="CI801" s="990" t="str">
        <f t="shared" si="2200"/>
        <v/>
      </c>
      <c r="CJ801" s="989" t="str">
        <f t="shared" si="2200"/>
        <v/>
      </c>
      <c r="CK801" s="989" t="str">
        <f t="shared" si="2200"/>
        <v/>
      </c>
      <c r="CL801" s="989" t="str">
        <f t="shared" si="2200"/>
        <v/>
      </c>
      <c r="CM801" s="988" t="str">
        <f t="shared" si="2200"/>
        <v/>
      </c>
      <c r="CN801" s="533" t="str">
        <f t="shared" si="2178"/>
        <v/>
      </c>
      <c r="CO801" s="534" t="str">
        <f t="shared" si="2179"/>
        <v/>
      </c>
      <c r="CP801" s="535" t="str">
        <f t="shared" si="2180"/>
        <v/>
      </c>
      <c r="CQ801" s="535" t="str">
        <f t="shared" si="2181"/>
        <v/>
      </c>
      <c r="CR801" s="535" t="str">
        <f t="shared" si="2182"/>
        <v/>
      </c>
      <c r="CS801" s="535" t="str">
        <f t="shared" si="2183"/>
        <v/>
      </c>
      <c r="CT801" s="535" t="str">
        <f t="shared" si="2184"/>
        <v/>
      </c>
      <c r="CU801" s="536" t="str">
        <f t="shared" si="2185"/>
        <v/>
      </c>
      <c r="CV801" s="536" t="str">
        <f t="shared" si="2186"/>
        <v/>
      </c>
      <c r="CW801" s="536" t="str">
        <f t="shared" si="2187"/>
        <v/>
      </c>
      <c r="CX801" s="535" t="str">
        <f t="shared" si="2188"/>
        <v/>
      </c>
      <c r="CY801" s="535" t="str">
        <f t="shared" si="2189"/>
        <v/>
      </c>
      <c r="CZ801" s="535" t="str">
        <f t="shared" si="2190"/>
        <v/>
      </c>
      <c r="DA801" s="535" t="str">
        <f t="shared" si="2191"/>
        <v/>
      </c>
      <c r="DB801" s="535" t="str">
        <f t="shared" si="2192"/>
        <v/>
      </c>
      <c r="DC801" s="534" t="str">
        <f t="shared" si="2193"/>
        <v/>
      </c>
      <c r="DD801" s="533" t="str">
        <f t="shared" si="2194"/>
        <v/>
      </c>
      <c r="DE801" s="635">
        <f t="shared" si="2195"/>
        <v>0</v>
      </c>
      <c r="DF801" s="95">
        <f t="shared" si="2196"/>
        <v>0</v>
      </c>
      <c r="DG801" s="95">
        <f t="shared" si="2197"/>
        <v>0</v>
      </c>
      <c r="DH801" s="95">
        <f t="shared" si="2198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/>
      <c r="BZ802" s="582" t="str">
        <f t="shared" si="2173"/>
        <v/>
      </c>
      <c r="CA802" s="582" t="str">
        <f t="shared" si="2174"/>
        <v/>
      </c>
      <c r="CB802" s="582" t="str">
        <f t="shared" si="2175"/>
        <v/>
      </c>
      <c r="CC802" s="670" t="str">
        <f t="shared" si="2176"/>
        <v/>
      </c>
      <c r="CD802" s="988" t="str">
        <f t="shared" si="2199"/>
        <v/>
      </c>
      <c r="CE802" s="989" t="str">
        <f t="shared" si="2200"/>
        <v/>
      </c>
      <c r="CF802" s="989" t="str">
        <f t="shared" si="2200"/>
        <v/>
      </c>
      <c r="CG802" s="989" t="str">
        <f t="shared" si="2200"/>
        <v/>
      </c>
      <c r="CH802" s="990" t="str">
        <f t="shared" si="2200"/>
        <v/>
      </c>
      <c r="CI802" s="990" t="str">
        <f t="shared" si="2200"/>
        <v/>
      </c>
      <c r="CJ802" s="989" t="str">
        <f t="shared" si="2200"/>
        <v/>
      </c>
      <c r="CK802" s="989" t="str">
        <f t="shared" si="2200"/>
        <v/>
      </c>
      <c r="CL802" s="989" t="str">
        <f t="shared" si="2200"/>
        <v/>
      </c>
      <c r="CM802" s="988" t="str">
        <f t="shared" si="2200"/>
        <v/>
      </c>
      <c r="CN802" s="533" t="str">
        <f t="shared" si="2178"/>
        <v/>
      </c>
      <c r="CO802" s="534" t="str">
        <f t="shared" si="2179"/>
        <v/>
      </c>
      <c r="CP802" s="535" t="str">
        <f t="shared" si="2180"/>
        <v/>
      </c>
      <c r="CQ802" s="535" t="str">
        <f t="shared" si="2181"/>
        <v/>
      </c>
      <c r="CR802" s="535" t="str">
        <f t="shared" si="2182"/>
        <v/>
      </c>
      <c r="CS802" s="535" t="str">
        <f t="shared" si="2183"/>
        <v/>
      </c>
      <c r="CT802" s="535" t="str">
        <f t="shared" si="2184"/>
        <v/>
      </c>
      <c r="CU802" s="536" t="str">
        <f t="shared" si="2185"/>
        <v/>
      </c>
      <c r="CV802" s="536" t="str">
        <f t="shared" si="2186"/>
        <v/>
      </c>
      <c r="CW802" s="536" t="str">
        <f t="shared" si="2187"/>
        <v/>
      </c>
      <c r="CX802" s="535" t="str">
        <f t="shared" si="2188"/>
        <v/>
      </c>
      <c r="CY802" s="535" t="str">
        <f t="shared" si="2189"/>
        <v/>
      </c>
      <c r="CZ802" s="535" t="str">
        <f t="shared" si="2190"/>
        <v/>
      </c>
      <c r="DA802" s="535" t="str">
        <f t="shared" si="2191"/>
        <v/>
      </c>
      <c r="DB802" s="535" t="str">
        <f t="shared" si="2192"/>
        <v/>
      </c>
      <c r="DC802" s="534" t="str">
        <f t="shared" si="2193"/>
        <v/>
      </c>
      <c r="DD802" s="533" t="str">
        <f t="shared" si="2194"/>
        <v/>
      </c>
      <c r="DE802" s="635">
        <f t="shared" si="2195"/>
        <v>0</v>
      </c>
      <c r="DF802" s="95">
        <f t="shared" si="2196"/>
        <v>0</v>
      </c>
      <c r="DG802" s="95">
        <f t="shared" si="2197"/>
        <v>0</v>
      </c>
      <c r="DH802" s="95">
        <f t="shared" si="2198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1000</v>
      </c>
      <c r="BW803" s="215">
        <v>1500</v>
      </c>
      <c r="BX803" s="215">
        <v>2863</v>
      </c>
      <c r="BY803" s="215"/>
      <c r="BZ803" s="582" t="str">
        <f t="shared" si="2173"/>
        <v/>
      </c>
      <c r="CA803" s="582" t="str">
        <f t="shared" si="2174"/>
        <v/>
      </c>
      <c r="CB803" s="582" t="str">
        <f t="shared" si="2175"/>
        <v/>
      </c>
      <c r="CC803" s="670" t="str">
        <f t="shared" si="2176"/>
        <v/>
      </c>
      <c r="CD803" s="988" t="str">
        <f t="shared" si="2199"/>
        <v/>
      </c>
      <c r="CE803" s="989" t="str">
        <f t="shared" si="2200"/>
        <v/>
      </c>
      <c r="CF803" s="989" t="str">
        <f t="shared" si="2200"/>
        <v/>
      </c>
      <c r="CG803" s="989" t="str">
        <f t="shared" si="2200"/>
        <v/>
      </c>
      <c r="CH803" s="990" t="str">
        <f t="shared" si="2200"/>
        <v/>
      </c>
      <c r="CI803" s="990" t="str">
        <f t="shared" si="2200"/>
        <v/>
      </c>
      <c r="CJ803" s="989" t="str">
        <f t="shared" si="2200"/>
        <v/>
      </c>
      <c r="CK803" s="989" t="str">
        <f t="shared" si="2200"/>
        <v/>
      </c>
      <c r="CL803" s="989" t="str">
        <f t="shared" si="2200"/>
        <v/>
      </c>
      <c r="CM803" s="988" t="str">
        <f t="shared" si="2200"/>
        <v/>
      </c>
      <c r="CN803" s="533" t="str">
        <f t="shared" si="2178"/>
        <v/>
      </c>
      <c r="CO803" s="534" t="str">
        <f t="shared" si="2179"/>
        <v/>
      </c>
      <c r="CP803" s="535" t="str">
        <f t="shared" si="2180"/>
        <v/>
      </c>
      <c r="CQ803" s="535" t="str">
        <f t="shared" si="2181"/>
        <v/>
      </c>
      <c r="CR803" s="535" t="str">
        <f t="shared" si="2182"/>
        <v/>
      </c>
      <c r="CS803" s="535" t="str">
        <f t="shared" si="2183"/>
        <v/>
      </c>
      <c r="CT803" s="535" t="str">
        <f t="shared" si="2184"/>
        <v/>
      </c>
      <c r="CU803" s="536" t="str">
        <f t="shared" si="2185"/>
        <v/>
      </c>
      <c r="CV803" s="536" t="str">
        <f t="shared" si="2186"/>
        <v/>
      </c>
      <c r="CW803" s="536" t="str">
        <f t="shared" si="2187"/>
        <v/>
      </c>
      <c r="CX803" s="535" t="str">
        <f t="shared" si="2188"/>
        <v/>
      </c>
      <c r="CY803" s="535" t="str">
        <f t="shared" si="2189"/>
        <v/>
      </c>
      <c r="CZ803" s="535" t="str">
        <f t="shared" si="2190"/>
        <v/>
      </c>
      <c r="DA803" s="535" t="str">
        <f t="shared" si="2191"/>
        <v/>
      </c>
      <c r="DB803" s="535" t="str">
        <f t="shared" si="2192"/>
        <v/>
      </c>
      <c r="DC803" s="534" t="str">
        <f t="shared" si="2193"/>
        <v/>
      </c>
      <c r="DD803" s="533" t="str">
        <f t="shared" si="2194"/>
        <v/>
      </c>
      <c r="DE803" s="635">
        <f t="shared" si="2195"/>
        <v>0</v>
      </c>
      <c r="DF803" s="95">
        <f t="shared" si="2196"/>
        <v>0</v>
      </c>
      <c r="DG803" s="95">
        <f t="shared" si="2197"/>
        <v>0</v>
      </c>
      <c r="DH803" s="95">
        <f t="shared" si="2198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4000</v>
      </c>
      <c r="BW804" s="215">
        <v>2000</v>
      </c>
      <c r="BX804" s="215">
        <v>2000</v>
      </c>
      <c r="BY804" s="215"/>
      <c r="BZ804" s="582" t="str">
        <f t="shared" si="2173"/>
        <v/>
      </c>
      <c r="CA804" s="582" t="str">
        <f t="shared" si="2174"/>
        <v/>
      </c>
      <c r="CB804" s="582" t="str">
        <f t="shared" si="2175"/>
        <v/>
      </c>
      <c r="CC804" s="670" t="str">
        <f t="shared" si="2176"/>
        <v/>
      </c>
      <c r="CD804" s="988" t="str">
        <f t="shared" si="2199"/>
        <v/>
      </c>
      <c r="CE804" s="989" t="str">
        <f t="shared" ref="CE804:CM810" si="220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205"/>
        <v/>
      </c>
      <c r="CG804" s="989" t="str">
        <f t="shared" si="2205"/>
        <v/>
      </c>
      <c r="CH804" s="990" t="str">
        <f t="shared" si="2205"/>
        <v/>
      </c>
      <c r="CI804" s="990" t="str">
        <f t="shared" si="2205"/>
        <v/>
      </c>
      <c r="CJ804" s="989" t="str">
        <f t="shared" si="2205"/>
        <v/>
      </c>
      <c r="CK804" s="989" t="str">
        <f t="shared" si="2205"/>
        <v/>
      </c>
      <c r="CL804" s="989" t="str">
        <f t="shared" si="2205"/>
        <v/>
      </c>
      <c r="CM804" s="988" t="str">
        <f t="shared" si="2205"/>
        <v/>
      </c>
      <c r="CN804" s="533" t="str">
        <f t="shared" si="2178"/>
        <v/>
      </c>
      <c r="CO804" s="534" t="str">
        <f t="shared" si="2179"/>
        <v/>
      </c>
      <c r="CP804" s="535" t="str">
        <f t="shared" si="2180"/>
        <v/>
      </c>
      <c r="CQ804" s="535" t="str">
        <f t="shared" si="2181"/>
        <v/>
      </c>
      <c r="CR804" s="535" t="str">
        <f t="shared" si="2182"/>
        <v/>
      </c>
      <c r="CS804" s="535" t="str">
        <f t="shared" si="2183"/>
        <v/>
      </c>
      <c r="CT804" s="535" t="str">
        <f t="shared" si="2184"/>
        <v/>
      </c>
      <c r="CU804" s="536" t="str">
        <f t="shared" si="2185"/>
        <v/>
      </c>
      <c r="CV804" s="536" t="str">
        <f t="shared" si="2186"/>
        <v/>
      </c>
      <c r="CW804" s="536" t="str">
        <f t="shared" si="2187"/>
        <v/>
      </c>
      <c r="CX804" s="535" t="str">
        <f t="shared" si="2188"/>
        <v/>
      </c>
      <c r="CY804" s="535" t="str">
        <f t="shared" si="2189"/>
        <v/>
      </c>
      <c r="CZ804" s="535" t="str">
        <f t="shared" si="2190"/>
        <v/>
      </c>
      <c r="DA804" s="535" t="str">
        <f t="shared" si="2191"/>
        <v/>
      </c>
      <c r="DB804" s="535" t="str">
        <f t="shared" si="2192"/>
        <v/>
      </c>
      <c r="DC804" s="534" t="str">
        <f t="shared" si="2193"/>
        <v/>
      </c>
      <c r="DD804" s="533" t="str">
        <f t="shared" si="2194"/>
        <v/>
      </c>
      <c r="DE804" s="635">
        <f t="shared" si="2195"/>
        <v>0</v>
      </c>
      <c r="DF804" s="95">
        <f t="shared" si="2196"/>
        <v>0</v>
      </c>
      <c r="DG804" s="95">
        <f t="shared" si="2197"/>
        <v>0</v>
      </c>
      <c r="DH804" s="95">
        <f t="shared" si="2198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2500</v>
      </c>
      <c r="BX805" s="215">
        <v>6000</v>
      </c>
      <c r="BY805" s="215"/>
      <c r="BZ805" s="582" t="str">
        <f t="shared" si="2173"/>
        <v/>
      </c>
      <c r="CA805" s="582" t="str">
        <f t="shared" si="2174"/>
        <v/>
      </c>
      <c r="CB805" s="582" t="str">
        <f t="shared" si="2175"/>
        <v/>
      </c>
      <c r="CC805" s="670" t="str">
        <f t="shared" si="2176"/>
        <v/>
      </c>
      <c r="CD805" s="988" t="str">
        <f t="shared" si="2199"/>
        <v/>
      </c>
      <c r="CE805" s="989" t="str">
        <f t="shared" si="2205"/>
        <v/>
      </c>
      <c r="CF805" s="989" t="str">
        <f t="shared" si="2205"/>
        <v/>
      </c>
      <c r="CG805" s="989" t="str">
        <f t="shared" si="2205"/>
        <v/>
      </c>
      <c r="CH805" s="990" t="str">
        <f t="shared" si="2205"/>
        <v/>
      </c>
      <c r="CI805" s="990" t="str">
        <f t="shared" si="2205"/>
        <v/>
      </c>
      <c r="CJ805" s="989" t="str">
        <f t="shared" si="2205"/>
        <v/>
      </c>
      <c r="CK805" s="989" t="str">
        <f t="shared" si="2205"/>
        <v/>
      </c>
      <c r="CL805" s="989" t="str">
        <f t="shared" si="2205"/>
        <v/>
      </c>
      <c r="CM805" s="988" t="str">
        <f t="shared" si="2205"/>
        <v/>
      </c>
      <c r="CN805" s="533" t="str">
        <f t="shared" si="2178"/>
        <v/>
      </c>
      <c r="CO805" s="534" t="str">
        <f t="shared" si="2179"/>
        <v/>
      </c>
      <c r="CP805" s="535" t="str">
        <f t="shared" si="2180"/>
        <v/>
      </c>
      <c r="CQ805" s="535" t="str">
        <f t="shared" si="2181"/>
        <v/>
      </c>
      <c r="CR805" s="535" t="str">
        <f t="shared" si="2182"/>
        <v/>
      </c>
      <c r="CS805" s="535" t="str">
        <f t="shared" si="2183"/>
        <v/>
      </c>
      <c r="CT805" s="535" t="str">
        <f t="shared" si="2184"/>
        <v/>
      </c>
      <c r="CU805" s="536" t="str">
        <f t="shared" si="2185"/>
        <v/>
      </c>
      <c r="CV805" s="536" t="str">
        <f t="shared" si="2186"/>
        <v/>
      </c>
      <c r="CW805" s="536" t="str">
        <f t="shared" si="2187"/>
        <v/>
      </c>
      <c r="CX805" s="535" t="str">
        <f t="shared" si="2188"/>
        <v/>
      </c>
      <c r="CY805" s="535" t="str">
        <f t="shared" si="2189"/>
        <v/>
      </c>
      <c r="CZ805" s="535" t="str">
        <f t="shared" si="2190"/>
        <v/>
      </c>
      <c r="DA805" s="535" t="str">
        <f t="shared" si="2191"/>
        <v/>
      </c>
      <c r="DB805" s="535" t="str">
        <f t="shared" si="2192"/>
        <v/>
      </c>
      <c r="DC805" s="534" t="str">
        <f t="shared" si="2193"/>
        <v/>
      </c>
      <c r="DD805" s="533" t="str">
        <f t="shared" si="2194"/>
        <v/>
      </c>
      <c r="DE805" s="635">
        <f t="shared" si="2195"/>
        <v>0</v>
      </c>
      <c r="DF805" s="95">
        <f t="shared" si="2196"/>
        <v>0</v>
      </c>
      <c r="DG805" s="95">
        <f t="shared" si="2197"/>
        <v>0</v>
      </c>
      <c r="DH805" s="95">
        <f t="shared" si="2198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173"/>
        <v/>
      </c>
      <c r="CA806" s="582" t="str">
        <f t="shared" si="2174"/>
        <v/>
      </c>
      <c r="CB806" s="582" t="str">
        <f t="shared" si="2175"/>
        <v/>
      </c>
      <c r="CC806" s="670" t="str">
        <f t="shared" si="2176"/>
        <v/>
      </c>
      <c r="CD806" s="988" t="str">
        <f t="shared" si="2199"/>
        <v/>
      </c>
      <c r="CE806" s="989" t="str">
        <f t="shared" si="2205"/>
        <v/>
      </c>
      <c r="CF806" s="989" t="str">
        <f t="shared" si="2205"/>
        <v/>
      </c>
      <c r="CG806" s="989" t="str">
        <f t="shared" si="2205"/>
        <v/>
      </c>
      <c r="CH806" s="990" t="str">
        <f t="shared" si="2205"/>
        <v/>
      </c>
      <c r="CI806" s="990" t="str">
        <f t="shared" si="2205"/>
        <v/>
      </c>
      <c r="CJ806" s="989" t="str">
        <f t="shared" si="2205"/>
        <v/>
      </c>
      <c r="CK806" s="989" t="str">
        <f t="shared" si="2205"/>
        <v/>
      </c>
      <c r="CL806" s="989" t="str">
        <f t="shared" si="2205"/>
        <v/>
      </c>
      <c r="CM806" s="988" t="str">
        <f t="shared" si="2205"/>
        <v/>
      </c>
      <c r="CN806" s="533" t="str">
        <f t="shared" si="2178"/>
        <v/>
      </c>
      <c r="CO806" s="534" t="str">
        <f t="shared" si="2179"/>
        <v/>
      </c>
      <c r="CP806" s="535" t="str">
        <f t="shared" si="2180"/>
        <v/>
      </c>
      <c r="CQ806" s="535" t="str">
        <f t="shared" si="2181"/>
        <v/>
      </c>
      <c r="CR806" s="535" t="str">
        <f t="shared" si="2182"/>
        <v/>
      </c>
      <c r="CS806" s="535" t="str">
        <f t="shared" si="2183"/>
        <v/>
      </c>
      <c r="CT806" s="535" t="str">
        <f t="shared" si="2184"/>
        <v/>
      </c>
      <c r="CU806" s="536" t="str">
        <f t="shared" si="2185"/>
        <v/>
      </c>
      <c r="CV806" s="536" t="str">
        <f t="shared" si="2186"/>
        <v/>
      </c>
      <c r="CW806" s="536" t="str">
        <f t="shared" si="2187"/>
        <v/>
      </c>
      <c r="CX806" s="535" t="str">
        <f t="shared" si="2188"/>
        <v/>
      </c>
      <c r="CY806" s="535" t="str">
        <f t="shared" si="2189"/>
        <v/>
      </c>
      <c r="CZ806" s="535" t="str">
        <f t="shared" si="2190"/>
        <v/>
      </c>
      <c r="DA806" s="535" t="str">
        <f t="shared" si="2191"/>
        <v/>
      </c>
      <c r="DB806" s="535" t="str">
        <f t="shared" si="2192"/>
        <v/>
      </c>
      <c r="DC806" s="534" t="str">
        <f t="shared" si="2193"/>
        <v/>
      </c>
      <c r="DD806" s="533" t="str">
        <f t="shared" si="2194"/>
        <v/>
      </c>
      <c r="DE806" s="635">
        <f t="shared" si="2195"/>
        <v>0</v>
      </c>
      <c r="DF806" s="95">
        <f t="shared" si="2196"/>
        <v>0</v>
      </c>
      <c r="DG806" s="95">
        <f t="shared" si="2197"/>
        <v>0</v>
      </c>
      <c r="DH806" s="95">
        <f t="shared" si="2198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1158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199"/>
        <v/>
      </c>
      <c r="CE809" s="989" t="str">
        <f t="shared" si="2205"/>
        <v/>
      </c>
      <c r="CF809" s="989" t="str">
        <f t="shared" si="2205"/>
        <v/>
      </c>
      <c r="CG809" s="989" t="str">
        <f t="shared" si="2205"/>
        <v/>
      </c>
      <c r="CH809" s="990" t="str">
        <f t="shared" si="2205"/>
        <v/>
      </c>
      <c r="CI809" s="990" t="str">
        <f t="shared" si="2205"/>
        <v/>
      </c>
      <c r="CJ809" s="989" t="str">
        <f t="shared" si="2205"/>
        <v/>
      </c>
      <c r="CK809" s="989" t="str">
        <f t="shared" si="2205"/>
        <v/>
      </c>
      <c r="CL809" s="989" t="str">
        <f t="shared" si="2205"/>
        <v/>
      </c>
      <c r="CM809" s="988" t="str">
        <f t="shared" si="2205"/>
        <v/>
      </c>
      <c r="CN809" s="533" t="str">
        <f t="shared" si="2178"/>
        <v/>
      </c>
      <c r="CO809" s="534" t="str">
        <f t="shared" si="2179"/>
        <v/>
      </c>
      <c r="CP809" s="535" t="str">
        <f t="shared" si="2180"/>
        <v/>
      </c>
      <c r="CQ809" s="535" t="str">
        <f t="shared" si="2181"/>
        <v/>
      </c>
      <c r="CR809" s="535" t="str">
        <f t="shared" si="2182"/>
        <v/>
      </c>
      <c r="CS809" s="535" t="str">
        <f t="shared" si="2183"/>
        <v/>
      </c>
      <c r="CT809" s="535" t="str">
        <f t="shared" si="2184"/>
        <v/>
      </c>
      <c r="CU809" s="536" t="str">
        <f t="shared" si="2185"/>
        <v/>
      </c>
      <c r="CV809" s="536" t="str">
        <f t="shared" si="2186"/>
        <v/>
      </c>
      <c r="CW809" s="536" t="str">
        <f t="shared" si="2187"/>
        <v/>
      </c>
      <c r="CX809" s="535" t="str">
        <f t="shared" si="2188"/>
        <v/>
      </c>
      <c r="CY809" s="535" t="str">
        <f t="shared" si="2189"/>
        <v/>
      </c>
      <c r="CZ809" s="535" t="str">
        <f t="shared" si="2190"/>
        <v/>
      </c>
      <c r="DA809" s="535" t="str">
        <f t="shared" si="2191"/>
        <v/>
      </c>
      <c r="DB809" s="535" t="str">
        <f t="shared" si="2192"/>
        <v/>
      </c>
      <c r="DC809" s="534" t="str">
        <f t="shared" si="2193"/>
        <v/>
      </c>
      <c r="DD809" s="533" t="str">
        <f t="shared" si="2194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1159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1000</v>
      </c>
      <c r="BW810" s="215">
        <v>3000</v>
      </c>
      <c r="BX810" s="215">
        <v>5000</v>
      </c>
      <c r="BY810" s="215"/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199"/>
        <v/>
      </c>
      <c r="CE810" s="989" t="str">
        <f t="shared" si="2205"/>
        <v/>
      </c>
      <c r="CF810" s="989" t="str">
        <f t="shared" si="2205"/>
        <v/>
      </c>
      <c r="CG810" s="989" t="str">
        <f t="shared" si="2205"/>
        <v/>
      </c>
      <c r="CH810" s="990" t="str">
        <f t="shared" si="2205"/>
        <v/>
      </c>
      <c r="CI810" s="990" t="str">
        <f t="shared" si="2205"/>
        <v/>
      </c>
      <c r="CJ810" s="989" t="str">
        <f t="shared" si="2205"/>
        <v/>
      </c>
      <c r="CK810" s="989" t="str">
        <f t="shared" si="2205"/>
        <v/>
      </c>
      <c r="CL810" s="989" t="str">
        <f t="shared" si="2205"/>
        <v/>
      </c>
      <c r="CM810" s="988" t="str">
        <f t="shared" si="2205"/>
        <v/>
      </c>
      <c r="CN810" s="533" t="str">
        <f t="shared" si="2178"/>
        <v/>
      </c>
      <c r="CO810" s="534" t="str">
        <f t="shared" si="2179"/>
        <v/>
      </c>
      <c r="CP810" s="535" t="str">
        <f t="shared" si="2180"/>
        <v/>
      </c>
      <c r="CQ810" s="535" t="str">
        <f t="shared" si="2181"/>
        <v/>
      </c>
      <c r="CR810" s="535" t="str">
        <f t="shared" si="2182"/>
        <v/>
      </c>
      <c r="CS810" s="535" t="str">
        <f t="shared" si="2183"/>
        <v/>
      </c>
      <c r="CT810" s="535" t="str">
        <f t="shared" si="2184"/>
        <v/>
      </c>
      <c r="CU810" s="536" t="str">
        <f t="shared" si="2185"/>
        <v/>
      </c>
      <c r="CV810" s="536" t="str">
        <f t="shared" si="2186"/>
        <v/>
      </c>
      <c r="CW810" s="536" t="str">
        <f t="shared" si="2187"/>
        <v/>
      </c>
      <c r="CX810" s="535" t="str">
        <f t="shared" si="2188"/>
        <v/>
      </c>
      <c r="CY810" s="535" t="str">
        <f t="shared" si="2189"/>
        <v/>
      </c>
      <c r="CZ810" s="535" t="str">
        <f t="shared" si="2190"/>
        <v/>
      </c>
      <c r="DA810" s="535" t="str">
        <f t="shared" si="2191"/>
        <v/>
      </c>
      <c r="DB810" s="535" t="str">
        <f t="shared" si="2192"/>
        <v/>
      </c>
      <c r="DC810" s="534" t="str">
        <f t="shared" si="2193"/>
        <v/>
      </c>
      <c r="DD810" s="533" t="str">
        <f t="shared" si="2194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810.07999999999811</v>
      </c>
      <c r="BW811" s="772">
        <f>BW20-BW31</f>
        <v>502.07999999999811</v>
      </c>
      <c r="BX811" s="772">
        <f>BX20-BX31</f>
        <v>2198.0800000000017</v>
      </c>
      <c r="BY811" s="772">
        <f>BY20-BY31</f>
        <v>0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206">SUM(B772:B776,B781:B785,B790:B811)</f>
        <v>0</v>
      </c>
      <c r="C812" s="773">
        <f t="shared" si="2206"/>
        <v>0</v>
      </c>
      <c r="D812" s="773">
        <f t="shared" si="2206"/>
        <v>0</v>
      </c>
      <c r="E812" s="773">
        <f t="shared" si="2206"/>
        <v>0</v>
      </c>
      <c r="F812" s="773">
        <f t="shared" si="2206"/>
        <v>0</v>
      </c>
      <c r="G812" s="773">
        <f t="shared" si="2206"/>
        <v>0</v>
      </c>
      <c r="H812" s="773">
        <f t="shared" si="2206"/>
        <v>0</v>
      </c>
      <c r="I812" s="773">
        <f t="shared" si="2206"/>
        <v>0</v>
      </c>
      <c r="J812" s="773">
        <f t="shared" si="2206"/>
        <v>0</v>
      </c>
      <c r="K812" s="773">
        <f t="shared" si="2206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207">SUM(T772:T776,T781:T785,T790:T811)</f>
        <v>0</v>
      </c>
      <c r="U812" s="773">
        <f t="shared" si="2207"/>
        <v>0</v>
      </c>
      <c r="V812" s="773">
        <f t="shared" si="2207"/>
        <v>0</v>
      </c>
      <c r="W812" s="773">
        <f t="shared" si="2207"/>
        <v>0</v>
      </c>
      <c r="X812" s="773">
        <f t="shared" si="2207"/>
        <v>0</v>
      </c>
      <c r="Y812" s="773">
        <f t="shared" si="2207"/>
        <v>0</v>
      </c>
      <c r="Z812" s="773">
        <f t="shared" si="2207"/>
        <v>0</v>
      </c>
      <c r="AA812" s="773">
        <f t="shared" si="2207"/>
        <v>0</v>
      </c>
      <c r="AB812" s="773">
        <f t="shared" si="2207"/>
        <v>0</v>
      </c>
      <c r="AC812" s="773">
        <f t="shared" si="2207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208">SUM(AL772:AL776,AL781:AL785,AL790:AL811)</f>
        <v>0</v>
      </c>
      <c r="AM812" s="773">
        <f t="shared" si="2208"/>
        <v>0</v>
      </c>
      <c r="AN812" s="773">
        <f t="shared" si="2208"/>
        <v>0</v>
      </c>
      <c r="AO812" s="773">
        <f>SUM(AO772:AO776,AO781:AO785,AO790:AO811)</f>
        <v>0</v>
      </c>
      <c r="AP812" s="773">
        <f t="shared" si="2208"/>
        <v>0</v>
      </c>
      <c r="AQ812" s="773">
        <f t="shared" si="2208"/>
        <v>0</v>
      </c>
      <c r="AR812" s="773">
        <f t="shared" si="2208"/>
        <v>0</v>
      </c>
      <c r="AS812" s="773">
        <f t="shared" si="2208"/>
        <v>0</v>
      </c>
      <c r="AT812" s="773">
        <f t="shared" si="2208"/>
        <v>0</v>
      </c>
      <c r="AU812" s="773">
        <f t="shared" si="2208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209">SUM(BD772:BD776,BD781:BD785,BD790:BD811)</f>
        <v>0</v>
      </c>
      <c r="BE812" s="773">
        <f t="shared" si="2209"/>
        <v>0</v>
      </c>
      <c r="BF812" s="773">
        <f t="shared" si="2209"/>
        <v>0</v>
      </c>
      <c r="BG812" s="773">
        <f t="shared" si="2209"/>
        <v>0</v>
      </c>
      <c r="BH812" s="773">
        <f t="shared" si="2209"/>
        <v>0</v>
      </c>
      <c r="BI812" s="773">
        <f t="shared" si="2209"/>
        <v>0</v>
      </c>
      <c r="BJ812" s="773">
        <f t="shared" si="2209"/>
        <v>0</v>
      </c>
      <c r="BK812" s="773">
        <f t="shared" si="2209"/>
        <v>0</v>
      </c>
      <c r="BL812" s="773">
        <f t="shared" si="2209"/>
        <v>0</v>
      </c>
      <c r="BM812" s="773">
        <f t="shared" si="2209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12604</v>
      </c>
      <c r="BW812" s="775">
        <f>SUM(BW772:BW776,BW781:BW785,BW790:BW810)</f>
        <v>17988</v>
      </c>
      <c r="BX812" s="775">
        <f>SUM(BX772:BX776,BX781:BX785,BX790:BX810)</f>
        <v>36736</v>
      </c>
      <c r="BY812" s="775">
        <f>SUM(BY772:BY776,BY781:BY785,BY790:BY810)</f>
        <v>0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21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210"/>
        <v>0</v>
      </c>
      <c r="CG812" s="989">
        <f t="shared" si="2210"/>
        <v>0</v>
      </c>
      <c r="CH812" s="990">
        <f t="shared" si="2210"/>
        <v>0</v>
      </c>
      <c r="CI812" s="990">
        <f t="shared" si="2210"/>
        <v>0</v>
      </c>
      <c r="CJ812" s="989">
        <f t="shared" si="2210"/>
        <v>0</v>
      </c>
      <c r="CK812" s="989">
        <f t="shared" si="2210"/>
        <v>0</v>
      </c>
      <c r="CL812" s="989">
        <f t="shared" si="2210"/>
        <v>0</v>
      </c>
      <c r="CM812" s="988">
        <f t="shared" si="2210"/>
        <v>0</v>
      </c>
      <c r="CN812" s="533" t="str">
        <f t="shared" ref="CN812:DD812" si="2211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211"/>
        <v/>
      </c>
      <c r="CP812" s="535" t="str">
        <f t="shared" si="2211"/>
        <v/>
      </c>
      <c r="CQ812" s="535" t="str">
        <f t="shared" si="2211"/>
        <v/>
      </c>
      <c r="CR812" s="535">
        <f t="shared" si="2211"/>
        <v>0</v>
      </c>
      <c r="CS812" s="535">
        <f t="shared" si="2211"/>
        <v>0</v>
      </c>
      <c r="CT812" s="535">
        <f t="shared" si="2211"/>
        <v>0</v>
      </c>
      <c r="CU812" s="536">
        <f t="shared" si="2211"/>
        <v>0</v>
      </c>
      <c r="CV812" s="536">
        <f t="shared" si="2211"/>
        <v>0</v>
      </c>
      <c r="CW812" s="536">
        <f t="shared" si="2211"/>
        <v>0</v>
      </c>
      <c r="CX812" s="535">
        <f t="shared" si="2211"/>
        <v>0</v>
      </c>
      <c r="CY812" s="535">
        <f t="shared" si="2211"/>
        <v>0</v>
      </c>
      <c r="CZ812" s="535">
        <f t="shared" si="2211"/>
        <v>0</v>
      </c>
      <c r="DA812" s="535">
        <f t="shared" si="2211"/>
        <v>0</v>
      </c>
      <c r="DB812" s="535" t="str">
        <f t="shared" si="2211"/>
        <v/>
      </c>
      <c r="DC812" s="534" t="str">
        <f t="shared" si="2211"/>
        <v/>
      </c>
      <c r="DD812" s="533" t="str">
        <f t="shared" si="2211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212">SUM(B89)</f>
        <v>0</v>
      </c>
      <c r="C820" s="779">
        <f t="shared" si="2212"/>
        <v>0</v>
      </c>
      <c r="D820" s="779">
        <f t="shared" si="2212"/>
        <v>0</v>
      </c>
      <c r="E820" s="779">
        <f t="shared" si="2212"/>
        <v>0</v>
      </c>
      <c r="F820" s="779">
        <f t="shared" si="2212"/>
        <v>0</v>
      </c>
      <c r="G820" s="779">
        <f t="shared" si="2212"/>
        <v>0</v>
      </c>
      <c r="H820" s="779">
        <f t="shared" si="2212"/>
        <v>0</v>
      </c>
      <c r="I820" s="779">
        <f t="shared" si="2212"/>
        <v>0</v>
      </c>
      <c r="J820" s="779">
        <f t="shared" si="2212"/>
        <v>0</v>
      </c>
      <c r="K820" s="779">
        <f t="shared" si="2212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213">SUM(T89)</f>
        <v>0</v>
      </c>
      <c r="U820" s="779">
        <f t="shared" si="2213"/>
        <v>0</v>
      </c>
      <c r="V820" s="779">
        <f t="shared" si="2213"/>
        <v>0</v>
      </c>
      <c r="W820" s="779">
        <f t="shared" si="2213"/>
        <v>0</v>
      </c>
      <c r="X820" s="779">
        <f t="shared" si="2213"/>
        <v>0</v>
      </c>
      <c r="Y820" s="779">
        <f t="shared" si="2213"/>
        <v>0</v>
      </c>
      <c r="Z820" s="779">
        <f t="shared" si="2213"/>
        <v>0</v>
      </c>
      <c r="AA820" s="779">
        <f t="shared" si="2213"/>
        <v>0</v>
      </c>
      <c r="AB820" s="779">
        <f t="shared" si="2213"/>
        <v>0</v>
      </c>
      <c r="AC820" s="779">
        <f t="shared" si="2213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214">SUM(AL89)</f>
        <v>0</v>
      </c>
      <c r="AM820" s="779">
        <f t="shared" si="2214"/>
        <v>0</v>
      </c>
      <c r="AN820" s="779">
        <f t="shared" si="2214"/>
        <v>0</v>
      </c>
      <c r="AO820" s="779">
        <f t="shared" si="2214"/>
        <v>0</v>
      </c>
      <c r="AP820" s="779">
        <f t="shared" si="2214"/>
        <v>0</v>
      </c>
      <c r="AQ820" s="779">
        <f t="shared" si="2214"/>
        <v>0</v>
      </c>
      <c r="AR820" s="779">
        <f t="shared" si="2214"/>
        <v>0</v>
      </c>
      <c r="AS820" s="779">
        <f t="shared" si="2214"/>
        <v>0</v>
      </c>
      <c r="AT820" s="779">
        <f t="shared" si="2214"/>
        <v>0</v>
      </c>
      <c r="AU820" s="779">
        <f t="shared" si="2214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215">SUM(BD89)</f>
        <v>0</v>
      </c>
      <c r="BE820" s="779">
        <f t="shared" si="2215"/>
        <v>0</v>
      </c>
      <c r="BF820" s="779">
        <f t="shared" si="2215"/>
        <v>0</v>
      </c>
      <c r="BG820" s="779">
        <f t="shared" si="2215"/>
        <v>0</v>
      </c>
      <c r="BH820" s="779">
        <f t="shared" si="2215"/>
        <v>0</v>
      </c>
      <c r="BI820" s="779">
        <f t="shared" si="2215"/>
        <v>0</v>
      </c>
      <c r="BJ820" s="779">
        <f t="shared" si="2215"/>
        <v>0</v>
      </c>
      <c r="BK820" s="779">
        <f t="shared" si="2215"/>
        <v>0</v>
      </c>
      <c r="BL820" s="779">
        <f t="shared" si="2215"/>
        <v>0</v>
      </c>
      <c r="BM820" s="779">
        <f t="shared" si="2215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216">SUM(BV89)</f>
        <v>0</v>
      </c>
      <c r="BW820" s="786">
        <f t="shared" si="2216"/>
        <v>0</v>
      </c>
      <c r="BX820" s="786">
        <f t="shared" si="2216"/>
        <v>0</v>
      </c>
      <c r="BY820" s="786">
        <f t="shared" si="2216"/>
        <v>0</v>
      </c>
      <c r="BZ820" s="607">
        <f t="shared" ref="BZ820:BZ828" si="2217">IF(DE820&lt;3,"",(SUM(B820:R820)-MIN(B820:R820)-MAX(B820:R820))/(DE820-2))</f>
        <v>0</v>
      </c>
      <c r="CA820" s="607">
        <f t="shared" ref="CA820:CA828" si="2218">IF(DF820&lt;3,"",(SUM(T820:AJ820)-MIN(T820:AJ820)-MAX(T820:AJ820))/(DF820-2))</f>
        <v>0</v>
      </c>
      <c r="CB820" s="607">
        <f t="shared" ref="CB820:CB828" si="2219">IF(DG820&lt;3,"",(SUM(AL820:BB820)-MIN(AL820:BB820)-MAX(AL820:BB820))/(DG820-2))</f>
        <v>0</v>
      </c>
      <c r="CC820" s="673">
        <f t="shared" ref="CC820:CC828" si="2220">IF(DH820&lt;3,"",(SUM(BD820:BT820)-MIN(BD820:BT820)-MAX(BD820:BT820))/(DH820-2))</f>
        <v>0</v>
      </c>
      <c r="CD820" s="991">
        <f t="shared" ref="CD820:CM820" si="222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221"/>
        <v>0</v>
      </c>
      <c r="CF820" s="992">
        <f t="shared" si="2221"/>
        <v>0</v>
      </c>
      <c r="CG820" s="992">
        <f t="shared" si="2221"/>
        <v>0</v>
      </c>
      <c r="CH820" s="993">
        <f t="shared" si="2221"/>
        <v>0</v>
      </c>
      <c r="CI820" s="993">
        <f t="shared" si="2221"/>
        <v>0</v>
      </c>
      <c r="CJ820" s="992">
        <f t="shared" si="2221"/>
        <v>0</v>
      </c>
      <c r="CK820" s="992">
        <f t="shared" si="2221"/>
        <v>0</v>
      </c>
      <c r="CL820" s="992">
        <f t="shared" si="2221"/>
        <v>0</v>
      </c>
      <c r="CM820" s="991">
        <f t="shared" si="2221"/>
        <v>0</v>
      </c>
      <c r="CN820" s="521" t="str">
        <f t="shared" ref="CN820:CN828" si="2222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2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2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2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2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2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2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2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2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2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2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2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2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2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2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2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2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239">COUNT(B820:R820)</f>
        <v>10</v>
      </c>
      <c r="DF820" s="95">
        <f t="shared" ref="DF820:DF828" si="2240">COUNT(T820:AJ820)</f>
        <v>10</v>
      </c>
      <c r="DG820" s="95">
        <f t="shared" ref="DG820:DG828" si="2241">COUNT(AL820:BB820)</f>
        <v>10</v>
      </c>
      <c r="DH820" s="95">
        <f t="shared" ref="DH820:DH828" si="2242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2243">SUM(B90)</f>
        <v>0</v>
      </c>
      <c r="C821" s="779">
        <f t="shared" si="2243"/>
        <v>0</v>
      </c>
      <c r="D821" s="779">
        <f t="shared" si="2243"/>
        <v>0</v>
      </c>
      <c r="E821" s="779">
        <f t="shared" si="2243"/>
        <v>0</v>
      </c>
      <c r="F821" s="779">
        <f t="shared" si="2243"/>
        <v>0</v>
      </c>
      <c r="G821" s="779">
        <f t="shared" si="2243"/>
        <v>0</v>
      </c>
      <c r="H821" s="779">
        <f t="shared" si="2243"/>
        <v>0</v>
      </c>
      <c r="I821" s="779">
        <f t="shared" si="2243"/>
        <v>0</v>
      </c>
      <c r="J821" s="779">
        <f t="shared" si="2243"/>
        <v>0</v>
      </c>
      <c r="K821" s="779">
        <f t="shared" si="2243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244">SUM(T90)</f>
        <v>0</v>
      </c>
      <c r="U821" s="779">
        <f t="shared" si="2244"/>
        <v>0</v>
      </c>
      <c r="V821" s="779">
        <f t="shared" si="2244"/>
        <v>0</v>
      </c>
      <c r="W821" s="779">
        <f t="shared" si="2244"/>
        <v>0</v>
      </c>
      <c r="X821" s="779">
        <f t="shared" si="2244"/>
        <v>0</v>
      </c>
      <c r="Y821" s="779">
        <f t="shared" si="2244"/>
        <v>0</v>
      </c>
      <c r="Z821" s="779">
        <f t="shared" si="2244"/>
        <v>0</v>
      </c>
      <c r="AA821" s="779">
        <f t="shared" si="2244"/>
        <v>0</v>
      </c>
      <c r="AB821" s="779">
        <f t="shared" si="2244"/>
        <v>0</v>
      </c>
      <c r="AC821" s="779">
        <f t="shared" si="2244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245">SUM(AL90)</f>
        <v>0</v>
      </c>
      <c r="AM821" s="779">
        <f t="shared" si="2245"/>
        <v>0</v>
      </c>
      <c r="AN821" s="779">
        <f t="shared" si="2245"/>
        <v>0</v>
      </c>
      <c r="AO821" s="779">
        <f t="shared" si="2245"/>
        <v>0</v>
      </c>
      <c r="AP821" s="779">
        <f t="shared" si="2245"/>
        <v>0</v>
      </c>
      <c r="AQ821" s="779">
        <f t="shared" si="2245"/>
        <v>0</v>
      </c>
      <c r="AR821" s="779">
        <f t="shared" si="2245"/>
        <v>0</v>
      </c>
      <c r="AS821" s="779">
        <f t="shared" si="2245"/>
        <v>0</v>
      </c>
      <c r="AT821" s="779">
        <f t="shared" si="2245"/>
        <v>0</v>
      </c>
      <c r="AU821" s="779">
        <f t="shared" si="2245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246">SUM(BD90)</f>
        <v>0</v>
      </c>
      <c r="BE821" s="779">
        <f t="shared" si="2246"/>
        <v>0</v>
      </c>
      <c r="BF821" s="779">
        <f t="shared" si="2246"/>
        <v>0</v>
      </c>
      <c r="BG821" s="779">
        <f t="shared" si="2246"/>
        <v>0</v>
      </c>
      <c r="BH821" s="779">
        <f t="shared" si="2246"/>
        <v>0</v>
      </c>
      <c r="BI821" s="779">
        <f t="shared" si="2246"/>
        <v>0</v>
      </c>
      <c r="BJ821" s="779">
        <f t="shared" si="2246"/>
        <v>0</v>
      </c>
      <c r="BK821" s="779">
        <f t="shared" si="2246"/>
        <v>0</v>
      </c>
      <c r="BL821" s="779">
        <f t="shared" si="2246"/>
        <v>0</v>
      </c>
      <c r="BM821" s="779">
        <f t="shared" si="2246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216"/>
        <v>0</v>
      </c>
      <c r="BW821" s="786">
        <f t="shared" si="2216"/>
        <v>0</v>
      </c>
      <c r="BX821" s="786">
        <f t="shared" si="2216"/>
        <v>0</v>
      </c>
      <c r="BY821" s="786">
        <f t="shared" si="2216"/>
        <v>0</v>
      </c>
      <c r="BZ821" s="607">
        <f t="shared" si="2217"/>
        <v>0</v>
      </c>
      <c r="CA821" s="607">
        <f t="shared" si="2218"/>
        <v>0</v>
      </c>
      <c r="CB821" s="607">
        <f t="shared" si="2219"/>
        <v>0</v>
      </c>
      <c r="CC821" s="673">
        <f t="shared" si="2220"/>
        <v>0</v>
      </c>
      <c r="CD821" s="991">
        <f t="shared" ref="CD821:CD828" si="22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2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248"/>
        <v>0</v>
      </c>
      <c r="CG821" s="992">
        <f t="shared" si="2248"/>
        <v>0</v>
      </c>
      <c r="CH821" s="993">
        <f t="shared" si="2248"/>
        <v>0</v>
      </c>
      <c r="CI821" s="993">
        <f t="shared" si="2248"/>
        <v>0</v>
      </c>
      <c r="CJ821" s="992">
        <f t="shared" si="2248"/>
        <v>0</v>
      </c>
      <c r="CK821" s="992">
        <f t="shared" si="2248"/>
        <v>0</v>
      </c>
      <c r="CL821" s="992">
        <f t="shared" si="2248"/>
        <v>0</v>
      </c>
      <c r="CM821" s="991">
        <f t="shared" si="2248"/>
        <v>0</v>
      </c>
      <c r="CN821" s="521" t="str">
        <f t="shared" si="2222"/>
        <v/>
      </c>
      <c r="CO821" s="522" t="str">
        <f t="shared" si="2223"/>
        <v/>
      </c>
      <c r="CP821" s="523" t="str">
        <f t="shared" si="2224"/>
        <v/>
      </c>
      <c r="CQ821" s="523" t="str">
        <f t="shared" si="2225"/>
        <v/>
      </c>
      <c r="CR821" s="523">
        <f t="shared" si="2226"/>
        <v>0</v>
      </c>
      <c r="CS821" s="523">
        <f t="shared" si="2227"/>
        <v>0</v>
      </c>
      <c r="CT821" s="523">
        <f t="shared" si="2228"/>
        <v>0</v>
      </c>
      <c r="CU821" s="524">
        <f t="shared" si="2229"/>
        <v>0</v>
      </c>
      <c r="CV821" s="524">
        <f t="shared" si="2230"/>
        <v>0</v>
      </c>
      <c r="CW821" s="524">
        <f t="shared" si="2231"/>
        <v>0</v>
      </c>
      <c r="CX821" s="523">
        <f t="shared" si="2232"/>
        <v>0</v>
      </c>
      <c r="CY821" s="523">
        <f t="shared" si="2233"/>
        <v>0</v>
      </c>
      <c r="CZ821" s="523">
        <f t="shared" si="2234"/>
        <v>0</v>
      </c>
      <c r="DA821" s="523">
        <f t="shared" si="2235"/>
        <v>0</v>
      </c>
      <c r="DB821" s="523" t="str">
        <f t="shared" si="2236"/>
        <v/>
      </c>
      <c r="DC821" s="522" t="str">
        <f t="shared" si="2237"/>
        <v/>
      </c>
      <c r="DD821" s="521" t="str">
        <f t="shared" si="2238"/>
        <v/>
      </c>
      <c r="DE821" s="635">
        <f t="shared" si="2239"/>
        <v>10</v>
      </c>
      <c r="DF821" s="95">
        <f t="shared" si="2240"/>
        <v>10</v>
      </c>
      <c r="DG821" s="95">
        <f t="shared" si="2241"/>
        <v>10</v>
      </c>
      <c r="DH821" s="95">
        <f t="shared" si="2242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2249">SUM(B116)</f>
        <v>0</v>
      </c>
      <c r="C822" s="779">
        <f t="shared" si="2249"/>
        <v>0</v>
      </c>
      <c r="D822" s="779">
        <f t="shared" si="2249"/>
        <v>0</v>
      </c>
      <c r="E822" s="779">
        <f t="shared" si="2249"/>
        <v>0</v>
      </c>
      <c r="F822" s="779">
        <f t="shared" si="2249"/>
        <v>0</v>
      </c>
      <c r="G822" s="779">
        <f t="shared" si="2249"/>
        <v>0</v>
      </c>
      <c r="H822" s="779">
        <f t="shared" si="2249"/>
        <v>0</v>
      </c>
      <c r="I822" s="779">
        <f t="shared" si="2249"/>
        <v>0</v>
      </c>
      <c r="J822" s="779">
        <f t="shared" si="2249"/>
        <v>0</v>
      </c>
      <c r="K822" s="779">
        <f t="shared" si="2249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250">SUM(T116)</f>
        <v>0</v>
      </c>
      <c r="U822" s="779">
        <f t="shared" si="2250"/>
        <v>0</v>
      </c>
      <c r="V822" s="779">
        <f t="shared" si="2250"/>
        <v>0</v>
      </c>
      <c r="W822" s="779">
        <f t="shared" si="2250"/>
        <v>0</v>
      </c>
      <c r="X822" s="779">
        <f t="shared" si="2250"/>
        <v>0</v>
      </c>
      <c r="Y822" s="779">
        <f t="shared" si="2250"/>
        <v>0</v>
      </c>
      <c r="Z822" s="779">
        <f t="shared" si="2250"/>
        <v>0</v>
      </c>
      <c r="AA822" s="779">
        <f t="shared" si="2250"/>
        <v>0</v>
      </c>
      <c r="AB822" s="779">
        <f t="shared" si="2250"/>
        <v>0</v>
      </c>
      <c r="AC822" s="779">
        <f t="shared" si="2250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251">SUM(AL116)</f>
        <v>0</v>
      </c>
      <c r="AM822" s="779">
        <f t="shared" si="2251"/>
        <v>0</v>
      </c>
      <c r="AN822" s="779">
        <f t="shared" si="2251"/>
        <v>0</v>
      </c>
      <c r="AO822" s="779">
        <f t="shared" si="2251"/>
        <v>0</v>
      </c>
      <c r="AP822" s="779">
        <f t="shared" si="2251"/>
        <v>0</v>
      </c>
      <c r="AQ822" s="779">
        <f t="shared" si="2251"/>
        <v>0</v>
      </c>
      <c r="AR822" s="779">
        <f t="shared" si="2251"/>
        <v>0</v>
      </c>
      <c r="AS822" s="779">
        <f t="shared" si="2251"/>
        <v>0</v>
      </c>
      <c r="AT822" s="779">
        <f t="shared" si="2251"/>
        <v>0</v>
      </c>
      <c r="AU822" s="779">
        <f t="shared" si="2251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252">SUM(BD116)</f>
        <v>0</v>
      </c>
      <c r="BE822" s="779">
        <f t="shared" si="2252"/>
        <v>0</v>
      </c>
      <c r="BF822" s="779">
        <f t="shared" si="2252"/>
        <v>0</v>
      </c>
      <c r="BG822" s="779">
        <f t="shared" si="2252"/>
        <v>0</v>
      </c>
      <c r="BH822" s="779">
        <f t="shared" si="2252"/>
        <v>0</v>
      </c>
      <c r="BI822" s="779">
        <f t="shared" si="2252"/>
        <v>0</v>
      </c>
      <c r="BJ822" s="779">
        <f t="shared" si="2252"/>
        <v>0</v>
      </c>
      <c r="BK822" s="779">
        <f t="shared" si="2252"/>
        <v>0</v>
      </c>
      <c r="BL822" s="779">
        <f t="shared" si="2252"/>
        <v>0</v>
      </c>
      <c r="BM822" s="779">
        <f t="shared" si="2252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253">SUM(BV116)</f>
        <v>0</v>
      </c>
      <c r="BW822" s="786">
        <f t="shared" si="2253"/>
        <v>0</v>
      </c>
      <c r="BX822" s="786">
        <f t="shared" si="2253"/>
        <v>0</v>
      </c>
      <c r="BY822" s="786">
        <f t="shared" si="2253"/>
        <v>0</v>
      </c>
      <c r="BZ822" s="607">
        <f t="shared" si="2217"/>
        <v>0</v>
      </c>
      <c r="CA822" s="607">
        <f t="shared" si="2218"/>
        <v>0</v>
      </c>
      <c r="CB822" s="607">
        <f t="shared" si="2219"/>
        <v>0</v>
      </c>
      <c r="CC822" s="673">
        <f t="shared" si="2220"/>
        <v>0</v>
      </c>
      <c r="CD822" s="991">
        <f t="shared" si="2247"/>
        <v>0</v>
      </c>
      <c r="CE822" s="992">
        <f t="shared" si="2248"/>
        <v>0</v>
      </c>
      <c r="CF822" s="992">
        <f t="shared" si="2248"/>
        <v>0</v>
      </c>
      <c r="CG822" s="992">
        <f t="shared" si="2248"/>
        <v>0</v>
      </c>
      <c r="CH822" s="993">
        <f t="shared" si="2248"/>
        <v>0</v>
      </c>
      <c r="CI822" s="993">
        <f t="shared" si="2248"/>
        <v>0</v>
      </c>
      <c r="CJ822" s="992">
        <f t="shared" si="2248"/>
        <v>0</v>
      </c>
      <c r="CK822" s="992">
        <f t="shared" si="2248"/>
        <v>0</v>
      </c>
      <c r="CL822" s="992">
        <f t="shared" si="2248"/>
        <v>0</v>
      </c>
      <c r="CM822" s="991">
        <f t="shared" si="2248"/>
        <v>0</v>
      </c>
      <c r="CN822" s="521" t="str">
        <f t="shared" si="2222"/>
        <v/>
      </c>
      <c r="CO822" s="522" t="str">
        <f t="shared" si="2223"/>
        <v/>
      </c>
      <c r="CP822" s="523" t="str">
        <f t="shared" si="2224"/>
        <v/>
      </c>
      <c r="CQ822" s="523" t="str">
        <f t="shared" si="2225"/>
        <v/>
      </c>
      <c r="CR822" s="523">
        <f t="shared" si="2226"/>
        <v>0</v>
      </c>
      <c r="CS822" s="523">
        <f t="shared" si="2227"/>
        <v>0</v>
      </c>
      <c r="CT822" s="523">
        <f t="shared" si="2228"/>
        <v>0</v>
      </c>
      <c r="CU822" s="524">
        <f t="shared" si="2229"/>
        <v>0</v>
      </c>
      <c r="CV822" s="524">
        <f t="shared" si="2230"/>
        <v>0</v>
      </c>
      <c r="CW822" s="524">
        <f t="shared" si="2231"/>
        <v>0</v>
      </c>
      <c r="CX822" s="523">
        <f t="shared" si="2232"/>
        <v>0</v>
      </c>
      <c r="CY822" s="523">
        <f t="shared" si="2233"/>
        <v>0</v>
      </c>
      <c r="CZ822" s="523">
        <f t="shared" si="2234"/>
        <v>0</v>
      </c>
      <c r="DA822" s="523">
        <f t="shared" si="2235"/>
        <v>0</v>
      </c>
      <c r="DB822" s="523" t="str">
        <f t="shared" si="2236"/>
        <v/>
      </c>
      <c r="DC822" s="522" t="str">
        <f t="shared" si="2237"/>
        <v/>
      </c>
      <c r="DD822" s="521" t="str">
        <f t="shared" si="2238"/>
        <v/>
      </c>
      <c r="DE822" s="635">
        <f t="shared" si="2239"/>
        <v>10</v>
      </c>
      <c r="DF822" s="95">
        <f t="shared" si="2240"/>
        <v>10</v>
      </c>
      <c r="DG822" s="95">
        <f t="shared" si="2241"/>
        <v>10</v>
      </c>
      <c r="DH822" s="95">
        <f t="shared" si="2242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2254">SUM(B117)</f>
        <v>0</v>
      </c>
      <c r="C823" s="779">
        <f t="shared" si="2254"/>
        <v>0</v>
      </c>
      <c r="D823" s="779">
        <f t="shared" si="2254"/>
        <v>0</v>
      </c>
      <c r="E823" s="779">
        <f t="shared" si="2254"/>
        <v>0</v>
      </c>
      <c r="F823" s="779">
        <f t="shared" si="2254"/>
        <v>0</v>
      </c>
      <c r="G823" s="779">
        <f t="shared" si="2254"/>
        <v>0</v>
      </c>
      <c r="H823" s="779">
        <f t="shared" si="2254"/>
        <v>0</v>
      </c>
      <c r="I823" s="779">
        <f t="shared" si="2254"/>
        <v>0</v>
      </c>
      <c r="J823" s="779">
        <f t="shared" si="2254"/>
        <v>0</v>
      </c>
      <c r="K823" s="779">
        <f t="shared" si="2254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255">SUM(T117)</f>
        <v>0</v>
      </c>
      <c r="U823" s="779">
        <f t="shared" si="2255"/>
        <v>0</v>
      </c>
      <c r="V823" s="779">
        <f t="shared" si="2255"/>
        <v>0</v>
      </c>
      <c r="W823" s="779">
        <f t="shared" si="2255"/>
        <v>0</v>
      </c>
      <c r="X823" s="779">
        <f t="shared" si="2255"/>
        <v>0</v>
      </c>
      <c r="Y823" s="779">
        <f t="shared" si="2255"/>
        <v>0</v>
      </c>
      <c r="Z823" s="779">
        <f t="shared" si="2255"/>
        <v>0</v>
      </c>
      <c r="AA823" s="779">
        <f t="shared" si="2255"/>
        <v>0</v>
      </c>
      <c r="AB823" s="779">
        <f t="shared" si="2255"/>
        <v>0</v>
      </c>
      <c r="AC823" s="779">
        <f t="shared" si="2255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256">SUM(AL117)</f>
        <v>0</v>
      </c>
      <c r="AM823" s="779">
        <f t="shared" si="2256"/>
        <v>0</v>
      </c>
      <c r="AN823" s="779">
        <f t="shared" si="2256"/>
        <v>0</v>
      </c>
      <c r="AO823" s="779">
        <f t="shared" si="2256"/>
        <v>0</v>
      </c>
      <c r="AP823" s="779">
        <f t="shared" si="2256"/>
        <v>0</v>
      </c>
      <c r="AQ823" s="779">
        <f t="shared" si="2256"/>
        <v>0</v>
      </c>
      <c r="AR823" s="779">
        <f t="shared" si="2256"/>
        <v>0</v>
      </c>
      <c r="AS823" s="779">
        <f t="shared" si="2256"/>
        <v>0</v>
      </c>
      <c r="AT823" s="779">
        <f t="shared" si="2256"/>
        <v>0</v>
      </c>
      <c r="AU823" s="779">
        <f t="shared" si="2256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252"/>
        <v>0</v>
      </c>
      <c r="BE823" s="779">
        <f t="shared" si="2252"/>
        <v>0</v>
      </c>
      <c r="BF823" s="779">
        <f t="shared" si="2252"/>
        <v>0</v>
      </c>
      <c r="BG823" s="779">
        <f t="shared" si="2252"/>
        <v>0</v>
      </c>
      <c r="BH823" s="779">
        <f t="shared" si="2252"/>
        <v>0</v>
      </c>
      <c r="BI823" s="779">
        <f t="shared" si="2252"/>
        <v>0</v>
      </c>
      <c r="BJ823" s="779">
        <f t="shared" si="2252"/>
        <v>0</v>
      </c>
      <c r="BK823" s="779">
        <f t="shared" si="2252"/>
        <v>0</v>
      </c>
      <c r="BL823" s="779">
        <f t="shared" si="2252"/>
        <v>0</v>
      </c>
      <c r="BM823" s="779">
        <f t="shared" si="2252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253"/>
        <v>0</v>
      </c>
      <c r="BW823" s="786">
        <f t="shared" si="2253"/>
        <v>0</v>
      </c>
      <c r="BX823" s="786">
        <f t="shared" si="2253"/>
        <v>0</v>
      </c>
      <c r="BY823" s="786">
        <f t="shared" si="2253"/>
        <v>0</v>
      </c>
      <c r="BZ823" s="607">
        <f t="shared" si="2217"/>
        <v>0</v>
      </c>
      <c r="CA823" s="607">
        <f t="shared" si="2218"/>
        <v>0</v>
      </c>
      <c r="CB823" s="607">
        <f t="shared" si="2219"/>
        <v>0</v>
      </c>
      <c r="CC823" s="673">
        <f t="shared" si="2220"/>
        <v>0</v>
      </c>
      <c r="CD823" s="991">
        <f t="shared" si="2247"/>
        <v>0</v>
      </c>
      <c r="CE823" s="992">
        <f t="shared" si="2248"/>
        <v>0</v>
      </c>
      <c r="CF823" s="992">
        <f t="shared" si="2248"/>
        <v>0</v>
      </c>
      <c r="CG823" s="992">
        <f t="shared" si="2248"/>
        <v>0</v>
      </c>
      <c r="CH823" s="993">
        <f t="shared" si="2248"/>
        <v>0</v>
      </c>
      <c r="CI823" s="993">
        <f t="shared" si="2248"/>
        <v>0</v>
      </c>
      <c r="CJ823" s="992">
        <f t="shared" si="2248"/>
        <v>0</v>
      </c>
      <c r="CK823" s="992">
        <f t="shared" si="2248"/>
        <v>0</v>
      </c>
      <c r="CL823" s="992">
        <f t="shared" si="2248"/>
        <v>0</v>
      </c>
      <c r="CM823" s="991">
        <f t="shared" si="2248"/>
        <v>0</v>
      </c>
      <c r="CN823" s="521" t="str">
        <f t="shared" si="2222"/>
        <v/>
      </c>
      <c r="CO823" s="522" t="str">
        <f t="shared" si="2223"/>
        <v/>
      </c>
      <c r="CP823" s="523" t="str">
        <f t="shared" si="2224"/>
        <v/>
      </c>
      <c r="CQ823" s="523" t="str">
        <f t="shared" si="2225"/>
        <v/>
      </c>
      <c r="CR823" s="523">
        <f t="shared" si="2226"/>
        <v>0</v>
      </c>
      <c r="CS823" s="523">
        <f t="shared" si="2227"/>
        <v>0</v>
      </c>
      <c r="CT823" s="523">
        <f t="shared" si="2228"/>
        <v>0</v>
      </c>
      <c r="CU823" s="524">
        <f t="shared" si="2229"/>
        <v>0</v>
      </c>
      <c r="CV823" s="524">
        <f t="shared" si="2230"/>
        <v>0</v>
      </c>
      <c r="CW823" s="524">
        <f t="shared" si="2231"/>
        <v>0</v>
      </c>
      <c r="CX823" s="523">
        <f t="shared" si="2232"/>
        <v>0</v>
      </c>
      <c r="CY823" s="523">
        <f t="shared" si="2233"/>
        <v>0</v>
      </c>
      <c r="CZ823" s="523">
        <f t="shared" si="2234"/>
        <v>0</v>
      </c>
      <c r="DA823" s="523">
        <f t="shared" si="2235"/>
        <v>0</v>
      </c>
      <c r="DB823" s="523" t="str">
        <f t="shared" si="2236"/>
        <v/>
      </c>
      <c r="DC823" s="522" t="str">
        <f t="shared" si="2237"/>
        <v/>
      </c>
      <c r="DD823" s="521" t="str">
        <f t="shared" si="2238"/>
        <v/>
      </c>
      <c r="DE823" s="635">
        <f t="shared" si="2239"/>
        <v>10</v>
      </c>
      <c r="DF823" s="95">
        <f t="shared" si="2240"/>
        <v>10</v>
      </c>
      <c r="DG823" s="95">
        <f t="shared" si="2241"/>
        <v>10</v>
      </c>
      <c r="DH823" s="95">
        <f t="shared" si="2242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2257">SUM(B144)</f>
        <v>0</v>
      </c>
      <c r="C824" s="779">
        <f t="shared" si="2257"/>
        <v>0</v>
      </c>
      <c r="D824" s="779">
        <f t="shared" si="2257"/>
        <v>0</v>
      </c>
      <c r="E824" s="779">
        <f t="shared" si="2257"/>
        <v>0</v>
      </c>
      <c r="F824" s="779">
        <f t="shared" si="2257"/>
        <v>0</v>
      </c>
      <c r="G824" s="779">
        <f t="shared" si="2257"/>
        <v>0</v>
      </c>
      <c r="H824" s="779">
        <f t="shared" si="2257"/>
        <v>0</v>
      </c>
      <c r="I824" s="779">
        <f t="shared" si="2257"/>
        <v>0</v>
      </c>
      <c r="J824" s="779">
        <f t="shared" si="2257"/>
        <v>0</v>
      </c>
      <c r="K824" s="779">
        <f t="shared" si="2257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2258">SUM(T144)</f>
        <v>0</v>
      </c>
      <c r="U824" s="779">
        <f t="shared" si="2258"/>
        <v>0</v>
      </c>
      <c r="V824" s="779">
        <f t="shared" si="2258"/>
        <v>0</v>
      </c>
      <c r="W824" s="779">
        <f t="shared" si="2258"/>
        <v>0</v>
      </c>
      <c r="X824" s="779">
        <f t="shared" si="2258"/>
        <v>0</v>
      </c>
      <c r="Y824" s="779">
        <f t="shared" si="2258"/>
        <v>0</v>
      </c>
      <c r="Z824" s="779">
        <f t="shared" si="2258"/>
        <v>0</v>
      </c>
      <c r="AA824" s="779">
        <f t="shared" si="2258"/>
        <v>0</v>
      </c>
      <c r="AB824" s="779">
        <f t="shared" si="2258"/>
        <v>0</v>
      </c>
      <c r="AC824" s="779">
        <f t="shared" si="2258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2259">SUM(AL144)</f>
        <v>0</v>
      </c>
      <c r="AM824" s="779">
        <f t="shared" si="2259"/>
        <v>0</v>
      </c>
      <c r="AN824" s="779">
        <f t="shared" si="2259"/>
        <v>0</v>
      </c>
      <c r="AO824" s="779">
        <f t="shared" si="2259"/>
        <v>0</v>
      </c>
      <c r="AP824" s="779">
        <f t="shared" si="2259"/>
        <v>0</v>
      </c>
      <c r="AQ824" s="779">
        <f t="shared" si="2259"/>
        <v>0</v>
      </c>
      <c r="AR824" s="779">
        <f t="shared" si="2259"/>
        <v>0</v>
      </c>
      <c r="AS824" s="779">
        <f t="shared" si="2259"/>
        <v>0</v>
      </c>
      <c r="AT824" s="779">
        <f t="shared" si="2259"/>
        <v>0</v>
      </c>
      <c r="AU824" s="779">
        <f t="shared" si="2259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2260">SUM(BD144)</f>
        <v>0</v>
      </c>
      <c r="BE824" s="779">
        <f t="shared" si="2260"/>
        <v>0</v>
      </c>
      <c r="BF824" s="779">
        <f t="shared" si="2260"/>
        <v>0</v>
      </c>
      <c r="BG824" s="779">
        <f t="shared" si="2260"/>
        <v>0</v>
      </c>
      <c r="BH824" s="779">
        <f t="shared" si="2260"/>
        <v>0</v>
      </c>
      <c r="BI824" s="779">
        <f t="shared" si="2260"/>
        <v>0</v>
      </c>
      <c r="BJ824" s="779">
        <f t="shared" si="2260"/>
        <v>0</v>
      </c>
      <c r="BK824" s="779">
        <f t="shared" si="2260"/>
        <v>0</v>
      </c>
      <c r="BL824" s="779">
        <f t="shared" si="2260"/>
        <v>0</v>
      </c>
      <c r="BM824" s="779">
        <f t="shared" si="2260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2261">SUM(BV144)</f>
        <v>0</v>
      </c>
      <c r="BW824" s="786">
        <f t="shared" si="2261"/>
        <v>0</v>
      </c>
      <c r="BX824" s="786">
        <f t="shared" si="2261"/>
        <v>0</v>
      </c>
      <c r="BY824" s="786">
        <f t="shared" si="2261"/>
        <v>0</v>
      </c>
      <c r="BZ824" s="607">
        <f t="shared" si="2217"/>
        <v>0</v>
      </c>
      <c r="CA824" s="607">
        <f t="shared" si="2218"/>
        <v>0</v>
      </c>
      <c r="CB824" s="607">
        <f t="shared" si="2219"/>
        <v>0</v>
      </c>
      <c r="CC824" s="673">
        <f t="shared" si="2220"/>
        <v>0</v>
      </c>
      <c r="CD824" s="991">
        <f t="shared" si="2247"/>
        <v>0</v>
      </c>
      <c r="CE824" s="992">
        <f t="shared" si="2248"/>
        <v>0</v>
      </c>
      <c r="CF824" s="992">
        <f t="shared" si="2248"/>
        <v>0</v>
      </c>
      <c r="CG824" s="992">
        <f t="shared" si="2248"/>
        <v>0</v>
      </c>
      <c r="CH824" s="993">
        <f t="shared" si="2248"/>
        <v>0</v>
      </c>
      <c r="CI824" s="993">
        <f t="shared" si="2248"/>
        <v>0</v>
      </c>
      <c r="CJ824" s="992">
        <f t="shared" si="2248"/>
        <v>0</v>
      </c>
      <c r="CK824" s="992">
        <f t="shared" si="2248"/>
        <v>0</v>
      </c>
      <c r="CL824" s="992">
        <f t="shared" si="2248"/>
        <v>0</v>
      </c>
      <c r="CM824" s="991">
        <f t="shared" si="2248"/>
        <v>0</v>
      </c>
      <c r="CN824" s="521" t="str">
        <f t="shared" si="2222"/>
        <v/>
      </c>
      <c r="CO824" s="522" t="str">
        <f t="shared" si="2223"/>
        <v/>
      </c>
      <c r="CP824" s="523" t="str">
        <f t="shared" si="2224"/>
        <v/>
      </c>
      <c r="CQ824" s="523" t="str">
        <f t="shared" si="2225"/>
        <v/>
      </c>
      <c r="CR824" s="523">
        <f t="shared" si="2226"/>
        <v>0</v>
      </c>
      <c r="CS824" s="523">
        <f t="shared" si="2227"/>
        <v>0</v>
      </c>
      <c r="CT824" s="523">
        <f t="shared" si="2228"/>
        <v>0</v>
      </c>
      <c r="CU824" s="524">
        <f t="shared" si="2229"/>
        <v>0</v>
      </c>
      <c r="CV824" s="524">
        <f t="shared" si="2230"/>
        <v>0</v>
      </c>
      <c r="CW824" s="524">
        <f t="shared" si="2231"/>
        <v>0</v>
      </c>
      <c r="CX824" s="523">
        <f t="shared" si="2232"/>
        <v>0</v>
      </c>
      <c r="CY824" s="523">
        <f t="shared" si="2233"/>
        <v>0</v>
      </c>
      <c r="CZ824" s="523">
        <f t="shared" si="2234"/>
        <v>0</v>
      </c>
      <c r="DA824" s="523">
        <f t="shared" si="2235"/>
        <v>0</v>
      </c>
      <c r="DB824" s="523" t="str">
        <f t="shared" si="2236"/>
        <v/>
      </c>
      <c r="DC824" s="522" t="str">
        <f t="shared" si="2237"/>
        <v/>
      </c>
      <c r="DD824" s="521" t="str">
        <f t="shared" si="2238"/>
        <v/>
      </c>
      <c r="DE824" s="635">
        <f t="shared" si="2239"/>
        <v>10</v>
      </c>
      <c r="DF824" s="95">
        <f t="shared" si="2240"/>
        <v>10</v>
      </c>
      <c r="DG824" s="95">
        <f t="shared" si="2241"/>
        <v>10</v>
      </c>
      <c r="DH824" s="95">
        <f t="shared" si="2242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2262">SUM(B145)</f>
        <v>0</v>
      </c>
      <c r="C825" s="779">
        <f t="shared" si="2262"/>
        <v>0</v>
      </c>
      <c r="D825" s="779">
        <f t="shared" si="2262"/>
        <v>0</v>
      </c>
      <c r="E825" s="779">
        <f t="shared" si="2262"/>
        <v>0</v>
      </c>
      <c r="F825" s="779">
        <f t="shared" si="2262"/>
        <v>0</v>
      </c>
      <c r="G825" s="779">
        <f t="shared" si="2262"/>
        <v>0</v>
      </c>
      <c r="H825" s="779">
        <f t="shared" si="2262"/>
        <v>0</v>
      </c>
      <c r="I825" s="779">
        <f t="shared" si="2262"/>
        <v>0</v>
      </c>
      <c r="J825" s="779">
        <f t="shared" si="2262"/>
        <v>0</v>
      </c>
      <c r="K825" s="779">
        <f t="shared" si="2262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2263">SUM(T145)</f>
        <v>0</v>
      </c>
      <c r="U825" s="779">
        <f t="shared" si="2263"/>
        <v>0</v>
      </c>
      <c r="V825" s="779">
        <f t="shared" si="2263"/>
        <v>0</v>
      </c>
      <c r="W825" s="779">
        <f t="shared" si="2263"/>
        <v>0</v>
      </c>
      <c r="X825" s="779">
        <f t="shared" si="2263"/>
        <v>0</v>
      </c>
      <c r="Y825" s="779">
        <f t="shared" si="2263"/>
        <v>0</v>
      </c>
      <c r="Z825" s="779">
        <f t="shared" si="2263"/>
        <v>0</v>
      </c>
      <c r="AA825" s="779">
        <f t="shared" si="2263"/>
        <v>0</v>
      </c>
      <c r="AB825" s="779">
        <f t="shared" si="2263"/>
        <v>0</v>
      </c>
      <c r="AC825" s="779">
        <f t="shared" si="2263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2264">SUM(AL145)</f>
        <v>0</v>
      </c>
      <c r="AM825" s="779">
        <f t="shared" si="2264"/>
        <v>0</v>
      </c>
      <c r="AN825" s="779">
        <f t="shared" si="2264"/>
        <v>0</v>
      </c>
      <c r="AO825" s="779">
        <f t="shared" si="2264"/>
        <v>0</v>
      </c>
      <c r="AP825" s="779">
        <f t="shared" si="2264"/>
        <v>0</v>
      </c>
      <c r="AQ825" s="779">
        <f t="shared" si="2264"/>
        <v>0</v>
      </c>
      <c r="AR825" s="779">
        <f t="shared" si="2264"/>
        <v>0</v>
      </c>
      <c r="AS825" s="779">
        <f t="shared" si="2264"/>
        <v>0</v>
      </c>
      <c r="AT825" s="779">
        <f t="shared" si="2264"/>
        <v>0</v>
      </c>
      <c r="AU825" s="779">
        <f t="shared" si="2264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2265">SUM(BD145)</f>
        <v>0</v>
      </c>
      <c r="BE825" s="779">
        <f t="shared" si="2265"/>
        <v>0</v>
      </c>
      <c r="BF825" s="779">
        <f t="shared" si="2265"/>
        <v>0</v>
      </c>
      <c r="BG825" s="779">
        <f t="shared" si="2265"/>
        <v>0</v>
      </c>
      <c r="BH825" s="779">
        <f t="shared" si="2265"/>
        <v>0</v>
      </c>
      <c r="BI825" s="779">
        <f t="shared" si="2265"/>
        <v>0</v>
      </c>
      <c r="BJ825" s="779">
        <f t="shared" si="2265"/>
        <v>0</v>
      </c>
      <c r="BK825" s="779">
        <f t="shared" si="2265"/>
        <v>0</v>
      </c>
      <c r="BL825" s="779">
        <f t="shared" si="2265"/>
        <v>0</v>
      </c>
      <c r="BM825" s="779">
        <f t="shared" si="2265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2261"/>
        <v>0</v>
      </c>
      <c r="BW825" s="786">
        <f t="shared" si="2261"/>
        <v>0</v>
      </c>
      <c r="BX825" s="786">
        <f t="shared" si="2261"/>
        <v>0</v>
      </c>
      <c r="BY825" s="786">
        <f t="shared" si="2261"/>
        <v>0</v>
      </c>
      <c r="BZ825" s="607">
        <f t="shared" si="2217"/>
        <v>0</v>
      </c>
      <c r="CA825" s="607">
        <f t="shared" si="2218"/>
        <v>0</v>
      </c>
      <c r="CB825" s="607">
        <f t="shared" si="2219"/>
        <v>0</v>
      </c>
      <c r="CC825" s="673">
        <f t="shared" si="2220"/>
        <v>0</v>
      </c>
      <c r="CD825" s="991">
        <f t="shared" si="2247"/>
        <v>0</v>
      </c>
      <c r="CE825" s="992">
        <f t="shared" si="2248"/>
        <v>0</v>
      </c>
      <c r="CF825" s="992">
        <f t="shared" si="2248"/>
        <v>0</v>
      </c>
      <c r="CG825" s="992">
        <f t="shared" si="2248"/>
        <v>0</v>
      </c>
      <c r="CH825" s="993">
        <f t="shared" si="2248"/>
        <v>0</v>
      </c>
      <c r="CI825" s="993">
        <f t="shared" si="2248"/>
        <v>0</v>
      </c>
      <c r="CJ825" s="992">
        <f t="shared" si="2248"/>
        <v>0</v>
      </c>
      <c r="CK825" s="992">
        <f t="shared" si="2248"/>
        <v>0</v>
      </c>
      <c r="CL825" s="992">
        <f t="shared" si="2248"/>
        <v>0</v>
      </c>
      <c r="CM825" s="991">
        <f t="shared" si="2248"/>
        <v>0</v>
      </c>
      <c r="CN825" s="521" t="str">
        <f t="shared" si="2222"/>
        <v/>
      </c>
      <c r="CO825" s="522" t="str">
        <f t="shared" si="2223"/>
        <v/>
      </c>
      <c r="CP825" s="523" t="str">
        <f t="shared" si="2224"/>
        <v/>
      </c>
      <c r="CQ825" s="523" t="str">
        <f t="shared" si="2225"/>
        <v/>
      </c>
      <c r="CR825" s="523">
        <f t="shared" si="2226"/>
        <v>0</v>
      </c>
      <c r="CS825" s="523">
        <f t="shared" si="2227"/>
        <v>0</v>
      </c>
      <c r="CT825" s="523">
        <f t="shared" si="2228"/>
        <v>0</v>
      </c>
      <c r="CU825" s="524">
        <f t="shared" si="2229"/>
        <v>0</v>
      </c>
      <c r="CV825" s="524">
        <f t="shared" si="2230"/>
        <v>0</v>
      </c>
      <c r="CW825" s="524">
        <f t="shared" si="2231"/>
        <v>0</v>
      </c>
      <c r="CX825" s="523">
        <f t="shared" si="2232"/>
        <v>0</v>
      </c>
      <c r="CY825" s="523">
        <f t="shared" si="2233"/>
        <v>0</v>
      </c>
      <c r="CZ825" s="523">
        <f t="shared" si="2234"/>
        <v>0</v>
      </c>
      <c r="DA825" s="523">
        <f t="shared" si="2235"/>
        <v>0</v>
      </c>
      <c r="DB825" s="523" t="str">
        <f t="shared" si="2236"/>
        <v/>
      </c>
      <c r="DC825" s="522" t="str">
        <f t="shared" si="2237"/>
        <v/>
      </c>
      <c r="DD825" s="521" t="str">
        <f t="shared" si="2238"/>
        <v/>
      </c>
      <c r="DE825" s="635">
        <f t="shared" si="2239"/>
        <v>10</v>
      </c>
      <c r="DF825" s="95">
        <f t="shared" si="2240"/>
        <v>10</v>
      </c>
      <c r="DG825" s="95">
        <f t="shared" si="2241"/>
        <v>10</v>
      </c>
      <c r="DH825" s="95">
        <f t="shared" si="2242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2266">SUM(B172)</f>
        <v>0</v>
      </c>
      <c r="C826" s="779">
        <f t="shared" si="2266"/>
        <v>0</v>
      </c>
      <c r="D826" s="779">
        <f t="shared" si="2266"/>
        <v>0</v>
      </c>
      <c r="E826" s="779">
        <f t="shared" si="2266"/>
        <v>0</v>
      </c>
      <c r="F826" s="779">
        <f t="shared" si="2266"/>
        <v>0</v>
      </c>
      <c r="G826" s="779">
        <f t="shared" si="2266"/>
        <v>0</v>
      </c>
      <c r="H826" s="779">
        <f t="shared" si="2266"/>
        <v>0</v>
      </c>
      <c r="I826" s="779">
        <f t="shared" si="2266"/>
        <v>0</v>
      </c>
      <c r="J826" s="779">
        <f t="shared" si="2266"/>
        <v>0</v>
      </c>
      <c r="K826" s="779">
        <f t="shared" si="2266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2267">SUM(T172)</f>
        <v>0</v>
      </c>
      <c r="U826" s="779">
        <f t="shared" si="2267"/>
        <v>0</v>
      </c>
      <c r="V826" s="779">
        <f t="shared" si="2267"/>
        <v>0</v>
      </c>
      <c r="W826" s="779">
        <f t="shared" si="2267"/>
        <v>0</v>
      </c>
      <c r="X826" s="779">
        <f t="shared" si="2267"/>
        <v>0</v>
      </c>
      <c r="Y826" s="779">
        <f t="shared" si="2267"/>
        <v>0</v>
      </c>
      <c r="Z826" s="779">
        <f t="shared" si="2267"/>
        <v>0</v>
      </c>
      <c r="AA826" s="779">
        <f t="shared" si="2267"/>
        <v>0</v>
      </c>
      <c r="AB826" s="779">
        <f t="shared" si="2267"/>
        <v>0</v>
      </c>
      <c r="AC826" s="779">
        <f t="shared" si="2267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2268">SUM(AL172)</f>
        <v>0</v>
      </c>
      <c r="AM826" s="779">
        <f t="shared" si="2268"/>
        <v>0</v>
      </c>
      <c r="AN826" s="779">
        <f t="shared" si="2268"/>
        <v>0</v>
      </c>
      <c r="AO826" s="779">
        <f t="shared" si="2268"/>
        <v>0</v>
      </c>
      <c r="AP826" s="779">
        <f t="shared" si="2268"/>
        <v>0</v>
      </c>
      <c r="AQ826" s="779">
        <f t="shared" si="2268"/>
        <v>0</v>
      </c>
      <c r="AR826" s="779">
        <f t="shared" si="2268"/>
        <v>0</v>
      </c>
      <c r="AS826" s="779">
        <f t="shared" si="2268"/>
        <v>0</v>
      </c>
      <c r="AT826" s="779">
        <f t="shared" si="2268"/>
        <v>0</v>
      </c>
      <c r="AU826" s="779">
        <f t="shared" si="2268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2269">SUM(BD172)</f>
        <v>0</v>
      </c>
      <c r="BE826" s="779">
        <f t="shared" si="2269"/>
        <v>0</v>
      </c>
      <c r="BF826" s="779">
        <f t="shared" si="2269"/>
        <v>0</v>
      </c>
      <c r="BG826" s="779">
        <f t="shared" si="2269"/>
        <v>0</v>
      </c>
      <c r="BH826" s="779">
        <f t="shared" si="2269"/>
        <v>0</v>
      </c>
      <c r="BI826" s="779">
        <f t="shared" si="2269"/>
        <v>0</v>
      </c>
      <c r="BJ826" s="779">
        <f t="shared" si="2269"/>
        <v>0</v>
      </c>
      <c r="BK826" s="779">
        <f t="shared" si="2269"/>
        <v>0</v>
      </c>
      <c r="BL826" s="779">
        <f t="shared" si="2269"/>
        <v>0</v>
      </c>
      <c r="BM826" s="779">
        <f t="shared" si="2269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2270">SUM(BV172)</f>
        <v>0</v>
      </c>
      <c r="BW826" s="786">
        <f t="shared" si="2270"/>
        <v>0</v>
      </c>
      <c r="BX826" s="786">
        <f t="shared" si="2270"/>
        <v>0</v>
      </c>
      <c r="BY826" s="786">
        <f t="shared" si="2270"/>
        <v>0</v>
      </c>
      <c r="BZ826" s="607">
        <f t="shared" si="2217"/>
        <v>0</v>
      </c>
      <c r="CA826" s="607">
        <f t="shared" si="2218"/>
        <v>0</v>
      </c>
      <c r="CB826" s="607">
        <f t="shared" si="2219"/>
        <v>0</v>
      </c>
      <c r="CC826" s="673">
        <f t="shared" si="2220"/>
        <v>0</v>
      </c>
      <c r="CD826" s="991">
        <f t="shared" si="2247"/>
        <v>0</v>
      </c>
      <c r="CE826" s="992">
        <f t="shared" si="2248"/>
        <v>0</v>
      </c>
      <c r="CF826" s="992">
        <f t="shared" si="2248"/>
        <v>0</v>
      </c>
      <c r="CG826" s="992">
        <f t="shared" si="2248"/>
        <v>0</v>
      </c>
      <c r="CH826" s="993">
        <f t="shared" si="2248"/>
        <v>0</v>
      </c>
      <c r="CI826" s="993">
        <f t="shared" si="2248"/>
        <v>0</v>
      </c>
      <c r="CJ826" s="992">
        <f t="shared" si="2248"/>
        <v>0</v>
      </c>
      <c r="CK826" s="992">
        <f t="shared" si="2248"/>
        <v>0</v>
      </c>
      <c r="CL826" s="992">
        <f t="shared" si="2248"/>
        <v>0</v>
      </c>
      <c r="CM826" s="991">
        <f t="shared" si="2248"/>
        <v>0</v>
      </c>
      <c r="CN826" s="521" t="str">
        <f t="shared" si="2222"/>
        <v/>
      </c>
      <c r="CO826" s="522" t="str">
        <f t="shared" si="2223"/>
        <v/>
      </c>
      <c r="CP826" s="523" t="str">
        <f t="shared" si="2224"/>
        <v/>
      </c>
      <c r="CQ826" s="523" t="str">
        <f t="shared" si="2225"/>
        <v/>
      </c>
      <c r="CR826" s="523">
        <f t="shared" si="2226"/>
        <v>0</v>
      </c>
      <c r="CS826" s="523">
        <f t="shared" si="2227"/>
        <v>0</v>
      </c>
      <c r="CT826" s="523">
        <f t="shared" si="2228"/>
        <v>0</v>
      </c>
      <c r="CU826" s="524">
        <f t="shared" si="2229"/>
        <v>0</v>
      </c>
      <c r="CV826" s="524">
        <f t="shared" si="2230"/>
        <v>0</v>
      </c>
      <c r="CW826" s="524">
        <f t="shared" si="2231"/>
        <v>0</v>
      </c>
      <c r="CX826" s="523">
        <f t="shared" si="2232"/>
        <v>0</v>
      </c>
      <c r="CY826" s="523">
        <f t="shared" si="2233"/>
        <v>0</v>
      </c>
      <c r="CZ826" s="523">
        <f t="shared" si="2234"/>
        <v>0</v>
      </c>
      <c r="DA826" s="523">
        <f t="shared" si="2235"/>
        <v>0</v>
      </c>
      <c r="DB826" s="523" t="str">
        <f t="shared" si="2236"/>
        <v/>
      </c>
      <c r="DC826" s="522" t="str">
        <f t="shared" si="2237"/>
        <v/>
      </c>
      <c r="DD826" s="521" t="str">
        <f t="shared" si="2238"/>
        <v/>
      </c>
      <c r="DE826" s="635">
        <f t="shared" si="2239"/>
        <v>10</v>
      </c>
      <c r="DF826" s="95">
        <f t="shared" si="2240"/>
        <v>10</v>
      </c>
      <c r="DG826" s="95">
        <f t="shared" si="2241"/>
        <v>10</v>
      </c>
      <c r="DH826" s="95">
        <f t="shared" si="2242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2271">SUM(B173)</f>
        <v>0</v>
      </c>
      <c r="C827" s="779">
        <f t="shared" si="2271"/>
        <v>0</v>
      </c>
      <c r="D827" s="779">
        <f t="shared" si="2271"/>
        <v>0</v>
      </c>
      <c r="E827" s="779">
        <f t="shared" si="2271"/>
        <v>0</v>
      </c>
      <c r="F827" s="779">
        <f t="shared" si="2271"/>
        <v>0</v>
      </c>
      <c r="G827" s="779">
        <f t="shared" si="2271"/>
        <v>0</v>
      </c>
      <c r="H827" s="779">
        <f t="shared" si="2271"/>
        <v>0</v>
      </c>
      <c r="I827" s="779">
        <f t="shared" si="2271"/>
        <v>0</v>
      </c>
      <c r="J827" s="779">
        <f t="shared" si="2271"/>
        <v>0</v>
      </c>
      <c r="K827" s="779">
        <f t="shared" si="2271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2272">SUM(T173)</f>
        <v>0</v>
      </c>
      <c r="U827" s="779">
        <f t="shared" si="2272"/>
        <v>0</v>
      </c>
      <c r="V827" s="779">
        <f t="shared" si="2272"/>
        <v>0</v>
      </c>
      <c r="W827" s="779">
        <f t="shared" si="2272"/>
        <v>0</v>
      </c>
      <c r="X827" s="779">
        <f t="shared" si="2272"/>
        <v>0</v>
      </c>
      <c r="Y827" s="779">
        <f t="shared" si="2272"/>
        <v>0</v>
      </c>
      <c r="Z827" s="779">
        <f t="shared" si="2272"/>
        <v>0</v>
      </c>
      <c r="AA827" s="779">
        <f t="shared" si="2272"/>
        <v>0</v>
      </c>
      <c r="AB827" s="779">
        <f t="shared" si="2272"/>
        <v>0</v>
      </c>
      <c r="AC827" s="779">
        <f t="shared" si="2272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2273">SUM(AL173)</f>
        <v>0</v>
      </c>
      <c r="AM827" s="779">
        <f t="shared" si="2273"/>
        <v>0</v>
      </c>
      <c r="AN827" s="779">
        <f t="shared" si="2273"/>
        <v>0</v>
      </c>
      <c r="AO827" s="779">
        <f t="shared" si="2273"/>
        <v>0</v>
      </c>
      <c r="AP827" s="779">
        <f t="shared" si="2273"/>
        <v>0</v>
      </c>
      <c r="AQ827" s="779">
        <f t="shared" si="2273"/>
        <v>0</v>
      </c>
      <c r="AR827" s="779">
        <f t="shared" si="2273"/>
        <v>0</v>
      </c>
      <c r="AS827" s="779">
        <f t="shared" si="2273"/>
        <v>0</v>
      </c>
      <c r="AT827" s="779">
        <f t="shared" si="2273"/>
        <v>0</v>
      </c>
      <c r="AU827" s="779">
        <f t="shared" si="2273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2269"/>
        <v>0</v>
      </c>
      <c r="BE827" s="779">
        <f t="shared" si="2269"/>
        <v>0</v>
      </c>
      <c r="BF827" s="779">
        <f t="shared" si="2269"/>
        <v>0</v>
      </c>
      <c r="BG827" s="779">
        <f t="shared" si="2269"/>
        <v>0</v>
      </c>
      <c r="BH827" s="779">
        <f t="shared" si="2269"/>
        <v>0</v>
      </c>
      <c r="BI827" s="779">
        <f t="shared" si="2269"/>
        <v>0</v>
      </c>
      <c r="BJ827" s="779">
        <f t="shared" si="2269"/>
        <v>0</v>
      </c>
      <c r="BK827" s="779">
        <f t="shared" si="2269"/>
        <v>0</v>
      </c>
      <c r="BL827" s="779">
        <f t="shared" si="2269"/>
        <v>0</v>
      </c>
      <c r="BM827" s="779">
        <f t="shared" si="2269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2270"/>
        <v>0</v>
      </c>
      <c r="BW827" s="786">
        <f t="shared" si="2270"/>
        <v>0</v>
      </c>
      <c r="BX827" s="786">
        <f t="shared" si="2270"/>
        <v>0</v>
      </c>
      <c r="BY827" s="786">
        <f t="shared" si="2270"/>
        <v>0</v>
      </c>
      <c r="BZ827" s="607">
        <f t="shared" si="2217"/>
        <v>0</v>
      </c>
      <c r="CA827" s="607">
        <f t="shared" si="2218"/>
        <v>0</v>
      </c>
      <c r="CB827" s="607">
        <f t="shared" si="2219"/>
        <v>0</v>
      </c>
      <c r="CC827" s="673">
        <f t="shared" si="2220"/>
        <v>0</v>
      </c>
      <c r="CD827" s="991">
        <f t="shared" si="2247"/>
        <v>0</v>
      </c>
      <c r="CE827" s="992">
        <f t="shared" si="2248"/>
        <v>0</v>
      </c>
      <c r="CF827" s="992">
        <f t="shared" si="2248"/>
        <v>0</v>
      </c>
      <c r="CG827" s="992">
        <f t="shared" si="2248"/>
        <v>0</v>
      </c>
      <c r="CH827" s="993">
        <f t="shared" si="2248"/>
        <v>0</v>
      </c>
      <c r="CI827" s="993">
        <f t="shared" si="2248"/>
        <v>0</v>
      </c>
      <c r="CJ827" s="992">
        <f t="shared" si="2248"/>
        <v>0</v>
      </c>
      <c r="CK827" s="992">
        <f t="shared" si="2248"/>
        <v>0</v>
      </c>
      <c r="CL827" s="992">
        <f t="shared" si="2248"/>
        <v>0</v>
      </c>
      <c r="CM827" s="991">
        <f t="shared" si="2248"/>
        <v>0</v>
      </c>
      <c r="CN827" s="521" t="str">
        <f t="shared" si="2222"/>
        <v/>
      </c>
      <c r="CO827" s="522" t="str">
        <f t="shared" si="2223"/>
        <v/>
      </c>
      <c r="CP827" s="523" t="str">
        <f t="shared" si="2224"/>
        <v/>
      </c>
      <c r="CQ827" s="523" t="str">
        <f t="shared" si="2225"/>
        <v/>
      </c>
      <c r="CR827" s="523">
        <f t="shared" si="2226"/>
        <v>0</v>
      </c>
      <c r="CS827" s="523">
        <f t="shared" si="2227"/>
        <v>0</v>
      </c>
      <c r="CT827" s="523">
        <f t="shared" si="2228"/>
        <v>0</v>
      </c>
      <c r="CU827" s="524">
        <f t="shared" si="2229"/>
        <v>0</v>
      </c>
      <c r="CV827" s="524">
        <f t="shared" si="2230"/>
        <v>0</v>
      </c>
      <c r="CW827" s="524">
        <f t="shared" si="2231"/>
        <v>0</v>
      </c>
      <c r="CX827" s="523">
        <f t="shared" si="2232"/>
        <v>0</v>
      </c>
      <c r="CY827" s="523">
        <f t="shared" si="2233"/>
        <v>0</v>
      </c>
      <c r="CZ827" s="523">
        <f t="shared" si="2234"/>
        <v>0</v>
      </c>
      <c r="DA827" s="523">
        <f t="shared" si="2235"/>
        <v>0</v>
      </c>
      <c r="DB827" s="523" t="str">
        <f t="shared" si="2236"/>
        <v/>
      </c>
      <c r="DC827" s="522" t="str">
        <f t="shared" si="2237"/>
        <v/>
      </c>
      <c r="DD827" s="521" t="str">
        <f t="shared" si="2238"/>
        <v/>
      </c>
      <c r="DE827" s="635">
        <f t="shared" si="2239"/>
        <v>10</v>
      </c>
      <c r="DF827" s="95">
        <f t="shared" si="2240"/>
        <v>10</v>
      </c>
      <c r="DG827" s="95">
        <f t="shared" si="2241"/>
        <v>10</v>
      </c>
      <c r="DH827" s="95">
        <f t="shared" si="2242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2274">SUM(B183,B180,B177)</f>
        <v>#VALUE!</v>
      </c>
      <c r="C828" s="779" t="e">
        <f t="shared" si="2274"/>
        <v>#VALUE!</v>
      </c>
      <c r="D828" s="779" t="e">
        <f t="shared" si="2274"/>
        <v>#VALUE!</v>
      </c>
      <c r="E828" s="779" t="e">
        <f t="shared" si="2274"/>
        <v>#VALUE!</v>
      </c>
      <c r="F828" s="779" t="e">
        <f t="shared" si="2274"/>
        <v>#VALUE!</v>
      </c>
      <c r="G828" s="779" t="e">
        <f t="shared" si="2274"/>
        <v>#VALUE!</v>
      </c>
      <c r="H828" s="779" t="e">
        <f t="shared" si="2274"/>
        <v>#VALUE!</v>
      </c>
      <c r="I828" s="779" t="e">
        <f t="shared" si="2274"/>
        <v>#VALUE!</v>
      </c>
      <c r="J828" s="779" t="e">
        <f t="shared" si="2274"/>
        <v>#VALUE!</v>
      </c>
      <c r="K828" s="779" t="e">
        <f t="shared" si="2274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2275">SUM(T183,T180,T177)</f>
        <v>#VALUE!</v>
      </c>
      <c r="U828" s="779" t="e">
        <f t="shared" si="2275"/>
        <v>#VALUE!</v>
      </c>
      <c r="V828" s="779" t="e">
        <f t="shared" si="2275"/>
        <v>#VALUE!</v>
      </c>
      <c r="W828" s="779" t="e">
        <f t="shared" si="2275"/>
        <v>#VALUE!</v>
      </c>
      <c r="X828" s="779" t="e">
        <f t="shared" si="2275"/>
        <v>#VALUE!</v>
      </c>
      <c r="Y828" s="779" t="e">
        <f t="shared" si="2275"/>
        <v>#VALUE!</v>
      </c>
      <c r="Z828" s="779" t="e">
        <f t="shared" si="2275"/>
        <v>#VALUE!</v>
      </c>
      <c r="AA828" s="779" t="e">
        <f t="shared" si="2275"/>
        <v>#VALUE!</v>
      </c>
      <c r="AB828" s="779" t="e">
        <f t="shared" si="2275"/>
        <v>#VALUE!</v>
      </c>
      <c r="AC828" s="779" t="e">
        <f t="shared" si="2275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2276">SUM(AL183,AL180,AL177)</f>
        <v>#VALUE!</v>
      </c>
      <c r="AM828" s="779" t="e">
        <f t="shared" si="2276"/>
        <v>#VALUE!</v>
      </c>
      <c r="AN828" s="779" t="e">
        <f t="shared" si="2276"/>
        <v>#VALUE!</v>
      </c>
      <c r="AO828" s="779" t="e">
        <f t="shared" si="2276"/>
        <v>#VALUE!</v>
      </c>
      <c r="AP828" s="779" t="e">
        <f t="shared" si="2276"/>
        <v>#VALUE!</v>
      </c>
      <c r="AQ828" s="779" t="e">
        <f t="shared" si="2276"/>
        <v>#VALUE!</v>
      </c>
      <c r="AR828" s="779" t="e">
        <f t="shared" si="2276"/>
        <v>#VALUE!</v>
      </c>
      <c r="AS828" s="779" t="e">
        <f t="shared" si="2276"/>
        <v>#VALUE!</v>
      </c>
      <c r="AT828" s="779" t="e">
        <f t="shared" si="2276"/>
        <v>#VALUE!</v>
      </c>
      <c r="AU828" s="779" t="e">
        <f t="shared" si="2276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2277">SUM(BD183,BD180,BD177)</f>
        <v>#VALUE!</v>
      </c>
      <c r="BE828" s="779" t="e">
        <f t="shared" si="2277"/>
        <v>#VALUE!</v>
      </c>
      <c r="BF828" s="779" t="e">
        <f t="shared" si="2277"/>
        <v>#VALUE!</v>
      </c>
      <c r="BG828" s="779" t="e">
        <f t="shared" si="2277"/>
        <v>#VALUE!</v>
      </c>
      <c r="BH828" s="779" t="e">
        <f t="shared" si="2277"/>
        <v>#VALUE!</v>
      </c>
      <c r="BI828" s="779" t="e">
        <f t="shared" si="2277"/>
        <v>#VALUE!</v>
      </c>
      <c r="BJ828" s="779" t="e">
        <f t="shared" si="2277"/>
        <v>#VALUE!</v>
      </c>
      <c r="BK828" s="779" t="e">
        <f t="shared" si="2277"/>
        <v>#VALUE!</v>
      </c>
      <c r="BL828" s="779" t="e">
        <f t="shared" si="2277"/>
        <v>#VALUE!</v>
      </c>
      <c r="BM828" s="779" t="e">
        <f t="shared" si="2277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217"/>
        <v/>
      </c>
      <c r="CA828" s="607" t="str">
        <f t="shared" si="2218"/>
        <v/>
      </c>
      <c r="CB828" s="607" t="str">
        <f t="shared" si="2219"/>
        <v/>
      </c>
      <c r="CC828" s="673" t="str">
        <f t="shared" si="2220"/>
        <v/>
      </c>
      <c r="CD828" s="991" t="str">
        <f t="shared" si="2247"/>
        <v/>
      </c>
      <c r="CE828" s="992" t="str">
        <f t="shared" si="2248"/>
        <v/>
      </c>
      <c r="CF828" s="992" t="str">
        <f t="shared" si="2248"/>
        <v/>
      </c>
      <c r="CG828" s="992" t="str">
        <f t="shared" si="2248"/>
        <v/>
      </c>
      <c r="CH828" s="993" t="str">
        <f t="shared" si="2248"/>
        <v/>
      </c>
      <c r="CI828" s="993" t="str">
        <f t="shared" si="2248"/>
        <v/>
      </c>
      <c r="CJ828" s="992" t="str">
        <f t="shared" si="2248"/>
        <v/>
      </c>
      <c r="CK828" s="992" t="str">
        <f t="shared" si="2248"/>
        <v/>
      </c>
      <c r="CL828" s="992" t="str">
        <f t="shared" si="2248"/>
        <v/>
      </c>
      <c r="CM828" s="991" t="str">
        <f t="shared" si="2248"/>
        <v/>
      </c>
      <c r="CN828" s="521" t="str">
        <f t="shared" si="2222"/>
        <v/>
      </c>
      <c r="CO828" s="522" t="str">
        <f t="shared" si="2223"/>
        <v/>
      </c>
      <c r="CP828" s="523" t="str">
        <f t="shared" si="2224"/>
        <v/>
      </c>
      <c r="CQ828" s="523" t="str">
        <f t="shared" si="2225"/>
        <v/>
      </c>
      <c r="CR828" s="523" t="str">
        <f t="shared" si="2226"/>
        <v/>
      </c>
      <c r="CS828" s="523" t="str">
        <f t="shared" si="2227"/>
        <v/>
      </c>
      <c r="CT828" s="523" t="str">
        <f t="shared" si="2228"/>
        <v/>
      </c>
      <c r="CU828" s="524" t="str">
        <f t="shared" si="2229"/>
        <v/>
      </c>
      <c r="CV828" s="524" t="str">
        <f t="shared" si="2230"/>
        <v/>
      </c>
      <c r="CW828" s="524" t="str">
        <f t="shared" si="2231"/>
        <v/>
      </c>
      <c r="CX828" s="523" t="str">
        <f t="shared" si="2232"/>
        <v/>
      </c>
      <c r="CY828" s="523" t="str">
        <f t="shared" si="2233"/>
        <v/>
      </c>
      <c r="CZ828" s="523" t="str">
        <f t="shared" si="2234"/>
        <v/>
      </c>
      <c r="DA828" s="523" t="str">
        <f t="shared" si="2235"/>
        <v/>
      </c>
      <c r="DB828" s="523" t="str">
        <f t="shared" si="2236"/>
        <v/>
      </c>
      <c r="DC828" s="522" t="str">
        <f t="shared" si="2237"/>
        <v/>
      </c>
      <c r="DD828" s="521" t="str">
        <f t="shared" si="2238"/>
        <v/>
      </c>
      <c r="DE828" s="635">
        <f t="shared" si="2239"/>
        <v>0</v>
      </c>
      <c r="DF828" s="95">
        <f t="shared" si="2240"/>
        <v>0</v>
      </c>
      <c r="DG828" s="95">
        <f t="shared" si="2241"/>
        <v>0</v>
      </c>
      <c r="DH828" s="95">
        <f t="shared" si="2242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2278">SUM(B230)</f>
        <v>0</v>
      </c>
      <c r="C830" s="786">
        <f t="shared" si="2278"/>
        <v>0</v>
      </c>
      <c r="D830" s="786">
        <f t="shared" si="2278"/>
        <v>0</v>
      </c>
      <c r="E830" s="786">
        <f t="shared" si="2278"/>
        <v>0</v>
      </c>
      <c r="F830" s="786">
        <f t="shared" si="2278"/>
        <v>0</v>
      </c>
      <c r="G830" s="786">
        <f t="shared" si="2278"/>
        <v>0</v>
      </c>
      <c r="H830" s="786">
        <f t="shared" si="2278"/>
        <v>0</v>
      </c>
      <c r="I830" s="786">
        <f t="shared" si="2278"/>
        <v>0</v>
      </c>
      <c r="J830" s="786">
        <f t="shared" si="2278"/>
        <v>0</v>
      </c>
      <c r="K830" s="786">
        <f t="shared" si="2278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2279">SUM(T230)</f>
        <v>0</v>
      </c>
      <c r="U830" s="786">
        <f t="shared" si="2279"/>
        <v>0</v>
      </c>
      <c r="V830" s="786">
        <f t="shared" si="2279"/>
        <v>0</v>
      </c>
      <c r="W830" s="786">
        <f t="shared" si="2279"/>
        <v>0</v>
      </c>
      <c r="X830" s="786">
        <f t="shared" si="2279"/>
        <v>0</v>
      </c>
      <c r="Y830" s="786">
        <f t="shared" si="2279"/>
        <v>0</v>
      </c>
      <c r="Z830" s="786">
        <f t="shared" si="2279"/>
        <v>0</v>
      </c>
      <c r="AA830" s="786">
        <f t="shared" si="2279"/>
        <v>0</v>
      </c>
      <c r="AB830" s="786">
        <f t="shared" si="2279"/>
        <v>0</v>
      </c>
      <c r="AC830" s="786">
        <f t="shared" si="2279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2280">SUM(AL230)</f>
        <v>0</v>
      </c>
      <c r="AM830" s="786">
        <f t="shared" si="2280"/>
        <v>0</v>
      </c>
      <c r="AN830" s="786">
        <f t="shared" si="2280"/>
        <v>0</v>
      </c>
      <c r="AO830" s="786">
        <f t="shared" si="2280"/>
        <v>0</v>
      </c>
      <c r="AP830" s="786">
        <f t="shared" si="2280"/>
        <v>0</v>
      </c>
      <c r="AQ830" s="786">
        <f t="shared" si="2280"/>
        <v>0</v>
      </c>
      <c r="AR830" s="786">
        <f t="shared" si="2280"/>
        <v>0</v>
      </c>
      <c r="AS830" s="786">
        <f t="shared" si="2280"/>
        <v>0</v>
      </c>
      <c r="AT830" s="786">
        <f t="shared" si="2280"/>
        <v>0</v>
      </c>
      <c r="AU830" s="786">
        <f t="shared" si="2280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2281">SUM(BD230)</f>
        <v>0</v>
      </c>
      <c r="BE830" s="786">
        <f t="shared" si="2281"/>
        <v>0</v>
      </c>
      <c r="BF830" s="786">
        <f t="shared" si="2281"/>
        <v>0</v>
      </c>
      <c r="BG830" s="786">
        <f t="shared" si="2281"/>
        <v>0</v>
      </c>
      <c r="BH830" s="786">
        <f t="shared" si="2281"/>
        <v>0</v>
      </c>
      <c r="BI830" s="786">
        <f t="shared" si="2281"/>
        <v>0</v>
      </c>
      <c r="BJ830" s="786">
        <f t="shared" si="2281"/>
        <v>0</v>
      </c>
      <c r="BK830" s="786">
        <f t="shared" si="2281"/>
        <v>0</v>
      </c>
      <c r="BL830" s="786">
        <f t="shared" si="2281"/>
        <v>0</v>
      </c>
      <c r="BM830" s="786">
        <f t="shared" si="2281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2282">IF(DE830&lt;3,"",(SUM(B830:R830)-MIN(B830:R830)-MAX(B830:R830))/(DE830-2))</f>
        <v>0</v>
      </c>
      <c r="CA830" s="607">
        <f t="shared" ref="CA830:CA849" si="2283">IF(DF830&lt;3,"",(SUM(T830:AJ830)-MIN(T830:AJ830)-MAX(T830:AJ830))/(DF830-2))</f>
        <v>0</v>
      </c>
      <c r="CB830" s="607">
        <f t="shared" ref="CB830:CB849" si="2284">IF(DG830&lt;3,"",(SUM(AL830:BB830)-MIN(AL830:BB830)-MAX(AL830:BB830))/(DG830-2))</f>
        <v>0</v>
      </c>
      <c r="CC830" s="673">
        <f t="shared" ref="CC830:CC849" si="2285">IF(DH830&lt;3,"",(SUM(BD830:BT830)-MIN(BD830:BT830)-MAX(BD830:BT830))/(DH830-2))</f>
        <v>0</v>
      </c>
      <c r="CD830" s="991">
        <f t="shared" ref="CD830:CM830" si="22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2286"/>
        <v>0</v>
      </c>
      <c r="CF830" s="992">
        <f t="shared" si="2286"/>
        <v>0</v>
      </c>
      <c r="CG830" s="992">
        <f t="shared" si="2286"/>
        <v>0</v>
      </c>
      <c r="CH830" s="993">
        <f t="shared" si="2286"/>
        <v>0</v>
      </c>
      <c r="CI830" s="993">
        <f t="shared" si="2286"/>
        <v>0</v>
      </c>
      <c r="CJ830" s="992">
        <f t="shared" si="2286"/>
        <v>0</v>
      </c>
      <c r="CK830" s="992">
        <f t="shared" si="2286"/>
        <v>0</v>
      </c>
      <c r="CL830" s="992">
        <f t="shared" si="2286"/>
        <v>0</v>
      </c>
      <c r="CM830" s="991">
        <f t="shared" si="2286"/>
        <v>0</v>
      </c>
      <c r="CN830" s="521" t="str">
        <f t="shared" ref="CN830:CN849" si="2287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2288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228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229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229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229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229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229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229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229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229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229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229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230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230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230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230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2304">COUNT(B830:R830)</f>
        <v>10</v>
      </c>
      <c r="DF830" s="95">
        <f t="shared" ref="DF830:DF849" si="2305">COUNT(T830:AJ830)</f>
        <v>10</v>
      </c>
      <c r="DG830" s="95">
        <f t="shared" ref="DG830:DG849" si="2306">COUNT(AL830:BB830)</f>
        <v>10</v>
      </c>
      <c r="DH830" s="95">
        <f t="shared" ref="DH830:DH849" si="2307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2308">SUM(B233)</f>
        <v>0</v>
      </c>
      <c r="C831" s="786">
        <f t="shared" si="2308"/>
        <v>0</v>
      </c>
      <c r="D831" s="786">
        <f t="shared" si="2308"/>
        <v>0</v>
      </c>
      <c r="E831" s="786">
        <f t="shared" si="2308"/>
        <v>0</v>
      </c>
      <c r="F831" s="786">
        <f t="shared" si="2308"/>
        <v>0</v>
      </c>
      <c r="G831" s="786">
        <f t="shared" si="2308"/>
        <v>0</v>
      </c>
      <c r="H831" s="786">
        <f t="shared" si="2308"/>
        <v>0</v>
      </c>
      <c r="I831" s="786">
        <f t="shared" si="2308"/>
        <v>0</v>
      </c>
      <c r="J831" s="786">
        <f t="shared" si="2308"/>
        <v>0</v>
      </c>
      <c r="K831" s="786">
        <f t="shared" si="2308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2309">SUM(T233)</f>
        <v>0</v>
      </c>
      <c r="U831" s="786">
        <f t="shared" si="2309"/>
        <v>0</v>
      </c>
      <c r="V831" s="786">
        <f t="shared" si="2309"/>
        <v>0</v>
      </c>
      <c r="W831" s="786">
        <f t="shared" si="2309"/>
        <v>0</v>
      </c>
      <c r="X831" s="786">
        <f t="shared" si="2309"/>
        <v>0</v>
      </c>
      <c r="Y831" s="786">
        <f t="shared" si="2309"/>
        <v>0</v>
      </c>
      <c r="Z831" s="786">
        <f t="shared" si="2309"/>
        <v>0</v>
      </c>
      <c r="AA831" s="786">
        <f t="shared" si="2309"/>
        <v>0</v>
      </c>
      <c r="AB831" s="786">
        <f t="shared" si="2309"/>
        <v>0</v>
      </c>
      <c r="AC831" s="786">
        <f t="shared" si="2309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2310">SUM(AL233)</f>
        <v>0</v>
      </c>
      <c r="AM831" s="786">
        <f t="shared" si="2310"/>
        <v>0</v>
      </c>
      <c r="AN831" s="786">
        <f t="shared" si="2310"/>
        <v>0</v>
      </c>
      <c r="AO831" s="786">
        <f t="shared" si="2310"/>
        <v>0</v>
      </c>
      <c r="AP831" s="786">
        <f t="shared" si="2310"/>
        <v>0</v>
      </c>
      <c r="AQ831" s="786">
        <f t="shared" si="2310"/>
        <v>0</v>
      </c>
      <c r="AR831" s="786">
        <f t="shared" si="2310"/>
        <v>0</v>
      </c>
      <c r="AS831" s="786">
        <f t="shared" si="2310"/>
        <v>0</v>
      </c>
      <c r="AT831" s="786">
        <f t="shared" si="2310"/>
        <v>0</v>
      </c>
      <c r="AU831" s="786">
        <f t="shared" si="2310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2311">SUM(BD233)</f>
        <v>0</v>
      </c>
      <c r="BE831" s="786">
        <f t="shared" si="2311"/>
        <v>0</v>
      </c>
      <c r="BF831" s="786">
        <f t="shared" si="2311"/>
        <v>0</v>
      </c>
      <c r="BG831" s="786">
        <f t="shared" si="2311"/>
        <v>0</v>
      </c>
      <c r="BH831" s="786">
        <f t="shared" si="2311"/>
        <v>0</v>
      </c>
      <c r="BI831" s="786">
        <f t="shared" si="2311"/>
        <v>0</v>
      </c>
      <c r="BJ831" s="786">
        <f t="shared" si="2311"/>
        <v>0</v>
      </c>
      <c r="BK831" s="786">
        <f t="shared" si="2311"/>
        <v>0</v>
      </c>
      <c r="BL831" s="786">
        <f t="shared" si="2311"/>
        <v>0</v>
      </c>
      <c r="BM831" s="786">
        <f t="shared" si="2311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2282"/>
        <v>0</v>
      </c>
      <c r="CA831" s="607">
        <f t="shared" si="2283"/>
        <v>0</v>
      </c>
      <c r="CB831" s="607">
        <f t="shared" si="2284"/>
        <v>0</v>
      </c>
      <c r="CC831" s="673">
        <f t="shared" si="2285"/>
        <v>0</v>
      </c>
      <c r="CD831" s="991">
        <f t="shared" ref="CD831:CD849" si="231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2313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2313"/>
        <v>0</v>
      </c>
      <c r="CG831" s="992">
        <f t="shared" si="2313"/>
        <v>0</v>
      </c>
      <c r="CH831" s="993">
        <f t="shared" si="2313"/>
        <v>0</v>
      </c>
      <c r="CI831" s="993">
        <f t="shared" si="2313"/>
        <v>0</v>
      </c>
      <c r="CJ831" s="992">
        <f t="shared" si="2313"/>
        <v>0</v>
      </c>
      <c r="CK831" s="992">
        <f t="shared" si="2313"/>
        <v>0</v>
      </c>
      <c r="CL831" s="992">
        <f t="shared" si="2313"/>
        <v>0</v>
      </c>
      <c r="CM831" s="991">
        <f t="shared" si="2313"/>
        <v>0</v>
      </c>
      <c r="CN831" s="521" t="str">
        <f t="shared" si="2287"/>
        <v/>
      </c>
      <c r="CO831" s="522" t="str">
        <f t="shared" si="2288"/>
        <v/>
      </c>
      <c r="CP831" s="523" t="str">
        <f t="shared" si="2289"/>
        <v/>
      </c>
      <c r="CQ831" s="523" t="str">
        <f t="shared" si="2290"/>
        <v/>
      </c>
      <c r="CR831" s="523">
        <f t="shared" si="2291"/>
        <v>0</v>
      </c>
      <c r="CS831" s="523">
        <f t="shared" si="2292"/>
        <v>0</v>
      </c>
      <c r="CT831" s="523">
        <f t="shared" si="2293"/>
        <v>0</v>
      </c>
      <c r="CU831" s="524">
        <f t="shared" si="2294"/>
        <v>0</v>
      </c>
      <c r="CV831" s="524">
        <f t="shared" si="2295"/>
        <v>0</v>
      </c>
      <c r="CW831" s="524">
        <f t="shared" si="2296"/>
        <v>0</v>
      </c>
      <c r="CX831" s="523">
        <f t="shared" si="2297"/>
        <v>0</v>
      </c>
      <c r="CY831" s="523">
        <f t="shared" si="2298"/>
        <v>0</v>
      </c>
      <c r="CZ831" s="523">
        <f t="shared" si="2299"/>
        <v>0</v>
      </c>
      <c r="DA831" s="523">
        <f t="shared" si="2300"/>
        <v>0</v>
      </c>
      <c r="DB831" s="523" t="str">
        <f t="shared" si="2301"/>
        <v/>
      </c>
      <c r="DC831" s="522" t="str">
        <f t="shared" si="2302"/>
        <v/>
      </c>
      <c r="DD831" s="521" t="str">
        <f t="shared" si="2303"/>
        <v/>
      </c>
      <c r="DE831" s="635">
        <f t="shared" si="2304"/>
        <v>10</v>
      </c>
      <c r="DF831" s="95">
        <f t="shared" si="2305"/>
        <v>10</v>
      </c>
      <c r="DG831" s="95">
        <f t="shared" si="2306"/>
        <v>10</v>
      </c>
      <c r="DH831" s="95">
        <f t="shared" si="2307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2314">SUM(B243)</f>
        <v>0</v>
      </c>
      <c r="C832" s="786">
        <f t="shared" si="2314"/>
        <v>0</v>
      </c>
      <c r="D832" s="786">
        <f t="shared" si="2314"/>
        <v>0</v>
      </c>
      <c r="E832" s="786">
        <f t="shared" si="2314"/>
        <v>0</v>
      </c>
      <c r="F832" s="786">
        <f t="shared" si="2314"/>
        <v>0</v>
      </c>
      <c r="G832" s="786">
        <f t="shared" si="2314"/>
        <v>0</v>
      </c>
      <c r="H832" s="786">
        <f t="shared" si="2314"/>
        <v>0</v>
      </c>
      <c r="I832" s="786">
        <f t="shared" si="2314"/>
        <v>0</v>
      </c>
      <c r="J832" s="786">
        <f t="shared" si="2314"/>
        <v>0</v>
      </c>
      <c r="K832" s="786">
        <f t="shared" si="2314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2315">SUM(T243)</f>
        <v>0</v>
      </c>
      <c r="U832" s="786">
        <f t="shared" si="2315"/>
        <v>0</v>
      </c>
      <c r="V832" s="786">
        <f t="shared" si="2315"/>
        <v>0</v>
      </c>
      <c r="W832" s="786">
        <f t="shared" si="2315"/>
        <v>0</v>
      </c>
      <c r="X832" s="786">
        <f t="shared" si="2315"/>
        <v>0</v>
      </c>
      <c r="Y832" s="786">
        <f t="shared" si="2315"/>
        <v>0</v>
      </c>
      <c r="Z832" s="786">
        <f t="shared" si="2315"/>
        <v>0</v>
      </c>
      <c r="AA832" s="786">
        <f t="shared" si="2315"/>
        <v>0</v>
      </c>
      <c r="AB832" s="786">
        <f t="shared" si="2315"/>
        <v>0</v>
      </c>
      <c r="AC832" s="786">
        <f t="shared" si="2315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2316">SUM(AL243)</f>
        <v>0</v>
      </c>
      <c r="AM832" s="786">
        <f t="shared" si="2316"/>
        <v>0</v>
      </c>
      <c r="AN832" s="786">
        <f t="shared" si="2316"/>
        <v>0</v>
      </c>
      <c r="AO832" s="786">
        <f t="shared" si="2316"/>
        <v>0</v>
      </c>
      <c r="AP832" s="786">
        <f t="shared" si="2316"/>
        <v>0</v>
      </c>
      <c r="AQ832" s="786">
        <f t="shared" si="2316"/>
        <v>0</v>
      </c>
      <c r="AR832" s="786">
        <f t="shared" si="2316"/>
        <v>0</v>
      </c>
      <c r="AS832" s="786">
        <f t="shared" si="2316"/>
        <v>0</v>
      </c>
      <c r="AT832" s="786">
        <f t="shared" si="2316"/>
        <v>0</v>
      </c>
      <c r="AU832" s="786">
        <f t="shared" si="2316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2317">SUM(BD243)</f>
        <v>0</v>
      </c>
      <c r="BE832" s="786">
        <f t="shared" si="2317"/>
        <v>0</v>
      </c>
      <c r="BF832" s="786">
        <f t="shared" si="2317"/>
        <v>0</v>
      </c>
      <c r="BG832" s="786">
        <f t="shared" si="2317"/>
        <v>0</v>
      </c>
      <c r="BH832" s="786">
        <f t="shared" si="2317"/>
        <v>0</v>
      </c>
      <c r="BI832" s="786">
        <f t="shared" si="2317"/>
        <v>0</v>
      </c>
      <c r="BJ832" s="786">
        <f t="shared" si="2317"/>
        <v>0</v>
      </c>
      <c r="BK832" s="786">
        <f t="shared" si="2317"/>
        <v>0</v>
      </c>
      <c r="BL832" s="786">
        <f t="shared" si="2317"/>
        <v>0</v>
      </c>
      <c r="BM832" s="786">
        <f t="shared" si="2317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2282"/>
        <v>0</v>
      </c>
      <c r="CA832" s="607">
        <f t="shared" si="2283"/>
        <v>0</v>
      </c>
      <c r="CB832" s="607">
        <f t="shared" si="2284"/>
        <v>0</v>
      </c>
      <c r="CC832" s="673">
        <f t="shared" si="2285"/>
        <v>0</v>
      </c>
      <c r="CD832" s="991">
        <f t="shared" si="2312"/>
        <v>0</v>
      </c>
      <c r="CE832" s="992">
        <f t="shared" si="2313"/>
        <v>0</v>
      </c>
      <c r="CF832" s="992">
        <f t="shared" si="2313"/>
        <v>0</v>
      </c>
      <c r="CG832" s="992">
        <f t="shared" si="2313"/>
        <v>0</v>
      </c>
      <c r="CH832" s="993">
        <f t="shared" si="2313"/>
        <v>0</v>
      </c>
      <c r="CI832" s="993">
        <f t="shared" si="2313"/>
        <v>0</v>
      </c>
      <c r="CJ832" s="992">
        <f t="shared" si="2313"/>
        <v>0</v>
      </c>
      <c r="CK832" s="992">
        <f t="shared" si="2313"/>
        <v>0</v>
      </c>
      <c r="CL832" s="992">
        <f t="shared" si="2313"/>
        <v>0</v>
      </c>
      <c r="CM832" s="991">
        <f t="shared" si="2313"/>
        <v>0</v>
      </c>
      <c r="CN832" s="521" t="str">
        <f t="shared" si="2287"/>
        <v/>
      </c>
      <c r="CO832" s="522" t="str">
        <f t="shared" si="2288"/>
        <v/>
      </c>
      <c r="CP832" s="523" t="str">
        <f t="shared" si="2289"/>
        <v/>
      </c>
      <c r="CQ832" s="523" t="str">
        <f t="shared" si="2290"/>
        <v/>
      </c>
      <c r="CR832" s="523">
        <f t="shared" si="2291"/>
        <v>0</v>
      </c>
      <c r="CS832" s="523">
        <f t="shared" si="2292"/>
        <v>0</v>
      </c>
      <c r="CT832" s="523">
        <f t="shared" si="2293"/>
        <v>0</v>
      </c>
      <c r="CU832" s="524">
        <f t="shared" si="2294"/>
        <v>0</v>
      </c>
      <c r="CV832" s="524">
        <f t="shared" si="2295"/>
        <v>0</v>
      </c>
      <c r="CW832" s="524">
        <f t="shared" si="2296"/>
        <v>0</v>
      </c>
      <c r="CX832" s="523">
        <f t="shared" si="2297"/>
        <v>0</v>
      </c>
      <c r="CY832" s="523">
        <f t="shared" si="2298"/>
        <v>0</v>
      </c>
      <c r="CZ832" s="523">
        <f t="shared" si="2299"/>
        <v>0</v>
      </c>
      <c r="DA832" s="523">
        <f t="shared" si="2300"/>
        <v>0</v>
      </c>
      <c r="DB832" s="523" t="str">
        <f t="shared" si="2301"/>
        <v/>
      </c>
      <c r="DC832" s="522" t="str">
        <f t="shared" si="2302"/>
        <v/>
      </c>
      <c r="DD832" s="521" t="str">
        <f t="shared" si="2303"/>
        <v/>
      </c>
      <c r="DE832" s="635">
        <f t="shared" si="2304"/>
        <v>10</v>
      </c>
      <c r="DF832" s="95">
        <f t="shared" si="2305"/>
        <v>10</v>
      </c>
      <c r="DG832" s="95">
        <f t="shared" si="2306"/>
        <v>10</v>
      </c>
      <c r="DH832" s="95">
        <f t="shared" si="2307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2318">SUM(B250)</f>
        <v>0</v>
      </c>
      <c r="C833" s="786">
        <f t="shared" si="2318"/>
        <v>0</v>
      </c>
      <c r="D833" s="786">
        <f t="shared" si="2318"/>
        <v>0</v>
      </c>
      <c r="E833" s="786">
        <f t="shared" si="2318"/>
        <v>0</v>
      </c>
      <c r="F833" s="786">
        <f t="shared" si="2318"/>
        <v>0</v>
      </c>
      <c r="G833" s="786">
        <f t="shared" si="2318"/>
        <v>0</v>
      </c>
      <c r="H833" s="786">
        <f t="shared" si="2318"/>
        <v>0</v>
      </c>
      <c r="I833" s="786">
        <f t="shared" si="2318"/>
        <v>0</v>
      </c>
      <c r="J833" s="786">
        <f t="shared" si="2318"/>
        <v>0</v>
      </c>
      <c r="K833" s="786">
        <f t="shared" si="2318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2319">SUM(T250)</f>
        <v>0</v>
      </c>
      <c r="U833" s="786">
        <f t="shared" si="2319"/>
        <v>0</v>
      </c>
      <c r="V833" s="786">
        <f t="shared" si="2319"/>
        <v>0</v>
      </c>
      <c r="W833" s="786">
        <f t="shared" si="2319"/>
        <v>0</v>
      </c>
      <c r="X833" s="786">
        <f t="shared" si="2319"/>
        <v>0</v>
      </c>
      <c r="Y833" s="786">
        <f t="shared" si="2319"/>
        <v>0</v>
      </c>
      <c r="Z833" s="786">
        <f t="shared" si="2319"/>
        <v>0</v>
      </c>
      <c r="AA833" s="786">
        <f t="shared" si="2319"/>
        <v>0</v>
      </c>
      <c r="AB833" s="786">
        <f t="shared" si="2319"/>
        <v>0</v>
      </c>
      <c r="AC833" s="786">
        <f t="shared" si="2319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2320">SUM(AL250)</f>
        <v>0</v>
      </c>
      <c r="AM833" s="786">
        <f t="shared" si="2320"/>
        <v>0</v>
      </c>
      <c r="AN833" s="786">
        <f t="shared" si="2320"/>
        <v>0</v>
      </c>
      <c r="AO833" s="786">
        <f t="shared" si="2320"/>
        <v>0</v>
      </c>
      <c r="AP833" s="786">
        <f t="shared" si="2320"/>
        <v>0</v>
      </c>
      <c r="AQ833" s="786">
        <f t="shared" si="2320"/>
        <v>0</v>
      </c>
      <c r="AR833" s="786">
        <f t="shared" si="2320"/>
        <v>0</v>
      </c>
      <c r="AS833" s="786">
        <f t="shared" si="2320"/>
        <v>0</v>
      </c>
      <c r="AT833" s="786">
        <f t="shared" si="2320"/>
        <v>0</v>
      </c>
      <c r="AU833" s="786">
        <f t="shared" si="2320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2321">SUM(BD250)</f>
        <v>0</v>
      </c>
      <c r="BE833" s="786">
        <f t="shared" si="2321"/>
        <v>0</v>
      </c>
      <c r="BF833" s="786">
        <f t="shared" si="2321"/>
        <v>0</v>
      </c>
      <c r="BG833" s="786">
        <f t="shared" si="2321"/>
        <v>0</v>
      </c>
      <c r="BH833" s="786">
        <f t="shared" si="2321"/>
        <v>0</v>
      </c>
      <c r="BI833" s="786">
        <f t="shared" si="2321"/>
        <v>0</v>
      </c>
      <c r="BJ833" s="786">
        <f t="shared" si="2321"/>
        <v>0</v>
      </c>
      <c r="BK833" s="786">
        <f t="shared" si="2321"/>
        <v>0</v>
      </c>
      <c r="BL833" s="786">
        <f t="shared" si="2321"/>
        <v>0</v>
      </c>
      <c r="BM833" s="786">
        <f t="shared" si="2321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2282"/>
        <v>0</v>
      </c>
      <c r="CA833" s="607">
        <f t="shared" si="2283"/>
        <v>0</v>
      </c>
      <c r="CB833" s="607">
        <f t="shared" si="2284"/>
        <v>0</v>
      </c>
      <c r="CC833" s="673">
        <f t="shared" si="2285"/>
        <v>0</v>
      </c>
      <c r="CD833" s="991">
        <f t="shared" si="2312"/>
        <v>0</v>
      </c>
      <c r="CE833" s="992">
        <f t="shared" si="2313"/>
        <v>0</v>
      </c>
      <c r="CF833" s="992">
        <f t="shared" si="2313"/>
        <v>0</v>
      </c>
      <c r="CG833" s="992">
        <f t="shared" si="2313"/>
        <v>0</v>
      </c>
      <c r="CH833" s="993">
        <f t="shared" si="2313"/>
        <v>0</v>
      </c>
      <c r="CI833" s="993">
        <f t="shared" si="2313"/>
        <v>0</v>
      </c>
      <c r="CJ833" s="992">
        <f t="shared" si="2313"/>
        <v>0</v>
      </c>
      <c r="CK833" s="992">
        <f t="shared" si="2313"/>
        <v>0</v>
      </c>
      <c r="CL833" s="992">
        <f t="shared" si="2313"/>
        <v>0</v>
      </c>
      <c r="CM833" s="991">
        <f t="shared" si="2313"/>
        <v>0</v>
      </c>
      <c r="CN833" s="521" t="str">
        <f t="shared" si="2287"/>
        <v/>
      </c>
      <c r="CO833" s="522" t="str">
        <f t="shared" si="2288"/>
        <v/>
      </c>
      <c r="CP833" s="523" t="str">
        <f t="shared" si="2289"/>
        <v/>
      </c>
      <c r="CQ833" s="523" t="str">
        <f t="shared" si="2290"/>
        <v/>
      </c>
      <c r="CR833" s="523">
        <f t="shared" si="2291"/>
        <v>0</v>
      </c>
      <c r="CS833" s="523">
        <f t="shared" si="2292"/>
        <v>0</v>
      </c>
      <c r="CT833" s="523">
        <f t="shared" si="2293"/>
        <v>0</v>
      </c>
      <c r="CU833" s="524">
        <f t="shared" si="2294"/>
        <v>0</v>
      </c>
      <c r="CV833" s="524">
        <f t="shared" si="2295"/>
        <v>0</v>
      </c>
      <c r="CW833" s="524">
        <f t="shared" si="2296"/>
        <v>0</v>
      </c>
      <c r="CX833" s="523">
        <f t="shared" si="2297"/>
        <v>0</v>
      </c>
      <c r="CY833" s="523">
        <f t="shared" si="2298"/>
        <v>0</v>
      </c>
      <c r="CZ833" s="523">
        <f t="shared" si="2299"/>
        <v>0</v>
      </c>
      <c r="DA833" s="523">
        <f t="shared" si="2300"/>
        <v>0</v>
      </c>
      <c r="DB833" s="523" t="str">
        <f t="shared" si="2301"/>
        <v/>
      </c>
      <c r="DC833" s="522" t="str">
        <f t="shared" si="2302"/>
        <v/>
      </c>
      <c r="DD833" s="521" t="str">
        <f t="shared" si="2303"/>
        <v/>
      </c>
      <c r="DE833" s="635">
        <f t="shared" si="2304"/>
        <v>10</v>
      </c>
      <c r="DF833" s="95">
        <f t="shared" si="2305"/>
        <v>10</v>
      </c>
      <c r="DG833" s="95">
        <f t="shared" si="2306"/>
        <v>10</v>
      </c>
      <c r="DH833" s="95">
        <f t="shared" si="2307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2322">SUM(B257)</f>
        <v>0</v>
      </c>
      <c r="C834" s="786">
        <f t="shared" si="2322"/>
        <v>0</v>
      </c>
      <c r="D834" s="786">
        <f t="shared" si="2322"/>
        <v>0</v>
      </c>
      <c r="E834" s="786">
        <f t="shared" si="2322"/>
        <v>0</v>
      </c>
      <c r="F834" s="786">
        <f t="shared" si="2322"/>
        <v>0</v>
      </c>
      <c r="G834" s="786">
        <f t="shared" si="2322"/>
        <v>0</v>
      </c>
      <c r="H834" s="786">
        <f t="shared" si="2322"/>
        <v>0</v>
      </c>
      <c r="I834" s="786">
        <f t="shared" si="2322"/>
        <v>0</v>
      </c>
      <c r="J834" s="786">
        <f t="shared" si="2322"/>
        <v>0</v>
      </c>
      <c r="K834" s="786">
        <f t="shared" si="2322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2323">SUM(T257)</f>
        <v>0</v>
      </c>
      <c r="U834" s="786">
        <f t="shared" si="2323"/>
        <v>0</v>
      </c>
      <c r="V834" s="786">
        <f t="shared" si="2323"/>
        <v>0</v>
      </c>
      <c r="W834" s="786">
        <f t="shared" si="2323"/>
        <v>0</v>
      </c>
      <c r="X834" s="786">
        <f t="shared" si="2323"/>
        <v>0</v>
      </c>
      <c r="Y834" s="786">
        <f t="shared" si="2323"/>
        <v>0</v>
      </c>
      <c r="Z834" s="786">
        <f t="shared" si="2323"/>
        <v>0</v>
      </c>
      <c r="AA834" s="786">
        <f t="shared" si="2323"/>
        <v>0</v>
      </c>
      <c r="AB834" s="786">
        <f t="shared" si="2323"/>
        <v>0</v>
      </c>
      <c r="AC834" s="786">
        <f t="shared" si="2323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2324">SUM(AL257)</f>
        <v>0</v>
      </c>
      <c r="AM834" s="786">
        <f t="shared" si="2324"/>
        <v>0</v>
      </c>
      <c r="AN834" s="786">
        <f t="shared" si="2324"/>
        <v>0</v>
      </c>
      <c r="AO834" s="786">
        <f t="shared" si="2324"/>
        <v>0</v>
      </c>
      <c r="AP834" s="786">
        <f t="shared" si="2324"/>
        <v>0</v>
      </c>
      <c r="AQ834" s="786">
        <f t="shared" si="2324"/>
        <v>0</v>
      </c>
      <c r="AR834" s="786">
        <f t="shared" si="2324"/>
        <v>0</v>
      </c>
      <c r="AS834" s="786">
        <f t="shared" si="2324"/>
        <v>0</v>
      </c>
      <c r="AT834" s="786">
        <f t="shared" si="2324"/>
        <v>0</v>
      </c>
      <c r="AU834" s="786">
        <f t="shared" si="2324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2325">SUM(BD257)</f>
        <v>0</v>
      </c>
      <c r="BE834" s="786">
        <f t="shared" si="2325"/>
        <v>0</v>
      </c>
      <c r="BF834" s="786">
        <f t="shared" si="2325"/>
        <v>0</v>
      </c>
      <c r="BG834" s="786">
        <f t="shared" si="2325"/>
        <v>0</v>
      </c>
      <c r="BH834" s="786">
        <f t="shared" si="2325"/>
        <v>0</v>
      </c>
      <c r="BI834" s="786">
        <f t="shared" si="2325"/>
        <v>0</v>
      </c>
      <c r="BJ834" s="786">
        <f t="shared" si="2325"/>
        <v>0</v>
      </c>
      <c r="BK834" s="786">
        <f t="shared" si="2325"/>
        <v>0</v>
      </c>
      <c r="BL834" s="786">
        <f t="shared" si="2325"/>
        <v>0</v>
      </c>
      <c r="BM834" s="786">
        <f t="shared" si="2325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2282"/>
        <v>0</v>
      </c>
      <c r="CA834" s="607">
        <f t="shared" si="2283"/>
        <v>0</v>
      </c>
      <c r="CB834" s="607">
        <f t="shared" si="2284"/>
        <v>0</v>
      </c>
      <c r="CC834" s="673">
        <f t="shared" si="2285"/>
        <v>0</v>
      </c>
      <c r="CD834" s="991">
        <f t="shared" si="2312"/>
        <v>0</v>
      </c>
      <c r="CE834" s="992">
        <f t="shared" si="2313"/>
        <v>0</v>
      </c>
      <c r="CF834" s="992">
        <f t="shared" si="2313"/>
        <v>0</v>
      </c>
      <c r="CG834" s="992">
        <f t="shared" si="2313"/>
        <v>0</v>
      </c>
      <c r="CH834" s="993">
        <f t="shared" si="2313"/>
        <v>0</v>
      </c>
      <c r="CI834" s="993">
        <f t="shared" si="2313"/>
        <v>0</v>
      </c>
      <c r="CJ834" s="992">
        <f t="shared" si="2313"/>
        <v>0</v>
      </c>
      <c r="CK834" s="992">
        <f t="shared" si="2313"/>
        <v>0</v>
      </c>
      <c r="CL834" s="992">
        <f t="shared" si="2313"/>
        <v>0</v>
      </c>
      <c r="CM834" s="991">
        <f t="shared" si="2313"/>
        <v>0</v>
      </c>
      <c r="CN834" s="521" t="str">
        <f t="shared" si="2287"/>
        <v/>
      </c>
      <c r="CO834" s="522" t="str">
        <f t="shared" si="2288"/>
        <v/>
      </c>
      <c r="CP834" s="523" t="str">
        <f t="shared" si="2289"/>
        <v/>
      </c>
      <c r="CQ834" s="523" t="str">
        <f t="shared" si="2290"/>
        <v/>
      </c>
      <c r="CR834" s="523">
        <f t="shared" si="2291"/>
        <v>0</v>
      </c>
      <c r="CS834" s="523">
        <f t="shared" si="2292"/>
        <v>0</v>
      </c>
      <c r="CT834" s="523">
        <f t="shared" si="2293"/>
        <v>0</v>
      </c>
      <c r="CU834" s="524">
        <f t="shared" si="2294"/>
        <v>0</v>
      </c>
      <c r="CV834" s="524">
        <f t="shared" si="2295"/>
        <v>0</v>
      </c>
      <c r="CW834" s="524">
        <f t="shared" si="2296"/>
        <v>0</v>
      </c>
      <c r="CX834" s="523">
        <f t="shared" si="2297"/>
        <v>0</v>
      </c>
      <c r="CY834" s="523">
        <f t="shared" si="2298"/>
        <v>0</v>
      </c>
      <c r="CZ834" s="523">
        <f t="shared" si="2299"/>
        <v>0</v>
      </c>
      <c r="DA834" s="523">
        <f t="shared" si="2300"/>
        <v>0</v>
      </c>
      <c r="DB834" s="523" t="str">
        <f t="shared" si="2301"/>
        <v/>
      </c>
      <c r="DC834" s="522" t="str">
        <f t="shared" si="2302"/>
        <v/>
      </c>
      <c r="DD834" s="521" t="str">
        <f t="shared" si="2303"/>
        <v/>
      </c>
      <c r="DE834" s="635">
        <f t="shared" si="2304"/>
        <v>10</v>
      </c>
      <c r="DF834" s="95">
        <f t="shared" si="2305"/>
        <v>10</v>
      </c>
      <c r="DG834" s="95">
        <f t="shared" si="2306"/>
        <v>10</v>
      </c>
      <c r="DH834" s="95">
        <f t="shared" si="2307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2326">SUM(B264)</f>
        <v>0</v>
      </c>
      <c r="C835" s="786">
        <f t="shared" si="2326"/>
        <v>0</v>
      </c>
      <c r="D835" s="786">
        <f t="shared" si="2326"/>
        <v>0</v>
      </c>
      <c r="E835" s="786">
        <f t="shared" si="2326"/>
        <v>0</v>
      </c>
      <c r="F835" s="786">
        <f t="shared" si="2326"/>
        <v>0</v>
      </c>
      <c r="G835" s="786">
        <f t="shared" si="2326"/>
        <v>0</v>
      </c>
      <c r="H835" s="786">
        <f t="shared" si="2326"/>
        <v>0</v>
      </c>
      <c r="I835" s="786">
        <f t="shared" si="2326"/>
        <v>0</v>
      </c>
      <c r="J835" s="786">
        <f t="shared" si="2326"/>
        <v>0</v>
      </c>
      <c r="K835" s="786">
        <f t="shared" si="2326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2327">SUM(T264)</f>
        <v>0</v>
      </c>
      <c r="U835" s="786">
        <f t="shared" si="2327"/>
        <v>0</v>
      </c>
      <c r="V835" s="786">
        <f t="shared" si="2327"/>
        <v>0</v>
      </c>
      <c r="W835" s="786">
        <f t="shared" si="2327"/>
        <v>0</v>
      </c>
      <c r="X835" s="786">
        <f t="shared" si="2327"/>
        <v>0</v>
      </c>
      <c r="Y835" s="786">
        <f t="shared" si="2327"/>
        <v>0</v>
      </c>
      <c r="Z835" s="786">
        <f t="shared" si="2327"/>
        <v>0</v>
      </c>
      <c r="AA835" s="786">
        <f t="shared" si="2327"/>
        <v>0</v>
      </c>
      <c r="AB835" s="786">
        <f t="shared" si="2327"/>
        <v>0</v>
      </c>
      <c r="AC835" s="786">
        <f t="shared" si="2327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2328">SUM(AL264)</f>
        <v>0</v>
      </c>
      <c r="AM835" s="786">
        <f t="shared" si="2328"/>
        <v>0</v>
      </c>
      <c r="AN835" s="786">
        <f t="shared" si="2328"/>
        <v>0</v>
      </c>
      <c r="AO835" s="786">
        <f t="shared" si="2328"/>
        <v>0</v>
      </c>
      <c r="AP835" s="786">
        <f t="shared" si="2328"/>
        <v>0</v>
      </c>
      <c r="AQ835" s="786">
        <f t="shared" si="2328"/>
        <v>0</v>
      </c>
      <c r="AR835" s="786">
        <f t="shared" si="2328"/>
        <v>0</v>
      </c>
      <c r="AS835" s="786">
        <f t="shared" si="2328"/>
        <v>0</v>
      </c>
      <c r="AT835" s="786">
        <f t="shared" si="2328"/>
        <v>0</v>
      </c>
      <c r="AU835" s="786">
        <f t="shared" si="2328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2329">SUM(BD264)</f>
        <v>0</v>
      </c>
      <c r="BE835" s="786">
        <f t="shared" si="2329"/>
        <v>0</v>
      </c>
      <c r="BF835" s="786">
        <f t="shared" si="2329"/>
        <v>0</v>
      </c>
      <c r="BG835" s="786">
        <f t="shared" si="2329"/>
        <v>0</v>
      </c>
      <c r="BH835" s="786">
        <f t="shared" si="2329"/>
        <v>0</v>
      </c>
      <c r="BI835" s="786">
        <f t="shared" si="2329"/>
        <v>0</v>
      </c>
      <c r="BJ835" s="786">
        <f t="shared" si="2329"/>
        <v>0</v>
      </c>
      <c r="BK835" s="786">
        <f t="shared" si="2329"/>
        <v>0</v>
      </c>
      <c r="BL835" s="786">
        <f t="shared" si="2329"/>
        <v>0</v>
      </c>
      <c r="BM835" s="786">
        <f t="shared" si="2329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2282"/>
        <v>0</v>
      </c>
      <c r="CA835" s="607">
        <f t="shared" si="2283"/>
        <v>0</v>
      </c>
      <c r="CB835" s="607">
        <f t="shared" si="2284"/>
        <v>0</v>
      </c>
      <c r="CC835" s="673">
        <f t="shared" si="2285"/>
        <v>0</v>
      </c>
      <c r="CD835" s="991">
        <f t="shared" si="2312"/>
        <v>0</v>
      </c>
      <c r="CE835" s="992">
        <f t="shared" si="2313"/>
        <v>0</v>
      </c>
      <c r="CF835" s="992">
        <f t="shared" si="2313"/>
        <v>0</v>
      </c>
      <c r="CG835" s="992">
        <f t="shared" si="2313"/>
        <v>0</v>
      </c>
      <c r="CH835" s="993">
        <f t="shared" si="2313"/>
        <v>0</v>
      </c>
      <c r="CI835" s="993">
        <f t="shared" si="2313"/>
        <v>0</v>
      </c>
      <c r="CJ835" s="992">
        <f t="shared" si="2313"/>
        <v>0</v>
      </c>
      <c r="CK835" s="992">
        <f t="shared" si="2313"/>
        <v>0</v>
      </c>
      <c r="CL835" s="992">
        <f t="shared" si="2313"/>
        <v>0</v>
      </c>
      <c r="CM835" s="991">
        <f t="shared" si="2313"/>
        <v>0</v>
      </c>
      <c r="CN835" s="521" t="str">
        <f t="shared" si="2287"/>
        <v/>
      </c>
      <c r="CO835" s="522" t="str">
        <f t="shared" si="2288"/>
        <v/>
      </c>
      <c r="CP835" s="523" t="str">
        <f t="shared" si="2289"/>
        <v/>
      </c>
      <c r="CQ835" s="523" t="str">
        <f t="shared" si="2290"/>
        <v/>
      </c>
      <c r="CR835" s="523">
        <f t="shared" si="2291"/>
        <v>0</v>
      </c>
      <c r="CS835" s="523">
        <f t="shared" si="2292"/>
        <v>0</v>
      </c>
      <c r="CT835" s="523">
        <f t="shared" si="2293"/>
        <v>0</v>
      </c>
      <c r="CU835" s="524">
        <f t="shared" si="2294"/>
        <v>0</v>
      </c>
      <c r="CV835" s="524">
        <f t="shared" si="2295"/>
        <v>0</v>
      </c>
      <c r="CW835" s="524">
        <f t="shared" si="2296"/>
        <v>0</v>
      </c>
      <c r="CX835" s="523">
        <f t="shared" si="2297"/>
        <v>0</v>
      </c>
      <c r="CY835" s="523">
        <f t="shared" si="2298"/>
        <v>0</v>
      </c>
      <c r="CZ835" s="523">
        <f t="shared" si="2299"/>
        <v>0</v>
      </c>
      <c r="DA835" s="523">
        <f t="shared" si="2300"/>
        <v>0</v>
      </c>
      <c r="DB835" s="523" t="str">
        <f t="shared" si="2301"/>
        <v/>
      </c>
      <c r="DC835" s="522" t="str">
        <f t="shared" si="2302"/>
        <v/>
      </c>
      <c r="DD835" s="521" t="str">
        <f t="shared" si="2303"/>
        <v/>
      </c>
      <c r="DE835" s="635">
        <f t="shared" si="2304"/>
        <v>10</v>
      </c>
      <c r="DF835" s="95">
        <f t="shared" si="2305"/>
        <v>10</v>
      </c>
      <c r="DG835" s="95">
        <f t="shared" si="2306"/>
        <v>10</v>
      </c>
      <c r="DH835" s="95">
        <f t="shared" si="2307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2330">SUM(B271)</f>
        <v>0</v>
      </c>
      <c r="C836" s="786">
        <f t="shared" si="2330"/>
        <v>0</v>
      </c>
      <c r="D836" s="786">
        <f t="shared" si="2330"/>
        <v>0</v>
      </c>
      <c r="E836" s="786">
        <f t="shared" si="2330"/>
        <v>0</v>
      </c>
      <c r="F836" s="786">
        <f t="shared" si="2330"/>
        <v>0</v>
      </c>
      <c r="G836" s="786">
        <f t="shared" si="2330"/>
        <v>0</v>
      </c>
      <c r="H836" s="786">
        <f t="shared" si="2330"/>
        <v>0</v>
      </c>
      <c r="I836" s="786">
        <f t="shared" si="2330"/>
        <v>0</v>
      </c>
      <c r="J836" s="786">
        <f t="shared" si="2330"/>
        <v>0</v>
      </c>
      <c r="K836" s="786">
        <f t="shared" si="2330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2331">SUM(T271)</f>
        <v>0</v>
      </c>
      <c r="U836" s="786">
        <f t="shared" si="2331"/>
        <v>0</v>
      </c>
      <c r="V836" s="786">
        <f t="shared" si="2331"/>
        <v>0</v>
      </c>
      <c r="W836" s="786">
        <f t="shared" si="2331"/>
        <v>0</v>
      </c>
      <c r="X836" s="786">
        <f t="shared" si="2331"/>
        <v>0</v>
      </c>
      <c r="Y836" s="786">
        <f t="shared" si="2331"/>
        <v>0</v>
      </c>
      <c r="Z836" s="786">
        <f t="shared" si="2331"/>
        <v>0</v>
      </c>
      <c r="AA836" s="786">
        <f t="shared" si="2331"/>
        <v>0</v>
      </c>
      <c r="AB836" s="786">
        <f t="shared" si="2331"/>
        <v>0</v>
      </c>
      <c r="AC836" s="786">
        <f t="shared" si="2331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2332">SUM(AL271)</f>
        <v>0</v>
      </c>
      <c r="AM836" s="786">
        <f t="shared" si="2332"/>
        <v>0</v>
      </c>
      <c r="AN836" s="786">
        <f t="shared" si="2332"/>
        <v>0</v>
      </c>
      <c r="AO836" s="786">
        <f t="shared" si="2332"/>
        <v>0</v>
      </c>
      <c r="AP836" s="786">
        <f t="shared" si="2332"/>
        <v>0</v>
      </c>
      <c r="AQ836" s="786">
        <f t="shared" si="2332"/>
        <v>0</v>
      </c>
      <c r="AR836" s="786">
        <f t="shared" si="2332"/>
        <v>0</v>
      </c>
      <c r="AS836" s="786">
        <f t="shared" si="2332"/>
        <v>0</v>
      </c>
      <c r="AT836" s="786">
        <f t="shared" si="2332"/>
        <v>0</v>
      </c>
      <c r="AU836" s="786">
        <f t="shared" si="2332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2333">SUM(BD271)</f>
        <v>0</v>
      </c>
      <c r="BE836" s="786">
        <f t="shared" si="2333"/>
        <v>0</v>
      </c>
      <c r="BF836" s="786">
        <f t="shared" si="2333"/>
        <v>0</v>
      </c>
      <c r="BG836" s="786">
        <f t="shared" si="2333"/>
        <v>0</v>
      </c>
      <c r="BH836" s="786">
        <f t="shared" si="2333"/>
        <v>0</v>
      </c>
      <c r="BI836" s="786">
        <f t="shared" si="2333"/>
        <v>0</v>
      </c>
      <c r="BJ836" s="786">
        <f t="shared" si="2333"/>
        <v>0</v>
      </c>
      <c r="BK836" s="786">
        <f t="shared" si="2333"/>
        <v>0</v>
      </c>
      <c r="BL836" s="786">
        <f t="shared" si="2333"/>
        <v>0</v>
      </c>
      <c r="BM836" s="786">
        <f t="shared" si="2333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2282"/>
        <v>0</v>
      </c>
      <c r="CA836" s="607">
        <f t="shared" si="2283"/>
        <v>0</v>
      </c>
      <c r="CB836" s="607">
        <f t="shared" si="2284"/>
        <v>0</v>
      </c>
      <c r="CC836" s="673">
        <f t="shared" si="2285"/>
        <v>0</v>
      </c>
      <c r="CD836" s="991">
        <f t="shared" si="2312"/>
        <v>0</v>
      </c>
      <c r="CE836" s="992">
        <f t="shared" si="2313"/>
        <v>0</v>
      </c>
      <c r="CF836" s="992">
        <f t="shared" si="2313"/>
        <v>0</v>
      </c>
      <c r="CG836" s="992">
        <f t="shared" si="2313"/>
        <v>0</v>
      </c>
      <c r="CH836" s="993">
        <f t="shared" si="2313"/>
        <v>0</v>
      </c>
      <c r="CI836" s="993">
        <f t="shared" si="2313"/>
        <v>0</v>
      </c>
      <c r="CJ836" s="992">
        <f t="shared" si="2313"/>
        <v>0</v>
      </c>
      <c r="CK836" s="992">
        <f t="shared" si="2313"/>
        <v>0</v>
      </c>
      <c r="CL836" s="992">
        <f t="shared" si="2313"/>
        <v>0</v>
      </c>
      <c r="CM836" s="991">
        <f t="shared" si="2313"/>
        <v>0</v>
      </c>
      <c r="CN836" s="521" t="str">
        <f t="shared" si="2287"/>
        <v/>
      </c>
      <c r="CO836" s="522" t="str">
        <f t="shared" si="2288"/>
        <v/>
      </c>
      <c r="CP836" s="523" t="str">
        <f t="shared" si="2289"/>
        <v/>
      </c>
      <c r="CQ836" s="523" t="str">
        <f t="shared" si="2290"/>
        <v/>
      </c>
      <c r="CR836" s="523">
        <f t="shared" si="2291"/>
        <v>0</v>
      </c>
      <c r="CS836" s="523">
        <f t="shared" si="2292"/>
        <v>0</v>
      </c>
      <c r="CT836" s="523">
        <f t="shared" si="2293"/>
        <v>0</v>
      </c>
      <c r="CU836" s="524">
        <f t="shared" si="2294"/>
        <v>0</v>
      </c>
      <c r="CV836" s="524">
        <f t="shared" si="2295"/>
        <v>0</v>
      </c>
      <c r="CW836" s="524">
        <f t="shared" si="2296"/>
        <v>0</v>
      </c>
      <c r="CX836" s="523">
        <f t="shared" si="2297"/>
        <v>0</v>
      </c>
      <c r="CY836" s="523">
        <f t="shared" si="2298"/>
        <v>0</v>
      </c>
      <c r="CZ836" s="523">
        <f t="shared" si="2299"/>
        <v>0</v>
      </c>
      <c r="DA836" s="523">
        <f t="shared" si="2300"/>
        <v>0</v>
      </c>
      <c r="DB836" s="523" t="str">
        <f t="shared" si="2301"/>
        <v/>
      </c>
      <c r="DC836" s="522" t="str">
        <f t="shared" si="2302"/>
        <v/>
      </c>
      <c r="DD836" s="521" t="str">
        <f t="shared" si="2303"/>
        <v/>
      </c>
      <c r="DE836" s="635">
        <f t="shared" si="2304"/>
        <v>10</v>
      </c>
      <c r="DF836" s="95">
        <f t="shared" si="2305"/>
        <v>10</v>
      </c>
      <c r="DG836" s="95">
        <f t="shared" si="2306"/>
        <v>10</v>
      </c>
      <c r="DH836" s="95">
        <f t="shared" si="2307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2334">SUM(B278)</f>
        <v>0</v>
      </c>
      <c r="C837" s="786">
        <f t="shared" si="2334"/>
        <v>0</v>
      </c>
      <c r="D837" s="786">
        <f t="shared" si="2334"/>
        <v>0</v>
      </c>
      <c r="E837" s="786">
        <f t="shared" si="2334"/>
        <v>0</v>
      </c>
      <c r="F837" s="786">
        <f t="shared" si="2334"/>
        <v>0</v>
      </c>
      <c r="G837" s="786">
        <f t="shared" si="2334"/>
        <v>0</v>
      </c>
      <c r="H837" s="786">
        <f t="shared" si="2334"/>
        <v>0</v>
      </c>
      <c r="I837" s="786">
        <f t="shared" si="2334"/>
        <v>0</v>
      </c>
      <c r="J837" s="786">
        <f t="shared" si="2334"/>
        <v>0</v>
      </c>
      <c r="K837" s="786">
        <f t="shared" si="2334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2335">SUM(T278)</f>
        <v>0</v>
      </c>
      <c r="U837" s="786">
        <f t="shared" si="2335"/>
        <v>0</v>
      </c>
      <c r="V837" s="786">
        <f t="shared" si="2335"/>
        <v>0</v>
      </c>
      <c r="W837" s="786">
        <f t="shared" si="2335"/>
        <v>0</v>
      </c>
      <c r="X837" s="786">
        <f t="shared" si="2335"/>
        <v>0</v>
      </c>
      <c r="Y837" s="786">
        <f t="shared" si="2335"/>
        <v>0</v>
      </c>
      <c r="Z837" s="786">
        <f t="shared" si="2335"/>
        <v>0</v>
      </c>
      <c r="AA837" s="786">
        <f t="shared" si="2335"/>
        <v>0</v>
      </c>
      <c r="AB837" s="786">
        <f t="shared" si="2335"/>
        <v>0</v>
      </c>
      <c r="AC837" s="786">
        <f t="shared" si="2335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2336">SUM(AL278)</f>
        <v>0</v>
      </c>
      <c r="AM837" s="786">
        <f t="shared" si="2336"/>
        <v>0</v>
      </c>
      <c r="AN837" s="786">
        <f t="shared" si="2336"/>
        <v>0</v>
      </c>
      <c r="AO837" s="786">
        <f t="shared" si="2336"/>
        <v>0</v>
      </c>
      <c r="AP837" s="786">
        <f t="shared" si="2336"/>
        <v>0</v>
      </c>
      <c r="AQ837" s="786">
        <f t="shared" si="2336"/>
        <v>0</v>
      </c>
      <c r="AR837" s="786">
        <f t="shared" si="2336"/>
        <v>0</v>
      </c>
      <c r="AS837" s="786">
        <f t="shared" si="2336"/>
        <v>0</v>
      </c>
      <c r="AT837" s="786">
        <f t="shared" si="2336"/>
        <v>0</v>
      </c>
      <c r="AU837" s="786">
        <f t="shared" si="2336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2337">SUM(BD278)</f>
        <v>0</v>
      </c>
      <c r="BE837" s="786">
        <f t="shared" si="2337"/>
        <v>0</v>
      </c>
      <c r="BF837" s="786">
        <f t="shared" si="2337"/>
        <v>0</v>
      </c>
      <c r="BG837" s="786">
        <f t="shared" si="2337"/>
        <v>0</v>
      </c>
      <c r="BH837" s="786">
        <f t="shared" si="2337"/>
        <v>0</v>
      </c>
      <c r="BI837" s="786">
        <f t="shared" si="2337"/>
        <v>0</v>
      </c>
      <c r="BJ837" s="786">
        <f t="shared" si="2337"/>
        <v>0</v>
      </c>
      <c r="BK837" s="786">
        <f t="shared" si="2337"/>
        <v>0</v>
      </c>
      <c r="BL837" s="786">
        <f t="shared" si="2337"/>
        <v>0</v>
      </c>
      <c r="BM837" s="786">
        <f t="shared" si="2337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2282"/>
        <v>0</v>
      </c>
      <c r="CA837" s="607">
        <f t="shared" si="2283"/>
        <v>0</v>
      </c>
      <c r="CB837" s="607">
        <f t="shared" si="2284"/>
        <v>0</v>
      </c>
      <c r="CC837" s="673">
        <f t="shared" si="2285"/>
        <v>0</v>
      </c>
      <c r="CD837" s="991">
        <f t="shared" si="2312"/>
        <v>0</v>
      </c>
      <c r="CE837" s="992">
        <f t="shared" si="2313"/>
        <v>0</v>
      </c>
      <c r="CF837" s="992">
        <f t="shared" si="2313"/>
        <v>0</v>
      </c>
      <c r="CG837" s="992">
        <f t="shared" si="2313"/>
        <v>0</v>
      </c>
      <c r="CH837" s="993">
        <f t="shared" si="2313"/>
        <v>0</v>
      </c>
      <c r="CI837" s="993">
        <f t="shared" si="2313"/>
        <v>0</v>
      </c>
      <c r="CJ837" s="992">
        <f t="shared" si="2313"/>
        <v>0</v>
      </c>
      <c r="CK837" s="992">
        <f t="shared" si="2313"/>
        <v>0</v>
      </c>
      <c r="CL837" s="992">
        <f t="shared" si="2313"/>
        <v>0</v>
      </c>
      <c r="CM837" s="991">
        <f t="shared" si="2313"/>
        <v>0</v>
      </c>
      <c r="CN837" s="521" t="str">
        <f t="shared" si="2287"/>
        <v/>
      </c>
      <c r="CO837" s="522" t="str">
        <f t="shared" si="2288"/>
        <v/>
      </c>
      <c r="CP837" s="523" t="str">
        <f t="shared" si="2289"/>
        <v/>
      </c>
      <c r="CQ837" s="523" t="str">
        <f t="shared" si="2290"/>
        <v/>
      </c>
      <c r="CR837" s="523">
        <f t="shared" si="2291"/>
        <v>0</v>
      </c>
      <c r="CS837" s="523">
        <f t="shared" si="2292"/>
        <v>0</v>
      </c>
      <c r="CT837" s="523">
        <f t="shared" si="2293"/>
        <v>0</v>
      </c>
      <c r="CU837" s="524">
        <f t="shared" si="2294"/>
        <v>0</v>
      </c>
      <c r="CV837" s="524">
        <f t="shared" si="2295"/>
        <v>0</v>
      </c>
      <c r="CW837" s="524">
        <f t="shared" si="2296"/>
        <v>0</v>
      </c>
      <c r="CX837" s="523">
        <f t="shared" si="2297"/>
        <v>0</v>
      </c>
      <c r="CY837" s="523">
        <f t="shared" si="2298"/>
        <v>0</v>
      </c>
      <c r="CZ837" s="523">
        <f t="shared" si="2299"/>
        <v>0</v>
      </c>
      <c r="DA837" s="523">
        <f t="shared" si="2300"/>
        <v>0</v>
      </c>
      <c r="DB837" s="523" t="str">
        <f t="shared" si="2301"/>
        <v/>
      </c>
      <c r="DC837" s="522" t="str">
        <f t="shared" si="2302"/>
        <v/>
      </c>
      <c r="DD837" s="521" t="str">
        <f t="shared" si="2303"/>
        <v/>
      </c>
      <c r="DE837" s="635">
        <f t="shared" si="2304"/>
        <v>10</v>
      </c>
      <c r="DF837" s="95">
        <f t="shared" si="2305"/>
        <v>10</v>
      </c>
      <c r="DG837" s="95">
        <f t="shared" si="2306"/>
        <v>10</v>
      </c>
      <c r="DH837" s="95">
        <f t="shared" si="2307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2338">SUM(B285)</f>
        <v>0</v>
      </c>
      <c r="C838" s="786">
        <f t="shared" si="2338"/>
        <v>0</v>
      </c>
      <c r="D838" s="786">
        <f t="shared" si="2338"/>
        <v>0</v>
      </c>
      <c r="E838" s="786">
        <f t="shared" si="2338"/>
        <v>0</v>
      </c>
      <c r="F838" s="786">
        <f t="shared" si="2338"/>
        <v>0</v>
      </c>
      <c r="G838" s="786">
        <f t="shared" si="2338"/>
        <v>0</v>
      </c>
      <c r="H838" s="786">
        <f t="shared" si="2338"/>
        <v>0</v>
      </c>
      <c r="I838" s="786">
        <f t="shared" si="2338"/>
        <v>0</v>
      </c>
      <c r="J838" s="786">
        <f t="shared" si="2338"/>
        <v>0</v>
      </c>
      <c r="K838" s="786">
        <f t="shared" si="2338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2339">SUM(T285)</f>
        <v>0</v>
      </c>
      <c r="U838" s="786">
        <f t="shared" si="2339"/>
        <v>0</v>
      </c>
      <c r="V838" s="786">
        <f t="shared" si="2339"/>
        <v>0</v>
      </c>
      <c r="W838" s="786">
        <f t="shared" si="2339"/>
        <v>0</v>
      </c>
      <c r="X838" s="786">
        <f t="shared" si="2339"/>
        <v>0</v>
      </c>
      <c r="Y838" s="786">
        <f t="shared" si="2339"/>
        <v>0</v>
      </c>
      <c r="Z838" s="786">
        <f t="shared" si="2339"/>
        <v>0</v>
      </c>
      <c r="AA838" s="786">
        <f t="shared" si="2339"/>
        <v>0</v>
      </c>
      <c r="AB838" s="786">
        <f t="shared" si="2339"/>
        <v>0</v>
      </c>
      <c r="AC838" s="786">
        <f t="shared" si="2339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2340">SUM(AL285)</f>
        <v>0</v>
      </c>
      <c r="AM838" s="786">
        <f t="shared" si="2340"/>
        <v>0</v>
      </c>
      <c r="AN838" s="786">
        <f t="shared" si="2340"/>
        <v>0</v>
      </c>
      <c r="AO838" s="786">
        <f t="shared" si="2340"/>
        <v>0</v>
      </c>
      <c r="AP838" s="786">
        <f t="shared" si="2340"/>
        <v>0</v>
      </c>
      <c r="AQ838" s="786">
        <f t="shared" si="2340"/>
        <v>0</v>
      </c>
      <c r="AR838" s="786">
        <f t="shared" si="2340"/>
        <v>0</v>
      </c>
      <c r="AS838" s="786">
        <f t="shared" si="2340"/>
        <v>0</v>
      </c>
      <c r="AT838" s="786">
        <f t="shared" si="2340"/>
        <v>0</v>
      </c>
      <c r="AU838" s="786">
        <f t="shared" si="2340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2341">SUM(BD285)</f>
        <v>0</v>
      </c>
      <c r="BE838" s="786">
        <f t="shared" si="2341"/>
        <v>0</v>
      </c>
      <c r="BF838" s="786">
        <f t="shared" si="2341"/>
        <v>0</v>
      </c>
      <c r="BG838" s="786">
        <f t="shared" si="2341"/>
        <v>0</v>
      </c>
      <c r="BH838" s="786">
        <f t="shared" si="2341"/>
        <v>0</v>
      </c>
      <c r="BI838" s="786">
        <f t="shared" si="2341"/>
        <v>0</v>
      </c>
      <c r="BJ838" s="786">
        <f t="shared" si="2341"/>
        <v>0</v>
      </c>
      <c r="BK838" s="786">
        <f t="shared" si="2341"/>
        <v>0</v>
      </c>
      <c r="BL838" s="786">
        <f t="shared" si="2341"/>
        <v>0</v>
      </c>
      <c r="BM838" s="786">
        <f t="shared" si="2341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2282"/>
        <v>0</v>
      </c>
      <c r="CA838" s="607">
        <f t="shared" si="2283"/>
        <v>0</v>
      </c>
      <c r="CB838" s="607">
        <f t="shared" si="2284"/>
        <v>0</v>
      </c>
      <c r="CC838" s="673">
        <f t="shared" si="2285"/>
        <v>0</v>
      </c>
      <c r="CD838" s="991">
        <f t="shared" si="2312"/>
        <v>0</v>
      </c>
      <c r="CE838" s="992">
        <f t="shared" si="2313"/>
        <v>0</v>
      </c>
      <c r="CF838" s="992">
        <f t="shared" si="2313"/>
        <v>0</v>
      </c>
      <c r="CG838" s="992">
        <f t="shared" si="2313"/>
        <v>0</v>
      </c>
      <c r="CH838" s="993">
        <f t="shared" si="2313"/>
        <v>0</v>
      </c>
      <c r="CI838" s="993">
        <f t="shared" si="2313"/>
        <v>0</v>
      </c>
      <c r="CJ838" s="992">
        <f t="shared" si="2313"/>
        <v>0</v>
      </c>
      <c r="CK838" s="992">
        <f t="shared" si="2313"/>
        <v>0</v>
      </c>
      <c r="CL838" s="992">
        <f t="shared" si="2313"/>
        <v>0</v>
      </c>
      <c r="CM838" s="991">
        <f t="shared" si="2313"/>
        <v>0</v>
      </c>
      <c r="CN838" s="521" t="str">
        <f t="shared" si="2287"/>
        <v/>
      </c>
      <c r="CO838" s="522" t="str">
        <f t="shared" si="2288"/>
        <v/>
      </c>
      <c r="CP838" s="523" t="str">
        <f t="shared" si="2289"/>
        <v/>
      </c>
      <c r="CQ838" s="523" t="str">
        <f t="shared" si="2290"/>
        <v/>
      </c>
      <c r="CR838" s="523">
        <f t="shared" si="2291"/>
        <v>0</v>
      </c>
      <c r="CS838" s="523">
        <f t="shared" si="2292"/>
        <v>0</v>
      </c>
      <c r="CT838" s="523">
        <f t="shared" si="2293"/>
        <v>0</v>
      </c>
      <c r="CU838" s="524">
        <f t="shared" si="2294"/>
        <v>0</v>
      </c>
      <c r="CV838" s="524">
        <f t="shared" si="2295"/>
        <v>0</v>
      </c>
      <c r="CW838" s="524">
        <f t="shared" si="2296"/>
        <v>0</v>
      </c>
      <c r="CX838" s="523">
        <f t="shared" si="2297"/>
        <v>0</v>
      </c>
      <c r="CY838" s="523">
        <f t="shared" si="2298"/>
        <v>0</v>
      </c>
      <c r="CZ838" s="523">
        <f t="shared" si="2299"/>
        <v>0</v>
      </c>
      <c r="DA838" s="523">
        <f t="shared" si="2300"/>
        <v>0</v>
      </c>
      <c r="DB838" s="523" t="str">
        <f t="shared" si="2301"/>
        <v/>
      </c>
      <c r="DC838" s="522" t="str">
        <f t="shared" si="2302"/>
        <v/>
      </c>
      <c r="DD838" s="521" t="str">
        <f t="shared" si="2303"/>
        <v/>
      </c>
      <c r="DE838" s="635">
        <f t="shared" si="2304"/>
        <v>10</v>
      </c>
      <c r="DF838" s="95">
        <f t="shared" si="2305"/>
        <v>10</v>
      </c>
      <c r="DG838" s="95">
        <f t="shared" si="2306"/>
        <v>10</v>
      </c>
      <c r="DH838" s="95">
        <f t="shared" si="2307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2342">SUM(B292)</f>
        <v>0</v>
      </c>
      <c r="C839" s="786">
        <f t="shared" si="2342"/>
        <v>0</v>
      </c>
      <c r="D839" s="786">
        <f t="shared" si="2342"/>
        <v>0</v>
      </c>
      <c r="E839" s="786">
        <f t="shared" si="2342"/>
        <v>0</v>
      </c>
      <c r="F839" s="786">
        <f t="shared" si="2342"/>
        <v>0</v>
      </c>
      <c r="G839" s="786">
        <f t="shared" si="2342"/>
        <v>0</v>
      </c>
      <c r="H839" s="786">
        <f t="shared" si="2342"/>
        <v>0</v>
      </c>
      <c r="I839" s="786">
        <f t="shared" si="2342"/>
        <v>0</v>
      </c>
      <c r="J839" s="786">
        <f t="shared" si="2342"/>
        <v>0</v>
      </c>
      <c r="K839" s="786">
        <f t="shared" si="2342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2343">SUM(T292)</f>
        <v>0</v>
      </c>
      <c r="U839" s="786">
        <f t="shared" si="2343"/>
        <v>0</v>
      </c>
      <c r="V839" s="786">
        <f t="shared" si="2343"/>
        <v>0</v>
      </c>
      <c r="W839" s="786">
        <f t="shared" si="2343"/>
        <v>0</v>
      </c>
      <c r="X839" s="786">
        <f t="shared" si="2343"/>
        <v>0</v>
      </c>
      <c r="Y839" s="786">
        <f t="shared" si="2343"/>
        <v>0</v>
      </c>
      <c r="Z839" s="786">
        <f t="shared" si="2343"/>
        <v>0</v>
      </c>
      <c r="AA839" s="786">
        <f t="shared" si="2343"/>
        <v>0</v>
      </c>
      <c r="AB839" s="786">
        <f t="shared" si="2343"/>
        <v>0</v>
      </c>
      <c r="AC839" s="786">
        <f t="shared" si="2343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2344">SUM(AL292)</f>
        <v>0</v>
      </c>
      <c r="AM839" s="786">
        <f t="shared" si="2344"/>
        <v>0</v>
      </c>
      <c r="AN839" s="786">
        <f t="shared" si="2344"/>
        <v>0</v>
      </c>
      <c r="AO839" s="786">
        <f t="shared" si="2344"/>
        <v>0</v>
      </c>
      <c r="AP839" s="786">
        <f t="shared" si="2344"/>
        <v>0</v>
      </c>
      <c r="AQ839" s="786">
        <f t="shared" si="2344"/>
        <v>0</v>
      </c>
      <c r="AR839" s="786">
        <f t="shared" si="2344"/>
        <v>0</v>
      </c>
      <c r="AS839" s="786">
        <f t="shared" si="2344"/>
        <v>0</v>
      </c>
      <c r="AT839" s="786">
        <f t="shared" si="2344"/>
        <v>0</v>
      </c>
      <c r="AU839" s="786">
        <f t="shared" si="2344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2345">SUM(BD292)</f>
        <v>0</v>
      </c>
      <c r="BE839" s="786">
        <f t="shared" si="2345"/>
        <v>0</v>
      </c>
      <c r="BF839" s="786">
        <f t="shared" si="2345"/>
        <v>0</v>
      </c>
      <c r="BG839" s="786">
        <f t="shared" si="2345"/>
        <v>0</v>
      </c>
      <c r="BH839" s="786">
        <f t="shared" si="2345"/>
        <v>0</v>
      </c>
      <c r="BI839" s="786">
        <f t="shared" si="2345"/>
        <v>0</v>
      </c>
      <c r="BJ839" s="786">
        <f t="shared" si="2345"/>
        <v>0</v>
      </c>
      <c r="BK839" s="786">
        <f t="shared" si="2345"/>
        <v>0</v>
      </c>
      <c r="BL839" s="786">
        <f t="shared" si="2345"/>
        <v>0</v>
      </c>
      <c r="BM839" s="786">
        <f t="shared" si="2345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2282"/>
        <v>0</v>
      </c>
      <c r="CA839" s="607">
        <f t="shared" si="2283"/>
        <v>0</v>
      </c>
      <c r="CB839" s="607">
        <f t="shared" si="2284"/>
        <v>0</v>
      </c>
      <c r="CC839" s="673">
        <f t="shared" si="2285"/>
        <v>0</v>
      </c>
      <c r="CD839" s="991">
        <f t="shared" si="2312"/>
        <v>0</v>
      </c>
      <c r="CE839" s="992">
        <f t="shared" si="2313"/>
        <v>0</v>
      </c>
      <c r="CF839" s="992">
        <f t="shared" si="2313"/>
        <v>0</v>
      </c>
      <c r="CG839" s="992">
        <f t="shared" si="2313"/>
        <v>0</v>
      </c>
      <c r="CH839" s="993">
        <f t="shared" si="2313"/>
        <v>0</v>
      </c>
      <c r="CI839" s="993">
        <f t="shared" si="2313"/>
        <v>0</v>
      </c>
      <c r="CJ839" s="992">
        <f t="shared" si="2313"/>
        <v>0</v>
      </c>
      <c r="CK839" s="992">
        <f t="shared" si="2313"/>
        <v>0</v>
      </c>
      <c r="CL839" s="992">
        <f t="shared" si="2313"/>
        <v>0</v>
      </c>
      <c r="CM839" s="991">
        <f t="shared" si="2313"/>
        <v>0</v>
      </c>
      <c r="CN839" s="521" t="str">
        <f t="shared" si="2287"/>
        <v/>
      </c>
      <c r="CO839" s="522" t="str">
        <f t="shared" si="2288"/>
        <v/>
      </c>
      <c r="CP839" s="523" t="str">
        <f t="shared" si="2289"/>
        <v/>
      </c>
      <c r="CQ839" s="523" t="str">
        <f t="shared" si="2290"/>
        <v/>
      </c>
      <c r="CR839" s="523">
        <f t="shared" si="2291"/>
        <v>0</v>
      </c>
      <c r="CS839" s="523">
        <f t="shared" si="2292"/>
        <v>0</v>
      </c>
      <c r="CT839" s="523">
        <f t="shared" si="2293"/>
        <v>0</v>
      </c>
      <c r="CU839" s="524">
        <f t="shared" si="2294"/>
        <v>0</v>
      </c>
      <c r="CV839" s="524">
        <f t="shared" si="2295"/>
        <v>0</v>
      </c>
      <c r="CW839" s="524">
        <f t="shared" si="2296"/>
        <v>0</v>
      </c>
      <c r="CX839" s="523">
        <f t="shared" si="2297"/>
        <v>0</v>
      </c>
      <c r="CY839" s="523">
        <f t="shared" si="2298"/>
        <v>0</v>
      </c>
      <c r="CZ839" s="523">
        <f t="shared" si="2299"/>
        <v>0</v>
      </c>
      <c r="DA839" s="523">
        <f t="shared" si="2300"/>
        <v>0</v>
      </c>
      <c r="DB839" s="523" t="str">
        <f t="shared" si="2301"/>
        <v/>
      </c>
      <c r="DC839" s="522" t="str">
        <f t="shared" si="2302"/>
        <v/>
      </c>
      <c r="DD839" s="521" t="str">
        <f t="shared" si="2303"/>
        <v/>
      </c>
      <c r="DE839" s="635">
        <f t="shared" si="2304"/>
        <v>10</v>
      </c>
      <c r="DF839" s="95">
        <f t="shared" si="2305"/>
        <v>10</v>
      </c>
      <c r="DG839" s="95">
        <f t="shared" si="2306"/>
        <v>10</v>
      </c>
      <c r="DH839" s="95">
        <f t="shared" si="2307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2346">SUM(B299)</f>
        <v>0</v>
      </c>
      <c r="C840" s="786">
        <f t="shared" si="2346"/>
        <v>0</v>
      </c>
      <c r="D840" s="786">
        <f t="shared" si="2346"/>
        <v>0</v>
      </c>
      <c r="E840" s="786">
        <f t="shared" si="2346"/>
        <v>0</v>
      </c>
      <c r="F840" s="786">
        <f t="shared" si="2346"/>
        <v>0</v>
      </c>
      <c r="G840" s="786">
        <f t="shared" si="2346"/>
        <v>0</v>
      </c>
      <c r="H840" s="786">
        <f t="shared" si="2346"/>
        <v>0</v>
      </c>
      <c r="I840" s="786">
        <f t="shared" si="2346"/>
        <v>0</v>
      </c>
      <c r="J840" s="786">
        <f t="shared" si="2346"/>
        <v>0</v>
      </c>
      <c r="K840" s="786">
        <f t="shared" si="2346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2347">SUM(T299)</f>
        <v>0</v>
      </c>
      <c r="U840" s="786">
        <f t="shared" si="2347"/>
        <v>0</v>
      </c>
      <c r="V840" s="786">
        <f t="shared" si="2347"/>
        <v>0</v>
      </c>
      <c r="W840" s="786">
        <f t="shared" si="2347"/>
        <v>0</v>
      </c>
      <c r="X840" s="786">
        <f t="shared" si="2347"/>
        <v>0</v>
      </c>
      <c r="Y840" s="786">
        <f t="shared" si="2347"/>
        <v>0</v>
      </c>
      <c r="Z840" s="786">
        <f t="shared" si="2347"/>
        <v>0</v>
      </c>
      <c r="AA840" s="786">
        <f t="shared" si="2347"/>
        <v>0</v>
      </c>
      <c r="AB840" s="786">
        <f t="shared" si="2347"/>
        <v>0</v>
      </c>
      <c r="AC840" s="786">
        <f t="shared" si="2347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2348">SUM(AL299)</f>
        <v>0</v>
      </c>
      <c r="AM840" s="786">
        <f t="shared" si="2348"/>
        <v>0</v>
      </c>
      <c r="AN840" s="786">
        <f t="shared" si="2348"/>
        <v>0</v>
      </c>
      <c r="AO840" s="786">
        <f t="shared" si="2348"/>
        <v>0</v>
      </c>
      <c r="AP840" s="786">
        <f t="shared" si="2348"/>
        <v>0</v>
      </c>
      <c r="AQ840" s="786">
        <f t="shared" si="2348"/>
        <v>0</v>
      </c>
      <c r="AR840" s="786">
        <f t="shared" si="2348"/>
        <v>0</v>
      </c>
      <c r="AS840" s="786">
        <f t="shared" si="2348"/>
        <v>0</v>
      </c>
      <c r="AT840" s="786">
        <f t="shared" si="2348"/>
        <v>0</v>
      </c>
      <c r="AU840" s="786">
        <f t="shared" si="2348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2349">SUM(BD299)</f>
        <v>0</v>
      </c>
      <c r="BE840" s="786">
        <f t="shared" si="2349"/>
        <v>0</v>
      </c>
      <c r="BF840" s="786">
        <f t="shared" si="2349"/>
        <v>0</v>
      </c>
      <c r="BG840" s="786">
        <f t="shared" si="2349"/>
        <v>0</v>
      </c>
      <c r="BH840" s="786">
        <f t="shared" si="2349"/>
        <v>0</v>
      </c>
      <c r="BI840" s="786">
        <f t="shared" si="2349"/>
        <v>0</v>
      </c>
      <c r="BJ840" s="786">
        <f t="shared" si="2349"/>
        <v>0</v>
      </c>
      <c r="BK840" s="786">
        <f t="shared" si="2349"/>
        <v>0</v>
      </c>
      <c r="BL840" s="786">
        <f t="shared" si="2349"/>
        <v>0</v>
      </c>
      <c r="BM840" s="786">
        <f t="shared" si="2349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2282"/>
        <v>0</v>
      </c>
      <c r="CA840" s="607">
        <f t="shared" si="2283"/>
        <v>0</v>
      </c>
      <c r="CB840" s="607">
        <f t="shared" si="2284"/>
        <v>0</v>
      </c>
      <c r="CC840" s="673">
        <f t="shared" si="2285"/>
        <v>0</v>
      </c>
      <c r="CD840" s="991">
        <f t="shared" si="2312"/>
        <v>0</v>
      </c>
      <c r="CE840" s="992">
        <f t="shared" si="2313"/>
        <v>0</v>
      </c>
      <c r="CF840" s="992">
        <f t="shared" si="2313"/>
        <v>0</v>
      </c>
      <c r="CG840" s="992">
        <f t="shared" si="2313"/>
        <v>0</v>
      </c>
      <c r="CH840" s="993">
        <f t="shared" si="2313"/>
        <v>0</v>
      </c>
      <c r="CI840" s="993">
        <f t="shared" si="2313"/>
        <v>0</v>
      </c>
      <c r="CJ840" s="992">
        <f t="shared" si="2313"/>
        <v>0</v>
      </c>
      <c r="CK840" s="992">
        <f t="shared" si="2313"/>
        <v>0</v>
      </c>
      <c r="CL840" s="992">
        <f t="shared" si="2313"/>
        <v>0</v>
      </c>
      <c r="CM840" s="991">
        <f t="shared" si="2313"/>
        <v>0</v>
      </c>
      <c r="CN840" s="521" t="str">
        <f t="shared" si="2287"/>
        <v/>
      </c>
      <c r="CO840" s="522" t="str">
        <f t="shared" si="2288"/>
        <v/>
      </c>
      <c r="CP840" s="523" t="str">
        <f t="shared" si="2289"/>
        <v/>
      </c>
      <c r="CQ840" s="523" t="str">
        <f t="shared" si="2290"/>
        <v/>
      </c>
      <c r="CR840" s="523">
        <f t="shared" si="2291"/>
        <v>0</v>
      </c>
      <c r="CS840" s="523">
        <f t="shared" si="2292"/>
        <v>0</v>
      </c>
      <c r="CT840" s="523">
        <f t="shared" si="2293"/>
        <v>0</v>
      </c>
      <c r="CU840" s="524">
        <f t="shared" si="2294"/>
        <v>0</v>
      </c>
      <c r="CV840" s="524">
        <f t="shared" si="2295"/>
        <v>0</v>
      </c>
      <c r="CW840" s="524">
        <f t="shared" si="2296"/>
        <v>0</v>
      </c>
      <c r="CX840" s="523">
        <f t="shared" si="2297"/>
        <v>0</v>
      </c>
      <c r="CY840" s="523">
        <f t="shared" si="2298"/>
        <v>0</v>
      </c>
      <c r="CZ840" s="523">
        <f t="shared" si="2299"/>
        <v>0</v>
      </c>
      <c r="DA840" s="523">
        <f t="shared" si="2300"/>
        <v>0</v>
      </c>
      <c r="DB840" s="523" t="str">
        <f t="shared" si="2301"/>
        <v/>
      </c>
      <c r="DC840" s="522" t="str">
        <f t="shared" si="2302"/>
        <v/>
      </c>
      <c r="DD840" s="521" t="str">
        <f t="shared" si="2303"/>
        <v/>
      </c>
      <c r="DE840" s="635">
        <f t="shared" si="2304"/>
        <v>10</v>
      </c>
      <c r="DF840" s="95">
        <f t="shared" si="2305"/>
        <v>10</v>
      </c>
      <c r="DG840" s="95">
        <f t="shared" si="2306"/>
        <v>10</v>
      </c>
      <c r="DH840" s="95">
        <f t="shared" si="2307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2350">SUM(B309)</f>
        <v>0</v>
      </c>
      <c r="C841" s="786">
        <f t="shared" si="2350"/>
        <v>0</v>
      </c>
      <c r="D841" s="786">
        <f t="shared" si="2350"/>
        <v>0</v>
      </c>
      <c r="E841" s="786">
        <f t="shared" si="2350"/>
        <v>0</v>
      </c>
      <c r="F841" s="786">
        <f t="shared" si="2350"/>
        <v>0</v>
      </c>
      <c r="G841" s="786">
        <f t="shared" si="2350"/>
        <v>0</v>
      </c>
      <c r="H841" s="786">
        <f t="shared" si="2350"/>
        <v>0</v>
      </c>
      <c r="I841" s="786">
        <f t="shared" si="2350"/>
        <v>0</v>
      </c>
      <c r="J841" s="786">
        <f t="shared" si="2350"/>
        <v>0</v>
      </c>
      <c r="K841" s="786">
        <f t="shared" si="2350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2351">SUM(T309)</f>
        <v>0</v>
      </c>
      <c r="U841" s="786">
        <f t="shared" si="2351"/>
        <v>0</v>
      </c>
      <c r="V841" s="786">
        <f t="shared" si="2351"/>
        <v>0</v>
      </c>
      <c r="W841" s="786">
        <f t="shared" si="2351"/>
        <v>0</v>
      </c>
      <c r="X841" s="786">
        <f t="shared" si="2351"/>
        <v>0</v>
      </c>
      <c r="Y841" s="786">
        <f t="shared" si="2351"/>
        <v>0</v>
      </c>
      <c r="Z841" s="786">
        <f t="shared" si="2351"/>
        <v>0</v>
      </c>
      <c r="AA841" s="786">
        <f t="shared" si="2351"/>
        <v>0</v>
      </c>
      <c r="AB841" s="786">
        <f t="shared" si="2351"/>
        <v>0</v>
      </c>
      <c r="AC841" s="786">
        <f t="shared" si="2351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2352">SUM(AL309)</f>
        <v>0</v>
      </c>
      <c r="AM841" s="786">
        <f t="shared" si="2352"/>
        <v>0</v>
      </c>
      <c r="AN841" s="786">
        <f t="shared" si="2352"/>
        <v>0</v>
      </c>
      <c r="AO841" s="786">
        <f t="shared" si="2352"/>
        <v>0</v>
      </c>
      <c r="AP841" s="786">
        <f t="shared" si="2352"/>
        <v>0</v>
      </c>
      <c r="AQ841" s="786">
        <f t="shared" si="2352"/>
        <v>0</v>
      </c>
      <c r="AR841" s="786">
        <f t="shared" si="2352"/>
        <v>0</v>
      </c>
      <c r="AS841" s="786">
        <f t="shared" si="2352"/>
        <v>0</v>
      </c>
      <c r="AT841" s="786">
        <f t="shared" si="2352"/>
        <v>0</v>
      </c>
      <c r="AU841" s="786">
        <f t="shared" si="2352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2353">SUM(BD309)</f>
        <v>0</v>
      </c>
      <c r="BE841" s="786">
        <f t="shared" si="2353"/>
        <v>0</v>
      </c>
      <c r="BF841" s="786">
        <f t="shared" si="2353"/>
        <v>0</v>
      </c>
      <c r="BG841" s="786">
        <f t="shared" si="2353"/>
        <v>0</v>
      </c>
      <c r="BH841" s="786">
        <f t="shared" si="2353"/>
        <v>0</v>
      </c>
      <c r="BI841" s="786">
        <f t="shared" si="2353"/>
        <v>0</v>
      </c>
      <c r="BJ841" s="786">
        <f t="shared" si="2353"/>
        <v>0</v>
      </c>
      <c r="BK841" s="786">
        <f t="shared" si="2353"/>
        <v>0</v>
      </c>
      <c r="BL841" s="786">
        <f t="shared" si="2353"/>
        <v>0</v>
      </c>
      <c r="BM841" s="786">
        <f t="shared" si="2353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2282"/>
        <v>0</v>
      </c>
      <c r="CA841" s="607">
        <f t="shared" si="2283"/>
        <v>0</v>
      </c>
      <c r="CB841" s="607">
        <f t="shared" si="2284"/>
        <v>0</v>
      </c>
      <c r="CC841" s="673">
        <f t="shared" si="2285"/>
        <v>0</v>
      </c>
      <c r="CD841" s="991">
        <f t="shared" si="2312"/>
        <v>0</v>
      </c>
      <c r="CE841" s="992">
        <f t="shared" si="2313"/>
        <v>0</v>
      </c>
      <c r="CF841" s="992">
        <f t="shared" si="2313"/>
        <v>0</v>
      </c>
      <c r="CG841" s="992">
        <f t="shared" si="2313"/>
        <v>0</v>
      </c>
      <c r="CH841" s="993">
        <f t="shared" si="2313"/>
        <v>0</v>
      </c>
      <c r="CI841" s="993">
        <f t="shared" si="2313"/>
        <v>0</v>
      </c>
      <c r="CJ841" s="992">
        <f t="shared" si="2313"/>
        <v>0</v>
      </c>
      <c r="CK841" s="992">
        <f t="shared" si="2313"/>
        <v>0</v>
      </c>
      <c r="CL841" s="992">
        <f t="shared" si="2313"/>
        <v>0</v>
      </c>
      <c r="CM841" s="991">
        <f t="shared" si="2313"/>
        <v>0</v>
      </c>
      <c r="CN841" s="521" t="str">
        <f t="shared" si="2287"/>
        <v/>
      </c>
      <c r="CO841" s="522" t="str">
        <f t="shared" si="2288"/>
        <v/>
      </c>
      <c r="CP841" s="523" t="str">
        <f t="shared" si="2289"/>
        <v/>
      </c>
      <c r="CQ841" s="523" t="str">
        <f t="shared" si="2290"/>
        <v/>
      </c>
      <c r="CR841" s="523">
        <f t="shared" si="2291"/>
        <v>0</v>
      </c>
      <c r="CS841" s="523">
        <f t="shared" si="2292"/>
        <v>0</v>
      </c>
      <c r="CT841" s="523">
        <f t="shared" si="2293"/>
        <v>0</v>
      </c>
      <c r="CU841" s="524">
        <f t="shared" si="2294"/>
        <v>0</v>
      </c>
      <c r="CV841" s="524">
        <f t="shared" si="2295"/>
        <v>0</v>
      </c>
      <c r="CW841" s="524">
        <f t="shared" si="2296"/>
        <v>0</v>
      </c>
      <c r="CX841" s="523">
        <f t="shared" si="2297"/>
        <v>0</v>
      </c>
      <c r="CY841" s="523">
        <f t="shared" si="2298"/>
        <v>0</v>
      </c>
      <c r="CZ841" s="523">
        <f t="shared" si="2299"/>
        <v>0</v>
      </c>
      <c r="DA841" s="523">
        <f t="shared" si="2300"/>
        <v>0</v>
      </c>
      <c r="DB841" s="523" t="str">
        <f t="shared" si="2301"/>
        <v/>
      </c>
      <c r="DC841" s="522" t="str">
        <f t="shared" si="2302"/>
        <v/>
      </c>
      <c r="DD841" s="521" t="str">
        <f t="shared" si="2303"/>
        <v/>
      </c>
      <c r="DE841" s="635">
        <f t="shared" si="2304"/>
        <v>10</v>
      </c>
      <c r="DF841" s="95">
        <f t="shared" si="2305"/>
        <v>10</v>
      </c>
      <c r="DG841" s="95">
        <f t="shared" si="2306"/>
        <v>10</v>
      </c>
      <c r="DH841" s="95">
        <f t="shared" si="2307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2354">SUM(B319)</f>
        <v>0</v>
      </c>
      <c r="C842" s="786">
        <f t="shared" si="2354"/>
        <v>0</v>
      </c>
      <c r="D842" s="786">
        <f t="shared" si="2354"/>
        <v>0</v>
      </c>
      <c r="E842" s="786">
        <f t="shared" si="2354"/>
        <v>0</v>
      </c>
      <c r="F842" s="786">
        <f t="shared" si="2354"/>
        <v>0</v>
      </c>
      <c r="G842" s="786">
        <f t="shared" si="2354"/>
        <v>0</v>
      </c>
      <c r="H842" s="786">
        <f t="shared" si="2354"/>
        <v>0</v>
      </c>
      <c r="I842" s="786">
        <f t="shared" si="2354"/>
        <v>0</v>
      </c>
      <c r="J842" s="786">
        <f t="shared" si="2354"/>
        <v>0</v>
      </c>
      <c r="K842" s="786">
        <f t="shared" si="2354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2355">SUM(T319)</f>
        <v>0</v>
      </c>
      <c r="U842" s="786">
        <f t="shared" si="2355"/>
        <v>0</v>
      </c>
      <c r="V842" s="786">
        <f t="shared" si="2355"/>
        <v>0</v>
      </c>
      <c r="W842" s="786">
        <f t="shared" si="2355"/>
        <v>0</v>
      </c>
      <c r="X842" s="786">
        <f t="shared" si="2355"/>
        <v>0</v>
      </c>
      <c r="Y842" s="786">
        <f t="shared" si="2355"/>
        <v>0</v>
      </c>
      <c r="Z842" s="786">
        <f t="shared" si="2355"/>
        <v>0</v>
      </c>
      <c r="AA842" s="786">
        <f t="shared" si="2355"/>
        <v>0</v>
      </c>
      <c r="AB842" s="786">
        <f t="shared" si="2355"/>
        <v>0</v>
      </c>
      <c r="AC842" s="786">
        <f t="shared" si="2355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2356">SUM(AL319)</f>
        <v>0</v>
      </c>
      <c r="AM842" s="786">
        <f t="shared" si="2356"/>
        <v>0</v>
      </c>
      <c r="AN842" s="786">
        <f t="shared" si="2356"/>
        <v>0</v>
      </c>
      <c r="AO842" s="786">
        <f t="shared" si="2356"/>
        <v>0</v>
      </c>
      <c r="AP842" s="786">
        <f t="shared" si="2356"/>
        <v>0</v>
      </c>
      <c r="AQ842" s="786">
        <f t="shared" si="2356"/>
        <v>0</v>
      </c>
      <c r="AR842" s="786">
        <f t="shared" si="2356"/>
        <v>0</v>
      </c>
      <c r="AS842" s="786">
        <f t="shared" si="2356"/>
        <v>0</v>
      </c>
      <c r="AT842" s="786">
        <f t="shared" si="2356"/>
        <v>0</v>
      </c>
      <c r="AU842" s="786">
        <f t="shared" si="2356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2357">SUM(BD319)</f>
        <v>0</v>
      </c>
      <c r="BE842" s="786">
        <f t="shared" si="2357"/>
        <v>0</v>
      </c>
      <c r="BF842" s="786">
        <f t="shared" si="2357"/>
        <v>0</v>
      </c>
      <c r="BG842" s="786">
        <f t="shared" si="2357"/>
        <v>0</v>
      </c>
      <c r="BH842" s="786">
        <f t="shared" si="2357"/>
        <v>0</v>
      </c>
      <c r="BI842" s="786">
        <f t="shared" si="2357"/>
        <v>0</v>
      </c>
      <c r="BJ842" s="786">
        <f t="shared" si="2357"/>
        <v>0</v>
      </c>
      <c r="BK842" s="786">
        <f t="shared" si="2357"/>
        <v>0</v>
      </c>
      <c r="BL842" s="786">
        <f t="shared" si="2357"/>
        <v>0</v>
      </c>
      <c r="BM842" s="786">
        <f t="shared" si="2357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2282"/>
        <v>0</v>
      </c>
      <c r="CA842" s="607">
        <f t="shared" si="2283"/>
        <v>0</v>
      </c>
      <c r="CB842" s="607">
        <f t="shared" si="2284"/>
        <v>0</v>
      </c>
      <c r="CC842" s="673">
        <f t="shared" si="2285"/>
        <v>0</v>
      </c>
      <c r="CD842" s="991">
        <f t="shared" si="2312"/>
        <v>0</v>
      </c>
      <c r="CE842" s="992">
        <f t="shared" si="2313"/>
        <v>0</v>
      </c>
      <c r="CF842" s="992">
        <f t="shared" si="2313"/>
        <v>0</v>
      </c>
      <c r="CG842" s="992">
        <f t="shared" si="2313"/>
        <v>0</v>
      </c>
      <c r="CH842" s="993">
        <f t="shared" si="2313"/>
        <v>0</v>
      </c>
      <c r="CI842" s="993">
        <f t="shared" si="2313"/>
        <v>0</v>
      </c>
      <c r="CJ842" s="992">
        <f t="shared" si="2313"/>
        <v>0</v>
      </c>
      <c r="CK842" s="992">
        <f t="shared" si="2313"/>
        <v>0</v>
      </c>
      <c r="CL842" s="992">
        <f t="shared" si="2313"/>
        <v>0</v>
      </c>
      <c r="CM842" s="991">
        <f t="shared" si="2313"/>
        <v>0</v>
      </c>
      <c r="CN842" s="521" t="str">
        <f t="shared" si="2287"/>
        <v/>
      </c>
      <c r="CO842" s="522" t="str">
        <f t="shared" si="2288"/>
        <v/>
      </c>
      <c r="CP842" s="523" t="str">
        <f t="shared" si="2289"/>
        <v/>
      </c>
      <c r="CQ842" s="523" t="str">
        <f t="shared" si="2290"/>
        <v/>
      </c>
      <c r="CR842" s="523">
        <f t="shared" si="2291"/>
        <v>0</v>
      </c>
      <c r="CS842" s="523">
        <f t="shared" si="2292"/>
        <v>0</v>
      </c>
      <c r="CT842" s="523">
        <f t="shared" si="2293"/>
        <v>0</v>
      </c>
      <c r="CU842" s="524">
        <f t="shared" si="2294"/>
        <v>0</v>
      </c>
      <c r="CV842" s="524">
        <f t="shared" si="2295"/>
        <v>0</v>
      </c>
      <c r="CW842" s="524">
        <f t="shared" si="2296"/>
        <v>0</v>
      </c>
      <c r="CX842" s="523">
        <f t="shared" si="2297"/>
        <v>0</v>
      </c>
      <c r="CY842" s="523">
        <f t="shared" si="2298"/>
        <v>0</v>
      </c>
      <c r="CZ842" s="523">
        <f t="shared" si="2299"/>
        <v>0</v>
      </c>
      <c r="DA842" s="523">
        <f t="shared" si="2300"/>
        <v>0</v>
      </c>
      <c r="DB842" s="523" t="str">
        <f t="shared" si="2301"/>
        <v/>
      </c>
      <c r="DC842" s="522" t="str">
        <f t="shared" si="2302"/>
        <v/>
      </c>
      <c r="DD842" s="521" t="str">
        <f t="shared" si="2303"/>
        <v/>
      </c>
      <c r="DE842" s="635">
        <f t="shared" si="2304"/>
        <v>10</v>
      </c>
      <c r="DF842" s="95">
        <f t="shared" si="2305"/>
        <v>10</v>
      </c>
      <c r="DG842" s="95">
        <f t="shared" si="2306"/>
        <v>10</v>
      </c>
      <c r="DH842" s="95">
        <f t="shared" si="2307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2358">SUM(B329)</f>
        <v>0</v>
      </c>
      <c r="C843" s="786">
        <f t="shared" si="2358"/>
        <v>0</v>
      </c>
      <c r="D843" s="786">
        <f t="shared" si="2358"/>
        <v>0</v>
      </c>
      <c r="E843" s="786">
        <f t="shared" si="2358"/>
        <v>0</v>
      </c>
      <c r="F843" s="786">
        <f t="shared" si="2358"/>
        <v>0</v>
      </c>
      <c r="G843" s="786">
        <f t="shared" si="2358"/>
        <v>0</v>
      </c>
      <c r="H843" s="786">
        <f t="shared" si="2358"/>
        <v>0</v>
      </c>
      <c r="I843" s="786">
        <f t="shared" si="2358"/>
        <v>0</v>
      </c>
      <c r="J843" s="786">
        <f t="shared" si="2358"/>
        <v>0</v>
      </c>
      <c r="K843" s="786">
        <f t="shared" si="2358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2359">SUM(T329)</f>
        <v>0</v>
      </c>
      <c r="U843" s="786">
        <f t="shared" si="2359"/>
        <v>0</v>
      </c>
      <c r="V843" s="786">
        <f t="shared" si="2359"/>
        <v>0</v>
      </c>
      <c r="W843" s="786">
        <f t="shared" si="2359"/>
        <v>0</v>
      </c>
      <c r="X843" s="786">
        <f t="shared" si="2359"/>
        <v>0</v>
      </c>
      <c r="Y843" s="786">
        <f t="shared" si="2359"/>
        <v>0</v>
      </c>
      <c r="Z843" s="786">
        <f t="shared" si="2359"/>
        <v>0</v>
      </c>
      <c r="AA843" s="786">
        <f t="shared" si="2359"/>
        <v>0</v>
      </c>
      <c r="AB843" s="786">
        <f t="shared" si="2359"/>
        <v>0</v>
      </c>
      <c r="AC843" s="786">
        <f t="shared" si="2359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2360">SUM(AL329)</f>
        <v>0</v>
      </c>
      <c r="AM843" s="786">
        <f t="shared" si="2360"/>
        <v>0</v>
      </c>
      <c r="AN843" s="786">
        <f t="shared" si="2360"/>
        <v>0</v>
      </c>
      <c r="AO843" s="786">
        <f t="shared" si="2360"/>
        <v>0</v>
      </c>
      <c r="AP843" s="786">
        <f t="shared" si="2360"/>
        <v>0</v>
      </c>
      <c r="AQ843" s="786">
        <f t="shared" si="2360"/>
        <v>0</v>
      </c>
      <c r="AR843" s="786">
        <f t="shared" si="2360"/>
        <v>0</v>
      </c>
      <c r="AS843" s="786">
        <f t="shared" si="2360"/>
        <v>0</v>
      </c>
      <c r="AT843" s="786">
        <f t="shared" si="2360"/>
        <v>0</v>
      </c>
      <c r="AU843" s="786">
        <f t="shared" si="2360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2361">SUM(BD329)</f>
        <v>0</v>
      </c>
      <c r="BE843" s="786">
        <f t="shared" si="2361"/>
        <v>0</v>
      </c>
      <c r="BF843" s="786">
        <f t="shared" si="2361"/>
        <v>0</v>
      </c>
      <c r="BG843" s="786">
        <f t="shared" si="2361"/>
        <v>0</v>
      </c>
      <c r="BH843" s="786">
        <f t="shared" si="2361"/>
        <v>0</v>
      </c>
      <c r="BI843" s="786">
        <f t="shared" si="2361"/>
        <v>0</v>
      </c>
      <c r="BJ843" s="786">
        <f t="shared" si="2361"/>
        <v>0</v>
      </c>
      <c r="BK843" s="786">
        <f t="shared" si="2361"/>
        <v>0</v>
      </c>
      <c r="BL843" s="786">
        <f t="shared" si="2361"/>
        <v>0</v>
      </c>
      <c r="BM843" s="786">
        <f t="shared" si="2361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2282"/>
        <v>0</v>
      </c>
      <c r="CA843" s="607">
        <f t="shared" si="2283"/>
        <v>0</v>
      </c>
      <c r="CB843" s="607">
        <f t="shared" si="2284"/>
        <v>0</v>
      </c>
      <c r="CC843" s="673">
        <f t="shared" si="2285"/>
        <v>0</v>
      </c>
      <c r="CD843" s="991">
        <f t="shared" si="2312"/>
        <v>0</v>
      </c>
      <c r="CE843" s="992">
        <f t="shared" si="2313"/>
        <v>0</v>
      </c>
      <c r="CF843" s="992">
        <f t="shared" si="2313"/>
        <v>0</v>
      </c>
      <c r="CG843" s="992">
        <f t="shared" si="2313"/>
        <v>0</v>
      </c>
      <c r="CH843" s="993">
        <f t="shared" si="2313"/>
        <v>0</v>
      </c>
      <c r="CI843" s="993">
        <f t="shared" si="2313"/>
        <v>0</v>
      </c>
      <c r="CJ843" s="992">
        <f t="shared" si="2313"/>
        <v>0</v>
      </c>
      <c r="CK843" s="992">
        <f t="shared" si="2313"/>
        <v>0</v>
      </c>
      <c r="CL843" s="992">
        <f t="shared" si="2313"/>
        <v>0</v>
      </c>
      <c r="CM843" s="991">
        <f t="shared" si="2313"/>
        <v>0</v>
      </c>
      <c r="CN843" s="521" t="str">
        <f t="shared" si="2287"/>
        <v/>
      </c>
      <c r="CO843" s="522" t="str">
        <f t="shared" si="2288"/>
        <v/>
      </c>
      <c r="CP843" s="523" t="str">
        <f t="shared" si="2289"/>
        <v/>
      </c>
      <c r="CQ843" s="523" t="str">
        <f t="shared" si="2290"/>
        <v/>
      </c>
      <c r="CR843" s="523">
        <f t="shared" si="2291"/>
        <v>0</v>
      </c>
      <c r="CS843" s="523">
        <f t="shared" si="2292"/>
        <v>0</v>
      </c>
      <c r="CT843" s="523">
        <f t="shared" si="2293"/>
        <v>0</v>
      </c>
      <c r="CU843" s="524">
        <f t="shared" si="2294"/>
        <v>0</v>
      </c>
      <c r="CV843" s="524">
        <f t="shared" si="2295"/>
        <v>0</v>
      </c>
      <c r="CW843" s="524">
        <f t="shared" si="2296"/>
        <v>0</v>
      </c>
      <c r="CX843" s="523">
        <f t="shared" si="2297"/>
        <v>0</v>
      </c>
      <c r="CY843" s="523">
        <f t="shared" si="2298"/>
        <v>0</v>
      </c>
      <c r="CZ843" s="523">
        <f t="shared" si="2299"/>
        <v>0</v>
      </c>
      <c r="DA843" s="523">
        <f t="shared" si="2300"/>
        <v>0</v>
      </c>
      <c r="DB843" s="523" t="str">
        <f t="shared" si="2301"/>
        <v/>
      </c>
      <c r="DC843" s="522" t="str">
        <f t="shared" si="2302"/>
        <v/>
      </c>
      <c r="DD843" s="521" t="str">
        <f t="shared" si="2303"/>
        <v/>
      </c>
      <c r="DE843" s="635">
        <f t="shared" si="2304"/>
        <v>10</v>
      </c>
      <c r="DF843" s="95">
        <f t="shared" si="2305"/>
        <v>10</v>
      </c>
      <c r="DG843" s="95">
        <f t="shared" si="2306"/>
        <v>10</v>
      </c>
      <c r="DH843" s="95">
        <f t="shared" si="2307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2362">SUM(B339)</f>
        <v>0</v>
      </c>
      <c r="C844" s="786">
        <f t="shared" si="2362"/>
        <v>0</v>
      </c>
      <c r="D844" s="786">
        <f t="shared" si="2362"/>
        <v>0</v>
      </c>
      <c r="E844" s="786">
        <f t="shared" si="2362"/>
        <v>0</v>
      </c>
      <c r="F844" s="786">
        <f t="shared" si="2362"/>
        <v>0</v>
      </c>
      <c r="G844" s="786">
        <f t="shared" si="2362"/>
        <v>0</v>
      </c>
      <c r="H844" s="786">
        <f t="shared" si="2362"/>
        <v>0</v>
      </c>
      <c r="I844" s="786">
        <f t="shared" si="2362"/>
        <v>0</v>
      </c>
      <c r="J844" s="786">
        <f t="shared" si="2362"/>
        <v>0</v>
      </c>
      <c r="K844" s="786">
        <f t="shared" si="2362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2363">SUM(T339)</f>
        <v>0</v>
      </c>
      <c r="U844" s="786">
        <f t="shared" si="2363"/>
        <v>0</v>
      </c>
      <c r="V844" s="786">
        <f t="shared" si="2363"/>
        <v>0</v>
      </c>
      <c r="W844" s="786">
        <f t="shared" si="2363"/>
        <v>0</v>
      </c>
      <c r="X844" s="786">
        <f t="shared" si="2363"/>
        <v>0</v>
      </c>
      <c r="Y844" s="786">
        <f t="shared" si="2363"/>
        <v>0</v>
      </c>
      <c r="Z844" s="786">
        <f t="shared" si="2363"/>
        <v>0</v>
      </c>
      <c r="AA844" s="786">
        <f t="shared" si="2363"/>
        <v>0</v>
      </c>
      <c r="AB844" s="786">
        <f t="shared" si="2363"/>
        <v>0</v>
      </c>
      <c r="AC844" s="786">
        <f t="shared" si="2363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2364">SUM(AL339)</f>
        <v>0</v>
      </c>
      <c r="AM844" s="786">
        <f t="shared" si="2364"/>
        <v>0</v>
      </c>
      <c r="AN844" s="786">
        <f t="shared" si="2364"/>
        <v>0</v>
      </c>
      <c r="AO844" s="786">
        <f t="shared" si="2364"/>
        <v>0</v>
      </c>
      <c r="AP844" s="786">
        <f t="shared" si="2364"/>
        <v>0</v>
      </c>
      <c r="AQ844" s="786">
        <f t="shared" si="2364"/>
        <v>0</v>
      </c>
      <c r="AR844" s="786">
        <f t="shared" si="2364"/>
        <v>0</v>
      </c>
      <c r="AS844" s="786">
        <f t="shared" si="2364"/>
        <v>0</v>
      </c>
      <c r="AT844" s="786">
        <f t="shared" si="2364"/>
        <v>0</v>
      </c>
      <c r="AU844" s="786">
        <f t="shared" si="2364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2365">SUM(BD339)</f>
        <v>0</v>
      </c>
      <c r="BE844" s="786">
        <f t="shared" si="2365"/>
        <v>0</v>
      </c>
      <c r="BF844" s="786">
        <f t="shared" si="2365"/>
        <v>0</v>
      </c>
      <c r="BG844" s="786">
        <f t="shared" si="2365"/>
        <v>0</v>
      </c>
      <c r="BH844" s="786">
        <f t="shared" si="2365"/>
        <v>0</v>
      </c>
      <c r="BI844" s="786">
        <f t="shared" si="2365"/>
        <v>0</v>
      </c>
      <c r="BJ844" s="786">
        <f t="shared" si="2365"/>
        <v>0</v>
      </c>
      <c r="BK844" s="786">
        <f t="shared" si="2365"/>
        <v>0</v>
      </c>
      <c r="BL844" s="786">
        <f t="shared" si="2365"/>
        <v>0</v>
      </c>
      <c r="BM844" s="786">
        <f t="shared" si="2365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2282"/>
        <v>0</v>
      </c>
      <c r="CA844" s="607">
        <f t="shared" si="2283"/>
        <v>0</v>
      </c>
      <c r="CB844" s="607">
        <f t="shared" si="2284"/>
        <v>0</v>
      </c>
      <c r="CC844" s="673">
        <f t="shared" si="2285"/>
        <v>0</v>
      </c>
      <c r="CD844" s="991">
        <f t="shared" si="2312"/>
        <v>0</v>
      </c>
      <c r="CE844" s="992">
        <f t="shared" si="2313"/>
        <v>0</v>
      </c>
      <c r="CF844" s="992">
        <f t="shared" si="2313"/>
        <v>0</v>
      </c>
      <c r="CG844" s="992">
        <f t="shared" si="2313"/>
        <v>0</v>
      </c>
      <c r="CH844" s="993">
        <f t="shared" si="2313"/>
        <v>0</v>
      </c>
      <c r="CI844" s="993">
        <f t="shared" si="2313"/>
        <v>0</v>
      </c>
      <c r="CJ844" s="992">
        <f t="shared" si="2313"/>
        <v>0</v>
      </c>
      <c r="CK844" s="992">
        <f t="shared" si="2313"/>
        <v>0</v>
      </c>
      <c r="CL844" s="992">
        <f t="shared" si="2313"/>
        <v>0</v>
      </c>
      <c r="CM844" s="991">
        <f t="shared" si="2313"/>
        <v>0</v>
      </c>
      <c r="CN844" s="521" t="str">
        <f t="shared" si="2287"/>
        <v/>
      </c>
      <c r="CO844" s="522" t="str">
        <f t="shared" si="2288"/>
        <v/>
      </c>
      <c r="CP844" s="523" t="str">
        <f t="shared" si="2289"/>
        <v/>
      </c>
      <c r="CQ844" s="523" t="str">
        <f t="shared" si="2290"/>
        <v/>
      </c>
      <c r="CR844" s="523">
        <f t="shared" si="2291"/>
        <v>0</v>
      </c>
      <c r="CS844" s="523">
        <f t="shared" si="2292"/>
        <v>0</v>
      </c>
      <c r="CT844" s="523">
        <f t="shared" si="2293"/>
        <v>0</v>
      </c>
      <c r="CU844" s="524">
        <f t="shared" si="2294"/>
        <v>0</v>
      </c>
      <c r="CV844" s="524">
        <f t="shared" si="2295"/>
        <v>0</v>
      </c>
      <c r="CW844" s="524">
        <f t="shared" si="2296"/>
        <v>0</v>
      </c>
      <c r="CX844" s="523">
        <f t="shared" si="2297"/>
        <v>0</v>
      </c>
      <c r="CY844" s="523">
        <f t="shared" si="2298"/>
        <v>0</v>
      </c>
      <c r="CZ844" s="523">
        <f t="shared" si="2299"/>
        <v>0</v>
      </c>
      <c r="DA844" s="523">
        <f t="shared" si="2300"/>
        <v>0</v>
      </c>
      <c r="DB844" s="523" t="str">
        <f t="shared" si="2301"/>
        <v/>
      </c>
      <c r="DC844" s="522" t="str">
        <f t="shared" si="2302"/>
        <v/>
      </c>
      <c r="DD844" s="521" t="str">
        <f t="shared" si="2303"/>
        <v/>
      </c>
      <c r="DE844" s="635">
        <f t="shared" si="2304"/>
        <v>10</v>
      </c>
      <c r="DF844" s="95">
        <f t="shared" si="2305"/>
        <v>10</v>
      </c>
      <c r="DG844" s="95">
        <f t="shared" si="2306"/>
        <v>10</v>
      </c>
      <c r="DH844" s="95">
        <f t="shared" si="2307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2366">SUM(B349)</f>
        <v>0</v>
      </c>
      <c r="C845" s="786">
        <f t="shared" si="2366"/>
        <v>0</v>
      </c>
      <c r="D845" s="786">
        <f t="shared" si="2366"/>
        <v>0</v>
      </c>
      <c r="E845" s="786">
        <f t="shared" si="2366"/>
        <v>0</v>
      </c>
      <c r="F845" s="786">
        <f t="shared" si="2366"/>
        <v>0</v>
      </c>
      <c r="G845" s="786">
        <f t="shared" si="2366"/>
        <v>0</v>
      </c>
      <c r="H845" s="786">
        <f t="shared" si="2366"/>
        <v>0</v>
      </c>
      <c r="I845" s="786">
        <f t="shared" si="2366"/>
        <v>0</v>
      </c>
      <c r="J845" s="786">
        <f t="shared" si="2366"/>
        <v>0</v>
      </c>
      <c r="K845" s="786">
        <f t="shared" si="2366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2367">SUM(T349)</f>
        <v>0</v>
      </c>
      <c r="U845" s="786">
        <f t="shared" si="2367"/>
        <v>0</v>
      </c>
      <c r="V845" s="786">
        <f t="shared" si="2367"/>
        <v>0</v>
      </c>
      <c r="W845" s="786">
        <f t="shared" si="2367"/>
        <v>0</v>
      </c>
      <c r="X845" s="786">
        <f t="shared" si="2367"/>
        <v>0</v>
      </c>
      <c r="Y845" s="786">
        <f t="shared" si="2367"/>
        <v>0</v>
      </c>
      <c r="Z845" s="786">
        <f t="shared" si="2367"/>
        <v>0</v>
      </c>
      <c r="AA845" s="786">
        <f t="shared" si="2367"/>
        <v>0</v>
      </c>
      <c r="AB845" s="786">
        <f t="shared" si="2367"/>
        <v>0</v>
      </c>
      <c r="AC845" s="786">
        <f t="shared" si="2367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2368">SUM(AL349)</f>
        <v>0</v>
      </c>
      <c r="AM845" s="786">
        <f t="shared" si="2368"/>
        <v>0</v>
      </c>
      <c r="AN845" s="786">
        <f t="shared" si="2368"/>
        <v>0</v>
      </c>
      <c r="AO845" s="786">
        <f t="shared" si="2368"/>
        <v>0</v>
      </c>
      <c r="AP845" s="786">
        <f t="shared" si="2368"/>
        <v>0</v>
      </c>
      <c r="AQ845" s="786">
        <f t="shared" si="2368"/>
        <v>0</v>
      </c>
      <c r="AR845" s="786">
        <f t="shared" si="2368"/>
        <v>0</v>
      </c>
      <c r="AS845" s="786">
        <f t="shared" si="2368"/>
        <v>0</v>
      </c>
      <c r="AT845" s="786">
        <f t="shared" si="2368"/>
        <v>0</v>
      </c>
      <c r="AU845" s="786">
        <f t="shared" si="2368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2369">SUM(BD349)</f>
        <v>0</v>
      </c>
      <c r="BE845" s="786">
        <f t="shared" si="2369"/>
        <v>0</v>
      </c>
      <c r="BF845" s="786">
        <f t="shared" si="2369"/>
        <v>0</v>
      </c>
      <c r="BG845" s="786">
        <f t="shared" si="2369"/>
        <v>0</v>
      </c>
      <c r="BH845" s="786">
        <f t="shared" si="2369"/>
        <v>0</v>
      </c>
      <c r="BI845" s="786">
        <f t="shared" si="2369"/>
        <v>0</v>
      </c>
      <c r="BJ845" s="786">
        <f t="shared" si="2369"/>
        <v>0</v>
      </c>
      <c r="BK845" s="786">
        <f t="shared" si="2369"/>
        <v>0</v>
      </c>
      <c r="BL845" s="786">
        <f t="shared" si="2369"/>
        <v>0</v>
      </c>
      <c r="BM845" s="786">
        <f t="shared" si="2369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2282"/>
        <v>0</v>
      </c>
      <c r="CA845" s="607">
        <f t="shared" si="2283"/>
        <v>0</v>
      </c>
      <c r="CB845" s="607">
        <f t="shared" si="2284"/>
        <v>0</v>
      </c>
      <c r="CC845" s="673">
        <f t="shared" si="2285"/>
        <v>0</v>
      </c>
      <c r="CD845" s="991">
        <f t="shared" si="2312"/>
        <v>0</v>
      </c>
      <c r="CE845" s="992">
        <f t="shared" si="2313"/>
        <v>0</v>
      </c>
      <c r="CF845" s="992">
        <f t="shared" si="2313"/>
        <v>0</v>
      </c>
      <c r="CG845" s="992">
        <f t="shared" si="2313"/>
        <v>0</v>
      </c>
      <c r="CH845" s="993">
        <f t="shared" si="2313"/>
        <v>0</v>
      </c>
      <c r="CI845" s="993">
        <f t="shared" si="2313"/>
        <v>0</v>
      </c>
      <c r="CJ845" s="992">
        <f t="shared" si="2313"/>
        <v>0</v>
      </c>
      <c r="CK845" s="992">
        <f t="shared" si="2313"/>
        <v>0</v>
      </c>
      <c r="CL845" s="992">
        <f t="shared" si="2313"/>
        <v>0</v>
      </c>
      <c r="CM845" s="991">
        <f t="shared" si="2313"/>
        <v>0</v>
      </c>
      <c r="CN845" s="521" t="str">
        <f t="shared" si="2287"/>
        <v/>
      </c>
      <c r="CO845" s="522" t="str">
        <f t="shared" si="2288"/>
        <v/>
      </c>
      <c r="CP845" s="523" t="str">
        <f t="shared" si="2289"/>
        <v/>
      </c>
      <c r="CQ845" s="523" t="str">
        <f t="shared" si="2290"/>
        <v/>
      </c>
      <c r="CR845" s="523">
        <f t="shared" si="2291"/>
        <v>0</v>
      </c>
      <c r="CS845" s="523">
        <f t="shared" si="2292"/>
        <v>0</v>
      </c>
      <c r="CT845" s="523">
        <f t="shared" si="2293"/>
        <v>0</v>
      </c>
      <c r="CU845" s="524">
        <f t="shared" si="2294"/>
        <v>0</v>
      </c>
      <c r="CV845" s="524">
        <f t="shared" si="2295"/>
        <v>0</v>
      </c>
      <c r="CW845" s="524">
        <f t="shared" si="2296"/>
        <v>0</v>
      </c>
      <c r="CX845" s="523">
        <f t="shared" si="2297"/>
        <v>0</v>
      </c>
      <c r="CY845" s="523">
        <f t="shared" si="2298"/>
        <v>0</v>
      </c>
      <c r="CZ845" s="523">
        <f t="shared" si="2299"/>
        <v>0</v>
      </c>
      <c r="DA845" s="523">
        <f t="shared" si="2300"/>
        <v>0</v>
      </c>
      <c r="DB845" s="523" t="str">
        <f t="shared" si="2301"/>
        <v/>
      </c>
      <c r="DC845" s="522" t="str">
        <f t="shared" si="2302"/>
        <v/>
      </c>
      <c r="DD845" s="521" t="str">
        <f t="shared" si="2303"/>
        <v/>
      </c>
      <c r="DE845" s="635">
        <f t="shared" si="2304"/>
        <v>10</v>
      </c>
      <c r="DF845" s="95">
        <f t="shared" si="2305"/>
        <v>10</v>
      </c>
      <c r="DG845" s="95">
        <f t="shared" si="2306"/>
        <v>10</v>
      </c>
      <c r="DH845" s="95">
        <f t="shared" si="2307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2370">SUM(B359)</f>
        <v>0</v>
      </c>
      <c r="C846" s="786">
        <f t="shared" si="2370"/>
        <v>0</v>
      </c>
      <c r="D846" s="786">
        <f t="shared" si="2370"/>
        <v>0</v>
      </c>
      <c r="E846" s="786">
        <f t="shared" si="2370"/>
        <v>0</v>
      </c>
      <c r="F846" s="786">
        <f t="shared" si="2370"/>
        <v>0</v>
      </c>
      <c r="G846" s="786">
        <f t="shared" si="2370"/>
        <v>0</v>
      </c>
      <c r="H846" s="786">
        <f t="shared" si="2370"/>
        <v>0</v>
      </c>
      <c r="I846" s="786">
        <f t="shared" si="2370"/>
        <v>0</v>
      </c>
      <c r="J846" s="786">
        <f t="shared" si="2370"/>
        <v>0</v>
      </c>
      <c r="K846" s="786">
        <f t="shared" si="2370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2371">SUM(T359)</f>
        <v>0</v>
      </c>
      <c r="U846" s="786">
        <f t="shared" si="2371"/>
        <v>0</v>
      </c>
      <c r="V846" s="786">
        <f t="shared" si="2371"/>
        <v>0</v>
      </c>
      <c r="W846" s="786">
        <f t="shared" si="2371"/>
        <v>0</v>
      </c>
      <c r="X846" s="786">
        <f t="shared" si="2371"/>
        <v>0</v>
      </c>
      <c r="Y846" s="786">
        <f t="shared" si="2371"/>
        <v>0</v>
      </c>
      <c r="Z846" s="786">
        <f t="shared" si="2371"/>
        <v>0</v>
      </c>
      <c r="AA846" s="786">
        <f t="shared" si="2371"/>
        <v>0</v>
      </c>
      <c r="AB846" s="786">
        <f t="shared" si="2371"/>
        <v>0</v>
      </c>
      <c r="AC846" s="786">
        <f t="shared" si="2371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2372">SUM(AL359)</f>
        <v>0</v>
      </c>
      <c r="AM846" s="786">
        <f t="shared" si="2372"/>
        <v>0</v>
      </c>
      <c r="AN846" s="786">
        <f t="shared" si="2372"/>
        <v>0</v>
      </c>
      <c r="AO846" s="786">
        <f t="shared" si="2372"/>
        <v>0</v>
      </c>
      <c r="AP846" s="786">
        <f t="shared" si="2372"/>
        <v>0</v>
      </c>
      <c r="AQ846" s="786">
        <f t="shared" si="2372"/>
        <v>0</v>
      </c>
      <c r="AR846" s="786">
        <f t="shared" si="2372"/>
        <v>0</v>
      </c>
      <c r="AS846" s="786">
        <f t="shared" si="2372"/>
        <v>0</v>
      </c>
      <c r="AT846" s="786">
        <f t="shared" si="2372"/>
        <v>0</v>
      </c>
      <c r="AU846" s="786">
        <f t="shared" si="2372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2373">SUM(BD359)</f>
        <v>0</v>
      </c>
      <c r="BE846" s="786">
        <f t="shared" si="2373"/>
        <v>0</v>
      </c>
      <c r="BF846" s="786">
        <f t="shared" si="2373"/>
        <v>0</v>
      </c>
      <c r="BG846" s="786">
        <f t="shared" si="2373"/>
        <v>0</v>
      </c>
      <c r="BH846" s="786">
        <f t="shared" si="2373"/>
        <v>0</v>
      </c>
      <c r="BI846" s="786">
        <f t="shared" si="2373"/>
        <v>0</v>
      </c>
      <c r="BJ846" s="786">
        <f t="shared" si="2373"/>
        <v>0</v>
      </c>
      <c r="BK846" s="786">
        <f t="shared" si="2373"/>
        <v>0</v>
      </c>
      <c r="BL846" s="786">
        <f t="shared" si="2373"/>
        <v>0</v>
      </c>
      <c r="BM846" s="786">
        <f t="shared" si="2373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2282"/>
        <v>0</v>
      </c>
      <c r="CA846" s="607">
        <f t="shared" si="2283"/>
        <v>0</v>
      </c>
      <c r="CB846" s="607">
        <f t="shared" si="2284"/>
        <v>0</v>
      </c>
      <c r="CC846" s="673">
        <f t="shared" si="2285"/>
        <v>0</v>
      </c>
      <c r="CD846" s="991">
        <f t="shared" si="2312"/>
        <v>0</v>
      </c>
      <c r="CE846" s="992">
        <f t="shared" si="2313"/>
        <v>0</v>
      </c>
      <c r="CF846" s="992">
        <f t="shared" si="2313"/>
        <v>0</v>
      </c>
      <c r="CG846" s="992">
        <f t="shared" si="2313"/>
        <v>0</v>
      </c>
      <c r="CH846" s="993">
        <f t="shared" si="2313"/>
        <v>0</v>
      </c>
      <c r="CI846" s="993">
        <f t="shared" si="2313"/>
        <v>0</v>
      </c>
      <c r="CJ846" s="992">
        <f t="shared" si="2313"/>
        <v>0</v>
      </c>
      <c r="CK846" s="992">
        <f t="shared" si="2313"/>
        <v>0</v>
      </c>
      <c r="CL846" s="992">
        <f t="shared" si="2313"/>
        <v>0</v>
      </c>
      <c r="CM846" s="991">
        <f t="shared" si="2313"/>
        <v>0</v>
      </c>
      <c r="CN846" s="521" t="str">
        <f t="shared" si="2287"/>
        <v/>
      </c>
      <c r="CO846" s="522" t="str">
        <f t="shared" si="2288"/>
        <v/>
      </c>
      <c r="CP846" s="523" t="str">
        <f t="shared" si="2289"/>
        <v/>
      </c>
      <c r="CQ846" s="523" t="str">
        <f t="shared" si="2290"/>
        <v/>
      </c>
      <c r="CR846" s="523">
        <f t="shared" si="2291"/>
        <v>0</v>
      </c>
      <c r="CS846" s="523">
        <f t="shared" si="2292"/>
        <v>0</v>
      </c>
      <c r="CT846" s="523">
        <f t="shared" si="2293"/>
        <v>0</v>
      </c>
      <c r="CU846" s="524">
        <f t="shared" si="2294"/>
        <v>0</v>
      </c>
      <c r="CV846" s="524">
        <f t="shared" si="2295"/>
        <v>0</v>
      </c>
      <c r="CW846" s="524">
        <f t="shared" si="2296"/>
        <v>0</v>
      </c>
      <c r="CX846" s="523">
        <f t="shared" si="2297"/>
        <v>0</v>
      </c>
      <c r="CY846" s="523">
        <f t="shared" si="2298"/>
        <v>0</v>
      </c>
      <c r="CZ846" s="523">
        <f t="shared" si="2299"/>
        <v>0</v>
      </c>
      <c r="DA846" s="523">
        <f t="shared" si="2300"/>
        <v>0</v>
      </c>
      <c r="DB846" s="523" t="str">
        <f t="shared" si="2301"/>
        <v/>
      </c>
      <c r="DC846" s="522" t="str">
        <f t="shared" si="2302"/>
        <v/>
      </c>
      <c r="DD846" s="521" t="str">
        <f t="shared" si="2303"/>
        <v/>
      </c>
      <c r="DE846" s="635">
        <f t="shared" si="2304"/>
        <v>10</v>
      </c>
      <c r="DF846" s="95">
        <f t="shared" si="2305"/>
        <v>10</v>
      </c>
      <c r="DG846" s="95">
        <f t="shared" si="2306"/>
        <v>10</v>
      </c>
      <c r="DH846" s="95">
        <f t="shared" si="2307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2374">SUM(B370)</f>
        <v>0</v>
      </c>
      <c r="C847" s="786">
        <f t="shared" si="2374"/>
        <v>0</v>
      </c>
      <c r="D847" s="786">
        <f t="shared" si="2374"/>
        <v>0</v>
      </c>
      <c r="E847" s="786">
        <f t="shared" si="2374"/>
        <v>0</v>
      </c>
      <c r="F847" s="786">
        <f t="shared" si="2374"/>
        <v>0</v>
      </c>
      <c r="G847" s="786">
        <f t="shared" si="2374"/>
        <v>0</v>
      </c>
      <c r="H847" s="786">
        <f t="shared" si="2374"/>
        <v>0</v>
      </c>
      <c r="I847" s="786">
        <f t="shared" si="2374"/>
        <v>0</v>
      </c>
      <c r="J847" s="786">
        <f t="shared" si="2374"/>
        <v>0</v>
      </c>
      <c r="K847" s="786">
        <f t="shared" si="2374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2375">SUM(T370)</f>
        <v>0</v>
      </c>
      <c r="U847" s="786">
        <f t="shared" si="2375"/>
        <v>0</v>
      </c>
      <c r="V847" s="786">
        <f t="shared" si="2375"/>
        <v>0</v>
      </c>
      <c r="W847" s="786">
        <f t="shared" si="2375"/>
        <v>0</v>
      </c>
      <c r="X847" s="786">
        <f t="shared" si="2375"/>
        <v>0</v>
      </c>
      <c r="Y847" s="786">
        <f t="shared" si="2375"/>
        <v>0</v>
      </c>
      <c r="Z847" s="786">
        <f t="shared" si="2375"/>
        <v>0</v>
      </c>
      <c r="AA847" s="786">
        <f t="shared" si="2375"/>
        <v>0</v>
      </c>
      <c r="AB847" s="786">
        <f t="shared" si="2375"/>
        <v>0</v>
      </c>
      <c r="AC847" s="786">
        <f t="shared" si="2375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2376">SUM(AL370)</f>
        <v>0</v>
      </c>
      <c r="AM847" s="786">
        <f t="shared" si="2376"/>
        <v>0</v>
      </c>
      <c r="AN847" s="786">
        <f t="shared" si="2376"/>
        <v>0</v>
      </c>
      <c r="AO847" s="786">
        <f t="shared" si="2376"/>
        <v>0</v>
      </c>
      <c r="AP847" s="786">
        <f t="shared" si="2376"/>
        <v>0</v>
      </c>
      <c r="AQ847" s="786">
        <f t="shared" si="2376"/>
        <v>0</v>
      </c>
      <c r="AR847" s="786">
        <f t="shared" si="2376"/>
        <v>0</v>
      </c>
      <c r="AS847" s="786">
        <f t="shared" si="2376"/>
        <v>0</v>
      </c>
      <c r="AT847" s="786">
        <f t="shared" si="2376"/>
        <v>0</v>
      </c>
      <c r="AU847" s="786">
        <f t="shared" si="2376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2377">SUM(BD370)</f>
        <v>0</v>
      </c>
      <c r="BE847" s="786">
        <f t="shared" si="2377"/>
        <v>0</v>
      </c>
      <c r="BF847" s="786">
        <f t="shared" si="2377"/>
        <v>0</v>
      </c>
      <c r="BG847" s="786">
        <f t="shared" si="2377"/>
        <v>0</v>
      </c>
      <c r="BH847" s="786">
        <f t="shared" si="2377"/>
        <v>0</v>
      </c>
      <c r="BI847" s="786">
        <f t="shared" si="2377"/>
        <v>0</v>
      </c>
      <c r="BJ847" s="786">
        <f t="shared" si="2377"/>
        <v>0</v>
      </c>
      <c r="BK847" s="786">
        <f t="shared" si="2377"/>
        <v>0</v>
      </c>
      <c r="BL847" s="786">
        <f t="shared" si="2377"/>
        <v>0</v>
      </c>
      <c r="BM847" s="786">
        <f t="shared" si="2377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2282"/>
        <v>0</v>
      </c>
      <c r="CA847" s="607">
        <f t="shared" si="2283"/>
        <v>0</v>
      </c>
      <c r="CB847" s="607">
        <f t="shared" si="2284"/>
        <v>0</v>
      </c>
      <c r="CC847" s="673">
        <f t="shared" si="2285"/>
        <v>0</v>
      </c>
      <c r="CD847" s="991">
        <f t="shared" si="2312"/>
        <v>0</v>
      </c>
      <c r="CE847" s="992">
        <f t="shared" ref="CE847:CM849" si="2378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2378"/>
        <v>0</v>
      </c>
      <c r="CG847" s="992">
        <f t="shared" si="2378"/>
        <v>0</v>
      </c>
      <c r="CH847" s="993">
        <f t="shared" si="2378"/>
        <v>0</v>
      </c>
      <c r="CI847" s="993">
        <f t="shared" si="2378"/>
        <v>0</v>
      </c>
      <c r="CJ847" s="992">
        <f t="shared" si="2378"/>
        <v>0</v>
      </c>
      <c r="CK847" s="992">
        <f t="shared" si="2378"/>
        <v>0</v>
      </c>
      <c r="CL847" s="992">
        <f t="shared" si="2378"/>
        <v>0</v>
      </c>
      <c r="CM847" s="991">
        <f t="shared" si="2378"/>
        <v>0</v>
      </c>
      <c r="CN847" s="521" t="str">
        <f t="shared" si="2287"/>
        <v/>
      </c>
      <c r="CO847" s="522" t="str">
        <f t="shared" si="2288"/>
        <v/>
      </c>
      <c r="CP847" s="523" t="str">
        <f t="shared" si="2289"/>
        <v/>
      </c>
      <c r="CQ847" s="523" t="str">
        <f t="shared" si="2290"/>
        <v/>
      </c>
      <c r="CR847" s="523">
        <f t="shared" si="2291"/>
        <v>0</v>
      </c>
      <c r="CS847" s="523">
        <f t="shared" si="2292"/>
        <v>0</v>
      </c>
      <c r="CT847" s="523">
        <f t="shared" si="2293"/>
        <v>0</v>
      </c>
      <c r="CU847" s="524">
        <f t="shared" si="2294"/>
        <v>0</v>
      </c>
      <c r="CV847" s="524">
        <f t="shared" si="2295"/>
        <v>0</v>
      </c>
      <c r="CW847" s="524">
        <f t="shared" si="2296"/>
        <v>0</v>
      </c>
      <c r="CX847" s="523">
        <f t="shared" si="2297"/>
        <v>0</v>
      </c>
      <c r="CY847" s="523">
        <f t="shared" si="2298"/>
        <v>0</v>
      </c>
      <c r="CZ847" s="523">
        <f t="shared" si="2299"/>
        <v>0</v>
      </c>
      <c r="DA847" s="523">
        <f t="shared" si="2300"/>
        <v>0</v>
      </c>
      <c r="DB847" s="523" t="str">
        <f t="shared" si="2301"/>
        <v/>
      </c>
      <c r="DC847" s="522" t="str">
        <f t="shared" si="2302"/>
        <v/>
      </c>
      <c r="DD847" s="521" t="str">
        <f t="shared" si="2303"/>
        <v/>
      </c>
      <c r="DE847" s="635">
        <f t="shared" si="2304"/>
        <v>10</v>
      </c>
      <c r="DF847" s="95">
        <f t="shared" si="2305"/>
        <v>10</v>
      </c>
      <c r="DG847" s="95">
        <f t="shared" si="2306"/>
        <v>10</v>
      </c>
      <c r="DH847" s="95">
        <f t="shared" si="2307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2379">SUM(B381)</f>
        <v>0</v>
      </c>
      <c r="C848" s="786">
        <f t="shared" si="2379"/>
        <v>0</v>
      </c>
      <c r="D848" s="786">
        <f t="shared" si="2379"/>
        <v>0</v>
      </c>
      <c r="E848" s="786">
        <f t="shared" si="2379"/>
        <v>0</v>
      </c>
      <c r="F848" s="786">
        <f t="shared" si="2379"/>
        <v>0</v>
      </c>
      <c r="G848" s="786">
        <f t="shared" si="2379"/>
        <v>0</v>
      </c>
      <c r="H848" s="786">
        <f t="shared" si="2379"/>
        <v>0</v>
      </c>
      <c r="I848" s="786">
        <f t="shared" si="2379"/>
        <v>0</v>
      </c>
      <c r="J848" s="786">
        <f t="shared" si="2379"/>
        <v>0</v>
      </c>
      <c r="K848" s="786">
        <f t="shared" si="2379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2380">SUM(T381)</f>
        <v>0</v>
      </c>
      <c r="U848" s="786">
        <f t="shared" si="2380"/>
        <v>0</v>
      </c>
      <c r="V848" s="786">
        <f t="shared" si="2380"/>
        <v>0</v>
      </c>
      <c r="W848" s="786">
        <f t="shared" si="2380"/>
        <v>0</v>
      </c>
      <c r="X848" s="786">
        <f t="shared" si="2380"/>
        <v>0</v>
      </c>
      <c r="Y848" s="786">
        <f t="shared" si="2380"/>
        <v>0</v>
      </c>
      <c r="Z848" s="786">
        <f t="shared" si="2380"/>
        <v>0</v>
      </c>
      <c r="AA848" s="786">
        <f t="shared" si="2380"/>
        <v>0</v>
      </c>
      <c r="AB848" s="786">
        <f t="shared" si="2380"/>
        <v>0</v>
      </c>
      <c r="AC848" s="786">
        <f t="shared" si="2380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2381">SUM(AL381)</f>
        <v>0</v>
      </c>
      <c r="AM848" s="786">
        <f t="shared" si="2381"/>
        <v>0</v>
      </c>
      <c r="AN848" s="786">
        <f t="shared" si="2381"/>
        <v>0</v>
      </c>
      <c r="AO848" s="786">
        <f t="shared" si="2381"/>
        <v>0</v>
      </c>
      <c r="AP848" s="786">
        <f t="shared" si="2381"/>
        <v>0</v>
      </c>
      <c r="AQ848" s="786">
        <f t="shared" si="2381"/>
        <v>0</v>
      </c>
      <c r="AR848" s="786">
        <f t="shared" si="2381"/>
        <v>0</v>
      </c>
      <c r="AS848" s="786">
        <f t="shared" si="2381"/>
        <v>0</v>
      </c>
      <c r="AT848" s="786">
        <f t="shared" si="2381"/>
        <v>0</v>
      </c>
      <c r="AU848" s="786">
        <f t="shared" si="2381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2382">SUM(BD381)</f>
        <v>0</v>
      </c>
      <c r="BE848" s="786">
        <f t="shared" si="2382"/>
        <v>0</v>
      </c>
      <c r="BF848" s="786">
        <f t="shared" si="2382"/>
        <v>0</v>
      </c>
      <c r="BG848" s="786">
        <f t="shared" si="2382"/>
        <v>0</v>
      </c>
      <c r="BH848" s="786">
        <f t="shared" si="2382"/>
        <v>0</v>
      </c>
      <c r="BI848" s="786">
        <f t="shared" si="2382"/>
        <v>0</v>
      </c>
      <c r="BJ848" s="786">
        <f t="shared" si="2382"/>
        <v>0</v>
      </c>
      <c r="BK848" s="786">
        <f t="shared" si="2382"/>
        <v>0</v>
      </c>
      <c r="BL848" s="786">
        <f t="shared" si="2382"/>
        <v>0</v>
      </c>
      <c r="BM848" s="786">
        <f t="shared" si="2382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2282"/>
        <v>0</v>
      </c>
      <c r="CA848" s="607">
        <f t="shared" si="2283"/>
        <v>0</v>
      </c>
      <c r="CB848" s="607">
        <f t="shared" si="2284"/>
        <v>0</v>
      </c>
      <c r="CC848" s="673">
        <f t="shared" si="2285"/>
        <v>0</v>
      </c>
      <c r="CD848" s="991">
        <f t="shared" si="2312"/>
        <v>0</v>
      </c>
      <c r="CE848" s="992">
        <f t="shared" si="2378"/>
        <v>0</v>
      </c>
      <c r="CF848" s="992">
        <f t="shared" si="2378"/>
        <v>0</v>
      </c>
      <c r="CG848" s="992">
        <f t="shared" si="2378"/>
        <v>0</v>
      </c>
      <c r="CH848" s="993">
        <f t="shared" si="2378"/>
        <v>0</v>
      </c>
      <c r="CI848" s="993">
        <f t="shared" si="2378"/>
        <v>0</v>
      </c>
      <c r="CJ848" s="992">
        <f t="shared" si="2378"/>
        <v>0</v>
      </c>
      <c r="CK848" s="992">
        <f t="shared" si="2378"/>
        <v>0</v>
      </c>
      <c r="CL848" s="992">
        <f t="shared" si="2378"/>
        <v>0</v>
      </c>
      <c r="CM848" s="991">
        <f t="shared" si="2378"/>
        <v>0</v>
      </c>
      <c r="CN848" s="521" t="str">
        <f t="shared" si="2287"/>
        <v/>
      </c>
      <c r="CO848" s="522" t="str">
        <f t="shared" si="2288"/>
        <v/>
      </c>
      <c r="CP848" s="523" t="str">
        <f t="shared" si="2289"/>
        <v/>
      </c>
      <c r="CQ848" s="523" t="str">
        <f t="shared" si="2290"/>
        <v/>
      </c>
      <c r="CR848" s="523">
        <f t="shared" si="2291"/>
        <v>0</v>
      </c>
      <c r="CS848" s="523">
        <f t="shared" si="2292"/>
        <v>0</v>
      </c>
      <c r="CT848" s="523">
        <f t="shared" si="2293"/>
        <v>0</v>
      </c>
      <c r="CU848" s="524">
        <f t="shared" si="2294"/>
        <v>0</v>
      </c>
      <c r="CV848" s="524">
        <f t="shared" si="2295"/>
        <v>0</v>
      </c>
      <c r="CW848" s="524">
        <f t="shared" si="2296"/>
        <v>0</v>
      </c>
      <c r="CX848" s="523">
        <f t="shared" si="2297"/>
        <v>0</v>
      </c>
      <c r="CY848" s="523">
        <f t="shared" si="2298"/>
        <v>0</v>
      </c>
      <c r="CZ848" s="523">
        <f t="shared" si="2299"/>
        <v>0</v>
      </c>
      <c r="DA848" s="523">
        <f t="shared" si="2300"/>
        <v>0</v>
      </c>
      <c r="DB848" s="523" t="str">
        <f t="shared" si="2301"/>
        <v/>
      </c>
      <c r="DC848" s="522" t="str">
        <f t="shared" si="2302"/>
        <v/>
      </c>
      <c r="DD848" s="521" t="str">
        <f t="shared" si="2303"/>
        <v/>
      </c>
      <c r="DE848" s="635">
        <f t="shared" si="2304"/>
        <v>10</v>
      </c>
      <c r="DF848" s="95">
        <f t="shared" si="2305"/>
        <v>10</v>
      </c>
      <c r="DG848" s="95">
        <f t="shared" si="2306"/>
        <v>10</v>
      </c>
      <c r="DH848" s="95">
        <f t="shared" si="2307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2383">SUM(B391)</f>
        <v>0</v>
      </c>
      <c r="C849" s="786">
        <f t="shared" si="2383"/>
        <v>0</v>
      </c>
      <c r="D849" s="786">
        <f t="shared" si="2383"/>
        <v>0</v>
      </c>
      <c r="E849" s="786">
        <f t="shared" si="2383"/>
        <v>0</v>
      </c>
      <c r="F849" s="786">
        <f t="shared" si="2383"/>
        <v>0</v>
      </c>
      <c r="G849" s="786">
        <f t="shared" si="2383"/>
        <v>0</v>
      </c>
      <c r="H849" s="786">
        <f t="shared" si="2383"/>
        <v>0</v>
      </c>
      <c r="I849" s="786">
        <f t="shared" si="2383"/>
        <v>0</v>
      </c>
      <c r="J849" s="786">
        <f t="shared" si="2383"/>
        <v>0</v>
      </c>
      <c r="K849" s="786">
        <f t="shared" si="2383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2384">SUM(T391)</f>
        <v>0</v>
      </c>
      <c r="U849" s="786">
        <f t="shared" si="2384"/>
        <v>0</v>
      </c>
      <c r="V849" s="786">
        <f t="shared" si="2384"/>
        <v>0</v>
      </c>
      <c r="W849" s="786">
        <f t="shared" si="2384"/>
        <v>0</v>
      </c>
      <c r="X849" s="786">
        <f t="shared" si="2384"/>
        <v>0</v>
      </c>
      <c r="Y849" s="786">
        <f t="shared" si="2384"/>
        <v>0</v>
      </c>
      <c r="Z849" s="786">
        <f t="shared" si="2384"/>
        <v>0</v>
      </c>
      <c r="AA849" s="786">
        <f t="shared" si="2384"/>
        <v>0</v>
      </c>
      <c r="AB849" s="786">
        <f t="shared" si="2384"/>
        <v>0</v>
      </c>
      <c r="AC849" s="786">
        <f t="shared" si="2384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2385">SUM(AL391)</f>
        <v>0</v>
      </c>
      <c r="AM849" s="786">
        <f t="shared" si="2385"/>
        <v>0</v>
      </c>
      <c r="AN849" s="786">
        <f t="shared" si="2385"/>
        <v>0</v>
      </c>
      <c r="AO849" s="786">
        <f t="shared" si="2385"/>
        <v>0</v>
      </c>
      <c r="AP849" s="786">
        <f t="shared" si="2385"/>
        <v>0</v>
      </c>
      <c r="AQ849" s="786">
        <f t="shared" si="2385"/>
        <v>0</v>
      </c>
      <c r="AR849" s="786">
        <f t="shared" si="2385"/>
        <v>0</v>
      </c>
      <c r="AS849" s="786">
        <f t="shared" si="2385"/>
        <v>0</v>
      </c>
      <c r="AT849" s="786">
        <f t="shared" si="2385"/>
        <v>0</v>
      </c>
      <c r="AU849" s="786">
        <f t="shared" si="2385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2386">SUM(BD391)</f>
        <v>0</v>
      </c>
      <c r="BE849" s="786">
        <f t="shared" si="2386"/>
        <v>0</v>
      </c>
      <c r="BF849" s="786">
        <f t="shared" si="2386"/>
        <v>0</v>
      </c>
      <c r="BG849" s="786">
        <f t="shared" si="2386"/>
        <v>0</v>
      </c>
      <c r="BH849" s="786">
        <f t="shared" si="2386"/>
        <v>0</v>
      </c>
      <c r="BI849" s="786">
        <f t="shared" si="2386"/>
        <v>0</v>
      </c>
      <c r="BJ849" s="786">
        <f t="shared" si="2386"/>
        <v>0</v>
      </c>
      <c r="BK849" s="786">
        <f t="shared" si="2386"/>
        <v>0</v>
      </c>
      <c r="BL849" s="786">
        <f t="shared" si="2386"/>
        <v>0</v>
      </c>
      <c r="BM849" s="786">
        <f t="shared" si="2386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2282"/>
        <v>0</v>
      </c>
      <c r="CA849" s="607">
        <f t="shared" si="2283"/>
        <v>0</v>
      </c>
      <c r="CB849" s="607">
        <f t="shared" si="2284"/>
        <v>0</v>
      </c>
      <c r="CC849" s="673">
        <f t="shared" si="2285"/>
        <v>0</v>
      </c>
      <c r="CD849" s="991">
        <f t="shared" si="2312"/>
        <v>0</v>
      </c>
      <c r="CE849" s="992">
        <f t="shared" si="2378"/>
        <v>0</v>
      </c>
      <c r="CF849" s="992">
        <f t="shared" si="2378"/>
        <v>0</v>
      </c>
      <c r="CG849" s="992">
        <f t="shared" si="2378"/>
        <v>0</v>
      </c>
      <c r="CH849" s="993">
        <f t="shared" si="2378"/>
        <v>0</v>
      </c>
      <c r="CI849" s="993">
        <f t="shared" si="2378"/>
        <v>0</v>
      </c>
      <c r="CJ849" s="992">
        <f t="shared" si="2378"/>
        <v>0</v>
      </c>
      <c r="CK849" s="992">
        <f t="shared" si="2378"/>
        <v>0</v>
      </c>
      <c r="CL849" s="992">
        <f t="shared" si="2378"/>
        <v>0</v>
      </c>
      <c r="CM849" s="991">
        <f t="shared" si="2378"/>
        <v>0</v>
      </c>
      <c r="CN849" s="521" t="str">
        <f t="shared" si="2287"/>
        <v/>
      </c>
      <c r="CO849" s="522" t="str">
        <f t="shared" si="2288"/>
        <v/>
      </c>
      <c r="CP849" s="523" t="str">
        <f t="shared" si="2289"/>
        <v/>
      </c>
      <c r="CQ849" s="523" t="str">
        <f t="shared" si="2290"/>
        <v/>
      </c>
      <c r="CR849" s="523">
        <f t="shared" si="2291"/>
        <v>0</v>
      </c>
      <c r="CS849" s="523">
        <f t="shared" si="2292"/>
        <v>0</v>
      </c>
      <c r="CT849" s="523">
        <f t="shared" si="2293"/>
        <v>0</v>
      </c>
      <c r="CU849" s="524">
        <f t="shared" si="2294"/>
        <v>0</v>
      </c>
      <c r="CV849" s="524">
        <f t="shared" si="2295"/>
        <v>0</v>
      </c>
      <c r="CW849" s="524">
        <f t="shared" si="2296"/>
        <v>0</v>
      </c>
      <c r="CX849" s="523">
        <f t="shared" si="2297"/>
        <v>0</v>
      </c>
      <c r="CY849" s="523">
        <f t="shared" si="2298"/>
        <v>0</v>
      </c>
      <c r="CZ849" s="523">
        <f t="shared" si="2299"/>
        <v>0</v>
      </c>
      <c r="DA849" s="523">
        <f t="shared" si="2300"/>
        <v>0</v>
      </c>
      <c r="DB849" s="523" t="str">
        <f t="shared" si="2301"/>
        <v/>
      </c>
      <c r="DC849" s="522" t="str">
        <f t="shared" si="2302"/>
        <v/>
      </c>
      <c r="DD849" s="521" t="str">
        <f t="shared" si="2303"/>
        <v/>
      </c>
      <c r="DE849" s="635">
        <f t="shared" si="2304"/>
        <v>10</v>
      </c>
      <c r="DF849" s="95">
        <f t="shared" si="2305"/>
        <v>10</v>
      </c>
      <c r="DG849" s="95">
        <f t="shared" si="2306"/>
        <v>10</v>
      </c>
      <c r="DH849" s="95">
        <f t="shared" si="2307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2387">SUM(B437)</f>
        <v>0</v>
      </c>
      <c r="C851" s="786">
        <f t="shared" si="2387"/>
        <v>0</v>
      </c>
      <c r="D851" s="786">
        <f t="shared" si="2387"/>
        <v>0</v>
      </c>
      <c r="E851" s="786">
        <f t="shared" si="2387"/>
        <v>0</v>
      </c>
      <c r="F851" s="786">
        <f t="shared" si="2387"/>
        <v>0</v>
      </c>
      <c r="G851" s="786">
        <f t="shared" si="2387"/>
        <v>0</v>
      </c>
      <c r="H851" s="786">
        <f t="shared" si="2387"/>
        <v>0</v>
      </c>
      <c r="I851" s="786">
        <f t="shared" si="2387"/>
        <v>0</v>
      </c>
      <c r="J851" s="786">
        <f t="shared" si="2387"/>
        <v>0</v>
      </c>
      <c r="K851" s="786">
        <f t="shared" si="2387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2388">SUM(T437)</f>
        <v>0</v>
      </c>
      <c r="U851" s="786">
        <f t="shared" si="2388"/>
        <v>0</v>
      </c>
      <c r="V851" s="786">
        <f t="shared" si="2388"/>
        <v>0</v>
      </c>
      <c r="W851" s="786">
        <f t="shared" si="2388"/>
        <v>0</v>
      </c>
      <c r="X851" s="786">
        <f t="shared" si="2388"/>
        <v>0</v>
      </c>
      <c r="Y851" s="786">
        <f t="shared" si="2388"/>
        <v>0</v>
      </c>
      <c r="Z851" s="786">
        <f t="shared" si="2388"/>
        <v>0</v>
      </c>
      <c r="AA851" s="786">
        <f t="shared" si="2388"/>
        <v>0</v>
      </c>
      <c r="AB851" s="786">
        <f t="shared" si="2388"/>
        <v>0</v>
      </c>
      <c r="AC851" s="786">
        <f t="shared" si="2388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2389">SUM(AL437)</f>
        <v>0</v>
      </c>
      <c r="AM851" s="786">
        <f t="shared" si="2389"/>
        <v>0</v>
      </c>
      <c r="AN851" s="786">
        <f t="shared" si="2389"/>
        <v>0</v>
      </c>
      <c r="AO851" s="786">
        <f t="shared" si="2389"/>
        <v>0</v>
      </c>
      <c r="AP851" s="786">
        <f t="shared" si="2389"/>
        <v>0</v>
      </c>
      <c r="AQ851" s="786">
        <f t="shared" si="2389"/>
        <v>0</v>
      </c>
      <c r="AR851" s="786">
        <f t="shared" si="2389"/>
        <v>0</v>
      </c>
      <c r="AS851" s="786">
        <f t="shared" si="2389"/>
        <v>0</v>
      </c>
      <c r="AT851" s="786">
        <f t="shared" si="2389"/>
        <v>0</v>
      </c>
      <c r="AU851" s="786">
        <f t="shared" si="2389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2390">SUM(BD437)</f>
        <v>0</v>
      </c>
      <c r="BE851" s="786">
        <f t="shared" si="2390"/>
        <v>0</v>
      </c>
      <c r="BF851" s="786">
        <f t="shared" si="2390"/>
        <v>0</v>
      </c>
      <c r="BG851" s="786">
        <f t="shared" si="2390"/>
        <v>0</v>
      </c>
      <c r="BH851" s="786">
        <f t="shared" si="2390"/>
        <v>0</v>
      </c>
      <c r="BI851" s="786">
        <f t="shared" si="2390"/>
        <v>0</v>
      </c>
      <c r="BJ851" s="786">
        <f t="shared" si="2390"/>
        <v>0</v>
      </c>
      <c r="BK851" s="786">
        <f t="shared" si="2390"/>
        <v>0</v>
      </c>
      <c r="BL851" s="786">
        <f t="shared" si="2390"/>
        <v>0</v>
      </c>
      <c r="BM851" s="786">
        <f t="shared" si="2390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2391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2391"/>
        <v>0</v>
      </c>
      <c r="CF851" s="992">
        <f t="shared" si="2391"/>
        <v>0</v>
      </c>
      <c r="CG851" s="992">
        <f t="shared" si="2391"/>
        <v>0</v>
      </c>
      <c r="CH851" s="993">
        <f t="shared" si="2391"/>
        <v>0</v>
      </c>
      <c r="CI851" s="993">
        <f t="shared" si="2391"/>
        <v>0</v>
      </c>
      <c r="CJ851" s="992">
        <f t="shared" si="2391"/>
        <v>0</v>
      </c>
      <c r="CK851" s="992">
        <f t="shared" si="2391"/>
        <v>0</v>
      </c>
      <c r="CL851" s="992">
        <f t="shared" si="2391"/>
        <v>0</v>
      </c>
      <c r="CM851" s="991">
        <f t="shared" si="2391"/>
        <v>0</v>
      </c>
      <c r="CN851" s="521" t="str">
        <f t="shared" ref="CN851:CW852" si="2392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2392"/>
        <v/>
      </c>
      <c r="CP851" s="523" t="str">
        <f t="shared" si="2392"/>
        <v/>
      </c>
      <c r="CQ851" s="523" t="str">
        <f t="shared" si="2392"/>
        <v/>
      </c>
      <c r="CR851" s="523">
        <f t="shared" si="2392"/>
        <v>0</v>
      </c>
      <c r="CS851" s="523">
        <f t="shared" si="2392"/>
        <v>0</v>
      </c>
      <c r="CT851" s="523">
        <f t="shared" si="2392"/>
        <v>0</v>
      </c>
      <c r="CU851" s="524">
        <f t="shared" si="2392"/>
        <v>0</v>
      </c>
      <c r="CV851" s="524">
        <f t="shared" si="2392"/>
        <v>0</v>
      </c>
      <c r="CW851" s="524">
        <f t="shared" si="2392"/>
        <v>0</v>
      </c>
      <c r="CX851" s="523">
        <f t="shared" ref="CX851:DD852" si="2393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2393"/>
        <v>0</v>
      </c>
      <c r="CZ851" s="523">
        <f t="shared" si="2393"/>
        <v>0</v>
      </c>
      <c r="DA851" s="523">
        <f t="shared" si="2393"/>
        <v>0</v>
      </c>
      <c r="DB851" s="523" t="str">
        <f t="shared" si="2393"/>
        <v/>
      </c>
      <c r="DC851" s="522" t="str">
        <f t="shared" si="2393"/>
        <v/>
      </c>
      <c r="DD851" s="521" t="str">
        <f t="shared" si="2393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2394">SUM(B447)</f>
        <v>0</v>
      </c>
      <c r="C852" s="786">
        <f t="shared" si="2394"/>
        <v>0</v>
      </c>
      <c r="D852" s="786">
        <f t="shared" si="2394"/>
        <v>0</v>
      </c>
      <c r="E852" s="786">
        <f t="shared" si="2394"/>
        <v>0</v>
      </c>
      <c r="F852" s="786">
        <f t="shared" si="2394"/>
        <v>0</v>
      </c>
      <c r="G852" s="786">
        <f t="shared" si="2394"/>
        <v>0</v>
      </c>
      <c r="H852" s="786">
        <f t="shared" si="2394"/>
        <v>0</v>
      </c>
      <c r="I852" s="786">
        <f t="shared" si="2394"/>
        <v>0</v>
      </c>
      <c r="J852" s="786">
        <f t="shared" si="2394"/>
        <v>0</v>
      </c>
      <c r="K852" s="786">
        <f t="shared" si="2394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2395">SUM(T447)</f>
        <v>0</v>
      </c>
      <c r="U852" s="786">
        <f t="shared" si="2395"/>
        <v>0</v>
      </c>
      <c r="V852" s="786">
        <f t="shared" si="2395"/>
        <v>0</v>
      </c>
      <c r="W852" s="786">
        <f t="shared" si="2395"/>
        <v>0</v>
      </c>
      <c r="X852" s="786">
        <f t="shared" si="2395"/>
        <v>0</v>
      </c>
      <c r="Y852" s="786">
        <f t="shared" si="2395"/>
        <v>0</v>
      </c>
      <c r="Z852" s="786">
        <f t="shared" si="2395"/>
        <v>0</v>
      </c>
      <c r="AA852" s="786">
        <f t="shared" si="2395"/>
        <v>0</v>
      </c>
      <c r="AB852" s="786">
        <f t="shared" si="2395"/>
        <v>0</v>
      </c>
      <c r="AC852" s="786">
        <f t="shared" si="2395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2396">SUM(AL447)</f>
        <v>0</v>
      </c>
      <c r="AM852" s="786">
        <f t="shared" si="2396"/>
        <v>0</v>
      </c>
      <c r="AN852" s="786">
        <f t="shared" si="2396"/>
        <v>0</v>
      </c>
      <c r="AO852" s="786">
        <f t="shared" si="2396"/>
        <v>0</v>
      </c>
      <c r="AP852" s="786">
        <f t="shared" si="2396"/>
        <v>0</v>
      </c>
      <c r="AQ852" s="786">
        <f t="shared" si="2396"/>
        <v>0</v>
      </c>
      <c r="AR852" s="786">
        <f t="shared" si="2396"/>
        <v>0</v>
      </c>
      <c r="AS852" s="786">
        <f t="shared" si="2396"/>
        <v>0</v>
      </c>
      <c r="AT852" s="786">
        <f t="shared" si="2396"/>
        <v>0</v>
      </c>
      <c r="AU852" s="786">
        <f t="shared" si="2396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2397">SUM(BD447)</f>
        <v>0</v>
      </c>
      <c r="BE852" s="786">
        <f t="shared" si="2397"/>
        <v>0</v>
      </c>
      <c r="BF852" s="786">
        <f t="shared" si="2397"/>
        <v>0</v>
      </c>
      <c r="BG852" s="786">
        <f t="shared" si="2397"/>
        <v>0</v>
      </c>
      <c r="BH852" s="786">
        <f t="shared" si="2397"/>
        <v>0</v>
      </c>
      <c r="BI852" s="786">
        <f t="shared" si="2397"/>
        <v>0</v>
      </c>
      <c r="BJ852" s="786">
        <f t="shared" si="2397"/>
        <v>0</v>
      </c>
      <c r="BK852" s="786">
        <f t="shared" si="2397"/>
        <v>0</v>
      </c>
      <c r="BL852" s="786">
        <f t="shared" si="2397"/>
        <v>0</v>
      </c>
      <c r="BM852" s="786">
        <f t="shared" si="2397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2391"/>
        <v>0</v>
      </c>
      <c r="CE852" s="992">
        <f t="shared" ref="CE852:CM852" si="2398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2398"/>
        <v>0</v>
      </c>
      <c r="CG852" s="992">
        <f t="shared" si="2398"/>
        <v>0</v>
      </c>
      <c r="CH852" s="993">
        <f t="shared" si="2398"/>
        <v>0</v>
      </c>
      <c r="CI852" s="993">
        <f t="shared" si="2398"/>
        <v>0</v>
      </c>
      <c r="CJ852" s="992">
        <f t="shared" si="2398"/>
        <v>0</v>
      </c>
      <c r="CK852" s="992">
        <f t="shared" si="2398"/>
        <v>0</v>
      </c>
      <c r="CL852" s="992">
        <f t="shared" si="2398"/>
        <v>0</v>
      </c>
      <c r="CM852" s="991">
        <f t="shared" si="2398"/>
        <v>0</v>
      </c>
      <c r="CN852" s="521" t="str">
        <f t="shared" si="2392"/>
        <v/>
      </c>
      <c r="CO852" s="522" t="str">
        <f t="shared" si="2392"/>
        <v/>
      </c>
      <c r="CP852" s="523" t="str">
        <f t="shared" si="2392"/>
        <v/>
      </c>
      <c r="CQ852" s="523" t="str">
        <f t="shared" si="2392"/>
        <v/>
      </c>
      <c r="CR852" s="523">
        <f t="shared" si="2392"/>
        <v>0</v>
      </c>
      <c r="CS852" s="523">
        <f t="shared" si="2392"/>
        <v>0</v>
      </c>
      <c r="CT852" s="523">
        <f t="shared" si="2392"/>
        <v>0</v>
      </c>
      <c r="CU852" s="524">
        <f t="shared" si="2392"/>
        <v>0</v>
      </c>
      <c r="CV852" s="524">
        <f t="shared" si="2392"/>
        <v>0</v>
      </c>
      <c r="CW852" s="524">
        <f t="shared" si="2392"/>
        <v>0</v>
      </c>
      <c r="CX852" s="523">
        <f t="shared" si="2393"/>
        <v>0</v>
      </c>
      <c r="CY852" s="523">
        <f t="shared" si="2393"/>
        <v>0</v>
      </c>
      <c r="CZ852" s="523">
        <f t="shared" si="2393"/>
        <v>0</v>
      </c>
      <c r="DA852" s="523">
        <f t="shared" si="2393"/>
        <v>0</v>
      </c>
      <c r="DB852" s="523" t="str">
        <f t="shared" si="2393"/>
        <v/>
      </c>
      <c r="DC852" s="522" t="str">
        <f t="shared" si="2393"/>
        <v/>
      </c>
      <c r="DD852" s="521" t="str">
        <f t="shared" si="2393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2399">SUM(B649)</f>
        <v>0</v>
      </c>
      <c r="C854" s="786">
        <f t="shared" si="2399"/>
        <v>0</v>
      </c>
      <c r="D854" s="786">
        <f t="shared" si="2399"/>
        <v>0</v>
      </c>
      <c r="E854" s="786">
        <f t="shared" si="2399"/>
        <v>0</v>
      </c>
      <c r="F854" s="786">
        <f t="shared" si="2399"/>
        <v>0</v>
      </c>
      <c r="G854" s="786">
        <f t="shared" si="2399"/>
        <v>0</v>
      </c>
      <c r="H854" s="786">
        <f t="shared" si="2399"/>
        <v>0</v>
      </c>
      <c r="I854" s="786">
        <f t="shared" si="2399"/>
        <v>0</v>
      </c>
      <c r="J854" s="786">
        <f t="shared" si="2399"/>
        <v>0</v>
      </c>
      <c r="K854" s="786">
        <f t="shared" si="2399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2400">SUM(T649)</f>
        <v>0</v>
      </c>
      <c r="U854" s="786">
        <f t="shared" si="2400"/>
        <v>0</v>
      </c>
      <c r="V854" s="786">
        <f t="shared" si="2400"/>
        <v>0</v>
      </c>
      <c r="W854" s="786">
        <f t="shared" si="2400"/>
        <v>0</v>
      </c>
      <c r="X854" s="786">
        <f t="shared" si="2400"/>
        <v>0</v>
      </c>
      <c r="Y854" s="786">
        <f t="shared" si="2400"/>
        <v>0</v>
      </c>
      <c r="Z854" s="786">
        <f t="shared" si="2400"/>
        <v>0</v>
      </c>
      <c r="AA854" s="786">
        <f t="shared" si="2400"/>
        <v>0</v>
      </c>
      <c r="AB854" s="786">
        <f t="shared" si="2400"/>
        <v>0</v>
      </c>
      <c r="AC854" s="786">
        <f t="shared" si="2400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2401">SUM(AL649)</f>
        <v>0</v>
      </c>
      <c r="AM854" s="786">
        <f t="shared" si="2401"/>
        <v>0</v>
      </c>
      <c r="AN854" s="786">
        <f t="shared" si="2401"/>
        <v>0</v>
      </c>
      <c r="AO854" s="786">
        <f t="shared" si="2401"/>
        <v>0</v>
      </c>
      <c r="AP854" s="786">
        <f t="shared" si="2401"/>
        <v>0</v>
      </c>
      <c r="AQ854" s="786">
        <f t="shared" si="2401"/>
        <v>0</v>
      </c>
      <c r="AR854" s="786">
        <f t="shared" si="2401"/>
        <v>0</v>
      </c>
      <c r="AS854" s="786">
        <f t="shared" si="2401"/>
        <v>0</v>
      </c>
      <c r="AT854" s="786">
        <f t="shared" si="2401"/>
        <v>0</v>
      </c>
      <c r="AU854" s="786">
        <f t="shared" si="2401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2402">SUM(BD649)</f>
        <v>0</v>
      </c>
      <c r="BE854" s="786">
        <f t="shared" si="2402"/>
        <v>0</v>
      </c>
      <c r="BF854" s="786">
        <f t="shared" si="2402"/>
        <v>0</v>
      </c>
      <c r="BG854" s="786">
        <f t="shared" si="2402"/>
        <v>0</v>
      </c>
      <c r="BH854" s="786">
        <f t="shared" si="2402"/>
        <v>0</v>
      </c>
      <c r="BI854" s="786">
        <f t="shared" si="2402"/>
        <v>0</v>
      </c>
      <c r="BJ854" s="786">
        <f t="shared" si="2402"/>
        <v>0</v>
      </c>
      <c r="BK854" s="786">
        <f t="shared" si="2402"/>
        <v>0</v>
      </c>
      <c r="BL854" s="786">
        <f t="shared" si="2402"/>
        <v>0</v>
      </c>
      <c r="BM854" s="786">
        <f t="shared" si="2402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2403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2403"/>
        <v>0</v>
      </c>
      <c r="CF854" s="992">
        <f t="shared" si="2403"/>
        <v>0</v>
      </c>
      <c r="CG854" s="992">
        <f t="shared" si="2403"/>
        <v>0</v>
      </c>
      <c r="CH854" s="993">
        <f t="shared" si="2403"/>
        <v>0</v>
      </c>
      <c r="CI854" s="993">
        <f t="shared" si="2403"/>
        <v>0</v>
      </c>
      <c r="CJ854" s="992">
        <f t="shared" si="2403"/>
        <v>0</v>
      </c>
      <c r="CK854" s="992">
        <f t="shared" si="2403"/>
        <v>0</v>
      </c>
      <c r="CL854" s="992">
        <f t="shared" si="2403"/>
        <v>0</v>
      </c>
      <c r="CM854" s="991">
        <f t="shared" si="2403"/>
        <v>0</v>
      </c>
      <c r="CN854" s="521" t="str">
        <f t="shared" ref="CN854:CW857" si="2404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2404"/>
        <v/>
      </c>
      <c r="CP854" s="523" t="str">
        <f t="shared" si="2404"/>
        <v/>
      </c>
      <c r="CQ854" s="523" t="str">
        <f t="shared" si="2404"/>
        <v/>
      </c>
      <c r="CR854" s="523">
        <f t="shared" si="2404"/>
        <v>0</v>
      </c>
      <c r="CS854" s="523">
        <f t="shared" si="2404"/>
        <v>0</v>
      </c>
      <c r="CT854" s="523">
        <f t="shared" si="2404"/>
        <v>0</v>
      </c>
      <c r="CU854" s="524">
        <f t="shared" si="2404"/>
        <v>0</v>
      </c>
      <c r="CV854" s="524">
        <f t="shared" si="2404"/>
        <v>0</v>
      </c>
      <c r="CW854" s="524">
        <f t="shared" si="2404"/>
        <v>0</v>
      </c>
      <c r="CX854" s="523">
        <f t="shared" ref="CX854:DD857" si="2405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2405"/>
        <v>0</v>
      </c>
      <c r="CZ854" s="523">
        <f t="shared" si="2405"/>
        <v>0</v>
      </c>
      <c r="DA854" s="523">
        <f t="shared" si="2405"/>
        <v>0</v>
      </c>
      <c r="DB854" s="523" t="str">
        <f t="shared" si="2405"/>
        <v/>
      </c>
      <c r="DC854" s="522" t="str">
        <f t="shared" si="2405"/>
        <v/>
      </c>
      <c r="DD854" s="521" t="str">
        <f t="shared" si="2405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2406">SUM(B655)</f>
        <v>0</v>
      </c>
      <c r="C855" s="786">
        <f t="shared" si="2406"/>
        <v>0</v>
      </c>
      <c r="D855" s="786">
        <f t="shared" si="2406"/>
        <v>0</v>
      </c>
      <c r="E855" s="786">
        <f t="shared" si="2406"/>
        <v>0</v>
      </c>
      <c r="F855" s="786">
        <f t="shared" si="2406"/>
        <v>0</v>
      </c>
      <c r="G855" s="786">
        <f t="shared" si="2406"/>
        <v>0</v>
      </c>
      <c r="H855" s="786">
        <f t="shared" si="2406"/>
        <v>0</v>
      </c>
      <c r="I855" s="786">
        <f t="shared" si="2406"/>
        <v>0</v>
      </c>
      <c r="J855" s="786">
        <f t="shared" si="2406"/>
        <v>0</v>
      </c>
      <c r="K855" s="786">
        <f t="shared" si="2406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2407">SUM(T655)</f>
        <v>0</v>
      </c>
      <c r="U855" s="786">
        <f t="shared" si="2407"/>
        <v>0</v>
      </c>
      <c r="V855" s="786">
        <f t="shared" si="2407"/>
        <v>0</v>
      </c>
      <c r="W855" s="786">
        <f t="shared" si="2407"/>
        <v>0</v>
      </c>
      <c r="X855" s="786">
        <f t="shared" si="2407"/>
        <v>0</v>
      </c>
      <c r="Y855" s="786">
        <f t="shared" si="2407"/>
        <v>0</v>
      </c>
      <c r="Z855" s="786">
        <f t="shared" si="2407"/>
        <v>0</v>
      </c>
      <c r="AA855" s="786">
        <f t="shared" si="2407"/>
        <v>0</v>
      </c>
      <c r="AB855" s="786">
        <f t="shared" si="2407"/>
        <v>0</v>
      </c>
      <c r="AC855" s="786">
        <f t="shared" si="2407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2408">SUM(AL655)</f>
        <v>0</v>
      </c>
      <c r="AM855" s="786">
        <f t="shared" si="2408"/>
        <v>0</v>
      </c>
      <c r="AN855" s="786">
        <f t="shared" si="2408"/>
        <v>0</v>
      </c>
      <c r="AO855" s="786">
        <f t="shared" si="2408"/>
        <v>0</v>
      </c>
      <c r="AP855" s="786">
        <f t="shared" si="2408"/>
        <v>0</v>
      </c>
      <c r="AQ855" s="786">
        <f t="shared" si="2408"/>
        <v>0</v>
      </c>
      <c r="AR855" s="786">
        <f t="shared" si="2408"/>
        <v>0</v>
      </c>
      <c r="AS855" s="786">
        <f t="shared" si="2408"/>
        <v>0</v>
      </c>
      <c r="AT855" s="786">
        <f t="shared" si="2408"/>
        <v>0</v>
      </c>
      <c r="AU855" s="786">
        <f t="shared" si="2408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2409">SUM(BD655)</f>
        <v>0</v>
      </c>
      <c r="BE855" s="786">
        <f t="shared" si="2409"/>
        <v>0</v>
      </c>
      <c r="BF855" s="786">
        <f t="shared" si="2409"/>
        <v>0</v>
      </c>
      <c r="BG855" s="786">
        <f t="shared" si="2409"/>
        <v>0</v>
      </c>
      <c r="BH855" s="786">
        <f t="shared" si="2409"/>
        <v>0</v>
      </c>
      <c r="BI855" s="786">
        <f t="shared" si="2409"/>
        <v>0</v>
      </c>
      <c r="BJ855" s="786">
        <f t="shared" si="2409"/>
        <v>0</v>
      </c>
      <c r="BK855" s="786">
        <f t="shared" si="2409"/>
        <v>0</v>
      </c>
      <c r="BL855" s="786">
        <f t="shared" si="2409"/>
        <v>0</v>
      </c>
      <c r="BM855" s="786">
        <f t="shared" si="2409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2410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2410"/>
        <v>0</v>
      </c>
      <c r="CG855" s="992">
        <f t="shared" si="2410"/>
        <v>0</v>
      </c>
      <c r="CH855" s="993">
        <f t="shared" si="2410"/>
        <v>0</v>
      </c>
      <c r="CI855" s="993">
        <f t="shared" si="2410"/>
        <v>0</v>
      </c>
      <c r="CJ855" s="992">
        <f t="shared" si="2410"/>
        <v>0</v>
      </c>
      <c r="CK855" s="992">
        <f t="shared" si="2410"/>
        <v>0</v>
      </c>
      <c r="CL855" s="992">
        <f t="shared" si="2410"/>
        <v>0</v>
      </c>
      <c r="CM855" s="991">
        <f t="shared" si="2410"/>
        <v>0</v>
      </c>
      <c r="CN855" s="521" t="str">
        <f t="shared" si="2404"/>
        <v/>
      </c>
      <c r="CO855" s="522" t="str">
        <f t="shared" si="2404"/>
        <v/>
      </c>
      <c r="CP855" s="523" t="str">
        <f t="shared" si="2404"/>
        <v/>
      </c>
      <c r="CQ855" s="523" t="str">
        <f t="shared" si="2404"/>
        <v/>
      </c>
      <c r="CR855" s="523">
        <f t="shared" si="2404"/>
        <v>0</v>
      </c>
      <c r="CS855" s="523">
        <f t="shared" si="2404"/>
        <v>0</v>
      </c>
      <c r="CT855" s="523">
        <f t="shared" si="2404"/>
        <v>0</v>
      </c>
      <c r="CU855" s="524">
        <f t="shared" si="2404"/>
        <v>0</v>
      </c>
      <c r="CV855" s="524">
        <f t="shared" si="2404"/>
        <v>0</v>
      </c>
      <c r="CW855" s="524">
        <f t="shared" si="2404"/>
        <v>0</v>
      </c>
      <c r="CX855" s="523">
        <f t="shared" si="2405"/>
        <v>0</v>
      </c>
      <c r="CY855" s="523">
        <f t="shared" si="2405"/>
        <v>0</v>
      </c>
      <c r="CZ855" s="523">
        <f t="shared" si="2405"/>
        <v>0</v>
      </c>
      <c r="DA855" s="523">
        <f t="shared" si="2405"/>
        <v>0</v>
      </c>
      <c r="DB855" s="523" t="str">
        <f t="shared" si="2405"/>
        <v/>
      </c>
      <c r="DC855" s="522" t="str">
        <f t="shared" si="2405"/>
        <v/>
      </c>
      <c r="DD855" s="521" t="str">
        <f t="shared" si="2405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2411">SUM(B661)</f>
        <v>0</v>
      </c>
      <c r="C856" s="786">
        <f t="shared" si="2411"/>
        <v>0</v>
      </c>
      <c r="D856" s="786">
        <f t="shared" si="2411"/>
        <v>0</v>
      </c>
      <c r="E856" s="786">
        <f t="shared" si="2411"/>
        <v>0</v>
      </c>
      <c r="F856" s="786">
        <f t="shared" si="2411"/>
        <v>0</v>
      </c>
      <c r="G856" s="786">
        <f t="shared" si="2411"/>
        <v>0</v>
      </c>
      <c r="H856" s="786">
        <f t="shared" si="2411"/>
        <v>0</v>
      </c>
      <c r="I856" s="786">
        <f t="shared" si="2411"/>
        <v>0</v>
      </c>
      <c r="J856" s="786">
        <f t="shared" si="2411"/>
        <v>0</v>
      </c>
      <c r="K856" s="786">
        <f t="shared" si="2411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2412">SUM(T661)</f>
        <v>0</v>
      </c>
      <c r="U856" s="786">
        <f t="shared" si="2412"/>
        <v>0</v>
      </c>
      <c r="V856" s="786">
        <f t="shared" si="2412"/>
        <v>0</v>
      </c>
      <c r="W856" s="786">
        <f t="shared" si="2412"/>
        <v>0</v>
      </c>
      <c r="X856" s="786">
        <f t="shared" si="2412"/>
        <v>0</v>
      </c>
      <c r="Y856" s="786">
        <f t="shared" si="2412"/>
        <v>0</v>
      </c>
      <c r="Z856" s="786">
        <f t="shared" si="2412"/>
        <v>0</v>
      </c>
      <c r="AA856" s="786">
        <f t="shared" si="2412"/>
        <v>0</v>
      </c>
      <c r="AB856" s="786">
        <f t="shared" si="2412"/>
        <v>0</v>
      </c>
      <c r="AC856" s="786">
        <f t="shared" si="2412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2413">SUM(AL661)</f>
        <v>0</v>
      </c>
      <c r="AM856" s="786">
        <f t="shared" si="2413"/>
        <v>0</v>
      </c>
      <c r="AN856" s="786">
        <f t="shared" si="2413"/>
        <v>0</v>
      </c>
      <c r="AO856" s="786">
        <f t="shared" si="2413"/>
        <v>0</v>
      </c>
      <c r="AP856" s="786">
        <f t="shared" si="2413"/>
        <v>0</v>
      </c>
      <c r="AQ856" s="786">
        <f t="shared" si="2413"/>
        <v>0</v>
      </c>
      <c r="AR856" s="786">
        <f t="shared" si="2413"/>
        <v>0</v>
      </c>
      <c r="AS856" s="786">
        <f t="shared" si="2413"/>
        <v>0</v>
      </c>
      <c r="AT856" s="786">
        <f t="shared" si="2413"/>
        <v>0</v>
      </c>
      <c r="AU856" s="786">
        <f t="shared" si="2413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2414">SUM(BD661)</f>
        <v>0</v>
      </c>
      <c r="BE856" s="786">
        <f t="shared" si="2414"/>
        <v>0</v>
      </c>
      <c r="BF856" s="786">
        <f t="shared" si="2414"/>
        <v>0</v>
      </c>
      <c r="BG856" s="786">
        <f t="shared" si="2414"/>
        <v>0</v>
      </c>
      <c r="BH856" s="786">
        <f t="shared" si="2414"/>
        <v>0</v>
      </c>
      <c r="BI856" s="786">
        <f t="shared" si="2414"/>
        <v>0</v>
      </c>
      <c r="BJ856" s="786">
        <f t="shared" si="2414"/>
        <v>0</v>
      </c>
      <c r="BK856" s="786">
        <f t="shared" si="2414"/>
        <v>0</v>
      </c>
      <c r="BL856" s="786">
        <f t="shared" si="2414"/>
        <v>0</v>
      </c>
      <c r="BM856" s="786">
        <f t="shared" si="2414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2410"/>
        <v>0</v>
      </c>
      <c r="CF856" s="992">
        <f t="shared" si="2410"/>
        <v>0</v>
      </c>
      <c r="CG856" s="992">
        <f t="shared" si="2410"/>
        <v>0</v>
      </c>
      <c r="CH856" s="993">
        <f t="shared" si="2410"/>
        <v>0</v>
      </c>
      <c r="CI856" s="993">
        <f t="shared" si="2410"/>
        <v>0</v>
      </c>
      <c r="CJ856" s="992">
        <f t="shared" si="2410"/>
        <v>0</v>
      </c>
      <c r="CK856" s="992">
        <f t="shared" si="2410"/>
        <v>0</v>
      </c>
      <c r="CL856" s="992">
        <f t="shared" si="2410"/>
        <v>0</v>
      </c>
      <c r="CM856" s="991">
        <f t="shared" si="2410"/>
        <v>0</v>
      </c>
      <c r="CN856" s="521" t="str">
        <f t="shared" si="2404"/>
        <v/>
      </c>
      <c r="CO856" s="522" t="str">
        <f t="shared" si="2404"/>
        <v/>
      </c>
      <c r="CP856" s="523" t="str">
        <f t="shared" si="2404"/>
        <v/>
      </c>
      <c r="CQ856" s="523" t="str">
        <f t="shared" si="2404"/>
        <v/>
      </c>
      <c r="CR856" s="523">
        <f t="shared" si="2404"/>
        <v>0</v>
      </c>
      <c r="CS856" s="523">
        <f t="shared" si="2404"/>
        <v>0</v>
      </c>
      <c r="CT856" s="523">
        <f t="shared" si="2404"/>
        <v>0</v>
      </c>
      <c r="CU856" s="524">
        <f t="shared" si="2404"/>
        <v>0</v>
      </c>
      <c r="CV856" s="524">
        <f t="shared" si="2404"/>
        <v>0</v>
      </c>
      <c r="CW856" s="524">
        <f t="shared" si="2404"/>
        <v>0</v>
      </c>
      <c r="CX856" s="523">
        <f t="shared" si="2405"/>
        <v>0</v>
      </c>
      <c r="CY856" s="523">
        <f t="shared" si="2405"/>
        <v>0</v>
      </c>
      <c r="CZ856" s="523">
        <f t="shared" si="2405"/>
        <v>0</v>
      </c>
      <c r="DA856" s="523">
        <f t="shared" si="2405"/>
        <v>0</v>
      </c>
      <c r="DB856" s="523" t="str">
        <f t="shared" si="2405"/>
        <v/>
      </c>
      <c r="DC856" s="522" t="str">
        <f t="shared" si="2405"/>
        <v/>
      </c>
      <c r="DD856" s="521" t="str">
        <f t="shared" si="2405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2415">SUM(B664)</f>
        <v>0</v>
      </c>
      <c r="C857" s="786">
        <f t="shared" si="2415"/>
        <v>0</v>
      </c>
      <c r="D857" s="786">
        <f t="shared" si="2415"/>
        <v>0</v>
      </c>
      <c r="E857" s="786">
        <f t="shared" si="2415"/>
        <v>0</v>
      </c>
      <c r="F857" s="786">
        <f t="shared" si="2415"/>
        <v>0</v>
      </c>
      <c r="G857" s="786">
        <f t="shared" si="2415"/>
        <v>0</v>
      </c>
      <c r="H857" s="786">
        <f t="shared" si="2415"/>
        <v>0</v>
      </c>
      <c r="I857" s="786">
        <f t="shared" si="2415"/>
        <v>0</v>
      </c>
      <c r="J857" s="786">
        <f t="shared" si="2415"/>
        <v>0</v>
      </c>
      <c r="K857" s="786">
        <f t="shared" si="2415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2416">SUM(T664)</f>
        <v>0</v>
      </c>
      <c r="U857" s="786">
        <f t="shared" si="2416"/>
        <v>0</v>
      </c>
      <c r="V857" s="786">
        <f t="shared" si="2416"/>
        <v>0</v>
      </c>
      <c r="W857" s="786">
        <f t="shared" si="2416"/>
        <v>0</v>
      </c>
      <c r="X857" s="786">
        <f t="shared" si="2416"/>
        <v>0</v>
      </c>
      <c r="Y857" s="786">
        <f t="shared" si="2416"/>
        <v>0</v>
      </c>
      <c r="Z857" s="786">
        <f t="shared" si="2416"/>
        <v>0</v>
      </c>
      <c r="AA857" s="786">
        <f t="shared" si="2416"/>
        <v>0</v>
      </c>
      <c r="AB857" s="786">
        <f t="shared" si="2416"/>
        <v>0</v>
      </c>
      <c r="AC857" s="786">
        <f t="shared" si="2416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2417">SUM(AL664)</f>
        <v>0</v>
      </c>
      <c r="AM857" s="786">
        <f t="shared" si="2417"/>
        <v>0</v>
      </c>
      <c r="AN857" s="786">
        <f t="shared" si="2417"/>
        <v>0</v>
      </c>
      <c r="AO857" s="786">
        <f t="shared" si="2417"/>
        <v>0</v>
      </c>
      <c r="AP857" s="786">
        <f t="shared" si="2417"/>
        <v>0</v>
      </c>
      <c r="AQ857" s="786">
        <f t="shared" si="2417"/>
        <v>0</v>
      </c>
      <c r="AR857" s="786">
        <f t="shared" si="2417"/>
        <v>0</v>
      </c>
      <c r="AS857" s="786">
        <f t="shared" si="2417"/>
        <v>0</v>
      </c>
      <c r="AT857" s="786">
        <f t="shared" si="2417"/>
        <v>0</v>
      </c>
      <c r="AU857" s="786">
        <f t="shared" si="2417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2418">SUM(BD664)</f>
        <v>0</v>
      </c>
      <c r="BE857" s="786">
        <f t="shared" si="2418"/>
        <v>0</v>
      </c>
      <c r="BF857" s="786">
        <f t="shared" si="2418"/>
        <v>0</v>
      </c>
      <c r="BG857" s="786">
        <f t="shared" si="2418"/>
        <v>0</v>
      </c>
      <c r="BH857" s="786">
        <f t="shared" si="2418"/>
        <v>0</v>
      </c>
      <c r="BI857" s="786">
        <f t="shared" si="2418"/>
        <v>0</v>
      </c>
      <c r="BJ857" s="786">
        <f t="shared" si="2418"/>
        <v>0</v>
      </c>
      <c r="BK857" s="786">
        <f t="shared" si="2418"/>
        <v>0</v>
      </c>
      <c r="BL857" s="786">
        <f t="shared" si="2418"/>
        <v>0</v>
      </c>
      <c r="BM857" s="786">
        <f t="shared" si="2418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2410"/>
        <v>0</v>
      </c>
      <c r="CF857" s="992">
        <f t="shared" si="2410"/>
        <v>0</v>
      </c>
      <c r="CG857" s="992">
        <f t="shared" si="2410"/>
        <v>0</v>
      </c>
      <c r="CH857" s="993">
        <f t="shared" si="2410"/>
        <v>0</v>
      </c>
      <c r="CI857" s="993">
        <f t="shared" si="2410"/>
        <v>0</v>
      </c>
      <c r="CJ857" s="992">
        <f t="shared" si="2410"/>
        <v>0</v>
      </c>
      <c r="CK857" s="992">
        <f t="shared" si="2410"/>
        <v>0</v>
      </c>
      <c r="CL857" s="992">
        <f t="shared" si="2410"/>
        <v>0</v>
      </c>
      <c r="CM857" s="991">
        <f t="shared" si="2410"/>
        <v>0</v>
      </c>
      <c r="CN857" s="521" t="str">
        <f t="shared" si="2404"/>
        <v/>
      </c>
      <c r="CO857" s="522" t="str">
        <f t="shared" si="2404"/>
        <v/>
      </c>
      <c r="CP857" s="523" t="str">
        <f t="shared" si="2404"/>
        <v/>
      </c>
      <c r="CQ857" s="523" t="str">
        <f t="shared" si="2404"/>
        <v/>
      </c>
      <c r="CR857" s="523">
        <f t="shared" si="2404"/>
        <v>0</v>
      </c>
      <c r="CS857" s="523">
        <f t="shared" si="2404"/>
        <v>0</v>
      </c>
      <c r="CT857" s="523">
        <f t="shared" si="2404"/>
        <v>0</v>
      </c>
      <c r="CU857" s="524">
        <f t="shared" si="2404"/>
        <v>0</v>
      </c>
      <c r="CV857" s="524">
        <f t="shared" si="2404"/>
        <v>0</v>
      </c>
      <c r="CW857" s="524">
        <f t="shared" si="2404"/>
        <v>0</v>
      </c>
      <c r="CX857" s="523">
        <f t="shared" si="2405"/>
        <v>0</v>
      </c>
      <c r="CY857" s="523">
        <f t="shared" si="2405"/>
        <v>0</v>
      </c>
      <c r="CZ857" s="523">
        <f t="shared" si="2405"/>
        <v>0</v>
      </c>
      <c r="DA857" s="523">
        <f t="shared" si="2405"/>
        <v>0</v>
      </c>
      <c r="DB857" s="523" t="str">
        <f t="shared" si="2405"/>
        <v/>
      </c>
      <c r="DC857" s="522" t="str">
        <f t="shared" si="2405"/>
        <v/>
      </c>
      <c r="DD857" s="521" t="str">
        <f t="shared" si="2405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2419">SUM(C455)</f>
        <v>0</v>
      </c>
      <c r="D859" s="786">
        <f t="shared" si="2419"/>
        <v>0</v>
      </c>
      <c r="E859" s="786">
        <f t="shared" si="2419"/>
        <v>0</v>
      </c>
      <c r="F859" s="786">
        <f t="shared" si="2419"/>
        <v>0</v>
      </c>
      <c r="G859" s="786">
        <f t="shared" si="2419"/>
        <v>0</v>
      </c>
      <c r="H859" s="786">
        <f t="shared" si="2419"/>
        <v>0</v>
      </c>
      <c r="I859" s="786">
        <f t="shared" si="2419"/>
        <v>0</v>
      </c>
      <c r="J859" s="786">
        <f t="shared" si="2419"/>
        <v>0</v>
      </c>
      <c r="K859" s="786">
        <f t="shared" si="2419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2420">SUM(U455)</f>
        <v>0</v>
      </c>
      <c r="V859" s="786">
        <f t="shared" si="2420"/>
        <v>0</v>
      </c>
      <c r="W859" s="786">
        <f t="shared" si="2420"/>
        <v>0</v>
      </c>
      <c r="X859" s="786">
        <f t="shared" si="2420"/>
        <v>0</v>
      </c>
      <c r="Y859" s="786">
        <f t="shared" si="2420"/>
        <v>0</v>
      </c>
      <c r="Z859" s="786">
        <f t="shared" si="2420"/>
        <v>0</v>
      </c>
      <c r="AA859" s="786">
        <f t="shared" si="2420"/>
        <v>0</v>
      </c>
      <c r="AB859" s="786">
        <f t="shared" si="2420"/>
        <v>0</v>
      </c>
      <c r="AC859" s="786">
        <f t="shared" si="2420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2421">SUM(AM455)</f>
        <v>0</v>
      </c>
      <c r="AN859" s="786">
        <f t="shared" si="2421"/>
        <v>0</v>
      </c>
      <c r="AO859" s="786">
        <f t="shared" si="2421"/>
        <v>0</v>
      </c>
      <c r="AP859" s="786">
        <f t="shared" si="2421"/>
        <v>0</v>
      </c>
      <c r="AQ859" s="786">
        <f t="shared" si="2421"/>
        <v>0</v>
      </c>
      <c r="AR859" s="786">
        <f t="shared" si="2421"/>
        <v>0</v>
      </c>
      <c r="AS859" s="786">
        <f t="shared" si="2421"/>
        <v>0</v>
      </c>
      <c r="AT859" s="786">
        <f t="shared" si="2421"/>
        <v>0</v>
      </c>
      <c r="AU859" s="786">
        <f t="shared" si="2421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2422">SUM(BE455)</f>
        <v>0</v>
      </c>
      <c r="BF859" s="786">
        <f t="shared" si="2422"/>
        <v>0</v>
      </c>
      <c r="BG859" s="786">
        <f t="shared" si="2422"/>
        <v>0</v>
      </c>
      <c r="BH859" s="786">
        <f t="shared" si="2422"/>
        <v>0</v>
      </c>
      <c r="BI859" s="786">
        <f t="shared" si="2422"/>
        <v>0</v>
      </c>
      <c r="BJ859" s="786">
        <f t="shared" si="2422"/>
        <v>0</v>
      </c>
      <c r="BK859" s="786">
        <f t="shared" si="2422"/>
        <v>0</v>
      </c>
      <c r="BL859" s="786">
        <f t="shared" si="2422"/>
        <v>0</v>
      </c>
      <c r="BM859" s="786">
        <f t="shared" si="2422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>SUM(BV455)</f>
        <v>0.17694834993773351</v>
      </c>
      <c r="BW859" s="786">
        <f>SUM(BW455)</f>
        <v>0.17694834993773351</v>
      </c>
      <c r="BX859" s="786">
        <f>SUM(BX455)</f>
        <v>0.17694834993773351</v>
      </c>
      <c r="BY859" s="786">
        <f>SUM(BY455)</f>
        <v>0</v>
      </c>
      <c r="BZ859" s="607">
        <f t="shared" ref="BZ859:BZ887" si="2423">IF(DE859&lt;3,"",(SUM(B859:R859)-MIN(B859:R859)-MAX(B859:R859))/(DE859-2))</f>
        <v>0</v>
      </c>
      <c r="CA859" s="607">
        <f t="shared" ref="CA859:CA887" si="2424">IF(DF859&lt;3,"",(SUM(T859:AJ859)-MIN(T859:AJ859)-MAX(T859:AJ859))/(DF859-2))</f>
        <v>0</v>
      </c>
      <c r="CB859" s="607">
        <f t="shared" ref="CB859:CB887" si="2425">IF(DG859&lt;3,"",(SUM(AL859:BB859)-MIN(AL859:BB859)-MAX(AL859:BB859))/(DG859-2))</f>
        <v>0</v>
      </c>
      <c r="CC859" s="673">
        <f t="shared" ref="CC859:CC887" si="2426">IF(DH859&lt;3,"",(SUM(BD859:BT859)-MIN(BD859:BT859)-MAX(BD859:BT859))/(DH859-2))</f>
        <v>0</v>
      </c>
      <c r="CD859" s="991">
        <f t="shared" ref="CD859:CM874" si="242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2427"/>
        <v>0</v>
      </c>
      <c r="CF859" s="992">
        <f t="shared" si="2427"/>
        <v>0</v>
      </c>
      <c r="CG859" s="992">
        <f t="shared" si="2427"/>
        <v>0</v>
      </c>
      <c r="CH859" s="993">
        <f t="shared" si="2427"/>
        <v>0</v>
      </c>
      <c r="CI859" s="993">
        <f t="shared" si="2427"/>
        <v>0</v>
      </c>
      <c r="CJ859" s="992">
        <f t="shared" si="2427"/>
        <v>0</v>
      </c>
      <c r="CK859" s="992">
        <f t="shared" si="2427"/>
        <v>0</v>
      </c>
      <c r="CL859" s="992">
        <f t="shared" si="2427"/>
        <v>0</v>
      </c>
      <c r="CM859" s="991">
        <f t="shared" si="2427"/>
        <v>0</v>
      </c>
      <c r="CN859" s="1036" t="str">
        <f t="shared" ref="CN859:DC874" si="242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2428"/>
        <v/>
      </c>
      <c r="CP859" s="1002" t="str">
        <f t="shared" si="2428"/>
        <v/>
      </c>
      <c r="CQ859" s="1002" t="str">
        <f t="shared" si="2428"/>
        <v/>
      </c>
      <c r="CR859" s="1002">
        <f t="shared" si="2428"/>
        <v>0</v>
      </c>
      <c r="CS859" s="1002">
        <f t="shared" si="2428"/>
        <v>0</v>
      </c>
      <c r="CT859" s="1002">
        <f t="shared" si="2428"/>
        <v>0</v>
      </c>
      <c r="CU859" s="1003">
        <f t="shared" si="2428"/>
        <v>0</v>
      </c>
      <c r="CV859" s="1003">
        <f t="shared" si="2428"/>
        <v>0</v>
      </c>
      <c r="CW859" s="1003">
        <f t="shared" si="2428"/>
        <v>0</v>
      </c>
      <c r="CX859" s="1002">
        <f t="shared" si="2428"/>
        <v>0</v>
      </c>
      <c r="CY859" s="1002">
        <f t="shared" si="2428"/>
        <v>0</v>
      </c>
      <c r="CZ859" s="1002">
        <f t="shared" si="2428"/>
        <v>0</v>
      </c>
      <c r="DA859" s="1002">
        <f t="shared" si="2428"/>
        <v>0</v>
      </c>
      <c r="DB859" s="1002" t="str">
        <f t="shared" si="2428"/>
        <v/>
      </c>
      <c r="DC859" s="1001" t="str">
        <f t="shared" si="2428"/>
        <v/>
      </c>
      <c r="DD859" s="1036" t="str">
        <f t="shared" ref="DD859:DD887" si="242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2430">COUNT(B859:R859)</f>
        <v>10</v>
      </c>
      <c r="DF859" s="95">
        <f t="shared" ref="DF859:DF887" si="2431">COUNT(T859:AJ859)</f>
        <v>10</v>
      </c>
      <c r="DG859" s="95">
        <f t="shared" ref="DG859:DG887" si="2432">COUNT(AL859:BB859)</f>
        <v>10</v>
      </c>
      <c r="DH859" s="95">
        <f t="shared" ref="DH859:DH887" si="243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2434">SUM(C464)</f>
        <v>0</v>
      </c>
      <c r="D860" s="786">
        <f t="shared" si="2434"/>
        <v>0</v>
      </c>
      <c r="E860" s="786">
        <f t="shared" si="2434"/>
        <v>0</v>
      </c>
      <c r="F860" s="786">
        <f t="shared" si="2434"/>
        <v>0</v>
      </c>
      <c r="G860" s="786">
        <f t="shared" si="2434"/>
        <v>0</v>
      </c>
      <c r="H860" s="786">
        <f t="shared" si="2434"/>
        <v>0</v>
      </c>
      <c r="I860" s="786">
        <f t="shared" si="2434"/>
        <v>0</v>
      </c>
      <c r="J860" s="786">
        <f t="shared" si="2434"/>
        <v>0</v>
      </c>
      <c r="K860" s="786">
        <f t="shared" si="243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2435">SUM(T464)</f>
        <v>0</v>
      </c>
      <c r="U860" s="786">
        <f t="shared" si="2435"/>
        <v>0</v>
      </c>
      <c r="V860" s="786">
        <f t="shared" si="2435"/>
        <v>0</v>
      </c>
      <c r="W860" s="786">
        <f t="shared" si="2435"/>
        <v>0</v>
      </c>
      <c r="X860" s="786">
        <f t="shared" si="2435"/>
        <v>0</v>
      </c>
      <c r="Y860" s="786">
        <f t="shared" si="2435"/>
        <v>0</v>
      </c>
      <c r="Z860" s="786">
        <f t="shared" si="2435"/>
        <v>0</v>
      </c>
      <c r="AA860" s="786">
        <f t="shared" si="2435"/>
        <v>0</v>
      </c>
      <c r="AB860" s="786">
        <f t="shared" si="2435"/>
        <v>0</v>
      </c>
      <c r="AC860" s="786">
        <f t="shared" si="243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2436">SUM(AL464)</f>
        <v>0</v>
      </c>
      <c r="AM860" s="786">
        <f t="shared" si="2436"/>
        <v>0</v>
      </c>
      <c r="AN860" s="786">
        <f t="shared" si="2436"/>
        <v>0</v>
      </c>
      <c r="AO860" s="786">
        <f t="shared" si="2436"/>
        <v>0</v>
      </c>
      <c r="AP860" s="786">
        <f t="shared" si="2436"/>
        <v>0</v>
      </c>
      <c r="AQ860" s="786">
        <f t="shared" si="2436"/>
        <v>0</v>
      </c>
      <c r="AR860" s="786">
        <f t="shared" si="2436"/>
        <v>0</v>
      </c>
      <c r="AS860" s="786">
        <f t="shared" si="2436"/>
        <v>0</v>
      </c>
      <c r="AT860" s="786">
        <f t="shared" si="2436"/>
        <v>0</v>
      </c>
      <c r="AU860" s="786">
        <f t="shared" si="243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2437">SUM(BD464)</f>
        <v>0</v>
      </c>
      <c r="BE860" s="786">
        <f t="shared" si="2437"/>
        <v>0</v>
      </c>
      <c r="BF860" s="786">
        <f t="shared" si="2437"/>
        <v>0</v>
      </c>
      <c r="BG860" s="786">
        <f t="shared" si="2437"/>
        <v>0</v>
      </c>
      <c r="BH860" s="786">
        <f t="shared" si="2437"/>
        <v>0</v>
      </c>
      <c r="BI860" s="786">
        <f t="shared" si="2437"/>
        <v>0</v>
      </c>
      <c r="BJ860" s="786">
        <f t="shared" si="2437"/>
        <v>0</v>
      </c>
      <c r="BK860" s="786">
        <f t="shared" si="2437"/>
        <v>0</v>
      </c>
      <c r="BL860" s="786">
        <f t="shared" si="2437"/>
        <v>0</v>
      </c>
      <c r="BM860" s="786">
        <f t="shared" si="243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>SUM(BV464)</f>
        <v>8.5169835616438358E-2</v>
      </c>
      <c r="BW860" s="786">
        <f>SUM(BW464)</f>
        <v>8.5169835616438358E-2</v>
      </c>
      <c r="BX860" s="786">
        <f>SUM(BX464)</f>
        <v>4.2584917808219179E-2</v>
      </c>
      <c r="BY860" s="786">
        <f>SUM(BY464)</f>
        <v>0</v>
      </c>
      <c r="BZ860" s="607">
        <f t="shared" si="2423"/>
        <v>0</v>
      </c>
      <c r="CA860" s="607">
        <f t="shared" si="2424"/>
        <v>0</v>
      </c>
      <c r="CB860" s="607">
        <f t="shared" si="2425"/>
        <v>0</v>
      </c>
      <c r="CC860" s="673">
        <f t="shared" si="2426"/>
        <v>0</v>
      </c>
      <c r="CD860" s="991">
        <f t="shared" si="2427"/>
        <v>0</v>
      </c>
      <c r="CE860" s="992">
        <f t="shared" si="2427"/>
        <v>0</v>
      </c>
      <c r="CF860" s="992">
        <f t="shared" si="2427"/>
        <v>0</v>
      </c>
      <c r="CG860" s="992">
        <f t="shared" si="2427"/>
        <v>0</v>
      </c>
      <c r="CH860" s="993">
        <f t="shared" si="2427"/>
        <v>0</v>
      </c>
      <c r="CI860" s="993">
        <f t="shared" si="2427"/>
        <v>0</v>
      </c>
      <c r="CJ860" s="992">
        <f t="shared" si="2427"/>
        <v>0</v>
      </c>
      <c r="CK860" s="992">
        <f t="shared" si="2427"/>
        <v>0</v>
      </c>
      <c r="CL860" s="992">
        <f t="shared" si="2427"/>
        <v>0</v>
      </c>
      <c r="CM860" s="991">
        <f t="shared" si="2427"/>
        <v>0</v>
      </c>
      <c r="CN860" s="1036" t="str">
        <f t="shared" si="2428"/>
        <v/>
      </c>
      <c r="CO860" s="1001" t="str">
        <f t="shared" si="2428"/>
        <v/>
      </c>
      <c r="CP860" s="1002" t="str">
        <f t="shared" si="2428"/>
        <v/>
      </c>
      <c r="CQ860" s="1002" t="str">
        <f t="shared" si="2428"/>
        <v/>
      </c>
      <c r="CR860" s="1002">
        <f t="shared" si="2428"/>
        <v>0</v>
      </c>
      <c r="CS860" s="1002">
        <f t="shared" si="2428"/>
        <v>0</v>
      </c>
      <c r="CT860" s="1002">
        <f t="shared" si="2428"/>
        <v>0</v>
      </c>
      <c r="CU860" s="1003">
        <f t="shared" si="2428"/>
        <v>0</v>
      </c>
      <c r="CV860" s="1003">
        <f t="shared" si="2428"/>
        <v>0</v>
      </c>
      <c r="CW860" s="1003">
        <f t="shared" si="2428"/>
        <v>0</v>
      </c>
      <c r="CX860" s="1002">
        <f t="shared" si="2428"/>
        <v>0</v>
      </c>
      <c r="CY860" s="1002">
        <f t="shared" si="2428"/>
        <v>0</v>
      </c>
      <c r="CZ860" s="1002">
        <f t="shared" si="2428"/>
        <v>0</v>
      </c>
      <c r="DA860" s="1002">
        <f t="shared" si="2428"/>
        <v>0</v>
      </c>
      <c r="DB860" s="1002" t="str">
        <f t="shared" si="2428"/>
        <v/>
      </c>
      <c r="DC860" s="1001" t="str">
        <f t="shared" si="2428"/>
        <v/>
      </c>
      <c r="DD860" s="1036" t="str">
        <f t="shared" si="2429"/>
        <v/>
      </c>
      <c r="DE860" s="635">
        <f t="shared" si="2430"/>
        <v>10</v>
      </c>
      <c r="DF860" s="95">
        <f t="shared" si="2431"/>
        <v>10</v>
      </c>
      <c r="DG860" s="95">
        <f t="shared" si="2432"/>
        <v>10</v>
      </c>
      <c r="DH860" s="95">
        <f t="shared" si="243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2438">SUM(C473)</f>
        <v>0</v>
      </c>
      <c r="D861" s="786">
        <f t="shared" si="2438"/>
        <v>0</v>
      </c>
      <c r="E861" s="786">
        <f t="shared" si="2438"/>
        <v>0</v>
      </c>
      <c r="F861" s="786">
        <f t="shared" si="2438"/>
        <v>0</v>
      </c>
      <c r="G861" s="786">
        <f t="shared" si="2438"/>
        <v>0</v>
      </c>
      <c r="H861" s="786">
        <f t="shared" si="2438"/>
        <v>0</v>
      </c>
      <c r="I861" s="786">
        <f t="shared" si="2438"/>
        <v>0</v>
      </c>
      <c r="J861" s="786">
        <f t="shared" si="2438"/>
        <v>0</v>
      </c>
      <c r="K861" s="786">
        <f t="shared" si="2438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2439">SUM(U473)</f>
        <v>0</v>
      </c>
      <c r="V861" s="786">
        <f t="shared" si="2439"/>
        <v>0</v>
      </c>
      <c r="W861" s="786">
        <f t="shared" si="2439"/>
        <v>0</v>
      </c>
      <c r="X861" s="786">
        <f t="shared" si="2439"/>
        <v>0</v>
      </c>
      <c r="Y861" s="786">
        <f t="shared" si="2439"/>
        <v>0</v>
      </c>
      <c r="Z861" s="786">
        <f t="shared" si="2439"/>
        <v>0</v>
      </c>
      <c r="AA861" s="786">
        <f t="shared" si="2439"/>
        <v>0</v>
      </c>
      <c r="AB861" s="786">
        <f t="shared" si="2439"/>
        <v>0</v>
      </c>
      <c r="AC861" s="786">
        <f t="shared" si="2439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2440">SUM(AM473)</f>
        <v>0</v>
      </c>
      <c r="AN861" s="786">
        <f t="shared" si="2440"/>
        <v>0</v>
      </c>
      <c r="AO861" s="786">
        <f t="shared" si="2440"/>
        <v>0</v>
      </c>
      <c r="AP861" s="786">
        <f t="shared" si="2440"/>
        <v>0</v>
      </c>
      <c r="AQ861" s="786">
        <f t="shared" si="2440"/>
        <v>0</v>
      </c>
      <c r="AR861" s="786">
        <f t="shared" si="2440"/>
        <v>0</v>
      </c>
      <c r="AS861" s="786">
        <f t="shared" si="2440"/>
        <v>0</v>
      </c>
      <c r="AT861" s="786">
        <f t="shared" si="2440"/>
        <v>0</v>
      </c>
      <c r="AU861" s="786">
        <f t="shared" si="2440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2441">SUM(BE473)</f>
        <v>0</v>
      </c>
      <c r="BF861" s="786">
        <f t="shared" si="2441"/>
        <v>0</v>
      </c>
      <c r="BG861" s="786">
        <f t="shared" si="2441"/>
        <v>0</v>
      </c>
      <c r="BH861" s="786">
        <f t="shared" si="2441"/>
        <v>0</v>
      </c>
      <c r="BI861" s="786">
        <f t="shared" si="2441"/>
        <v>0</v>
      </c>
      <c r="BJ861" s="786">
        <f t="shared" si="2441"/>
        <v>0</v>
      </c>
      <c r="BK861" s="786">
        <f t="shared" si="2441"/>
        <v>0</v>
      </c>
      <c r="BL861" s="786">
        <f t="shared" si="2441"/>
        <v>0</v>
      </c>
      <c r="BM861" s="786">
        <f t="shared" si="2441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>SUM(BV473)</f>
        <v>0.13843031133250311</v>
      </c>
      <c r="BW861" s="786">
        <f>SUM(BW473)</f>
        <v>0.13843031133250311</v>
      </c>
      <c r="BX861" s="786">
        <f>SUM(BX473)</f>
        <v>0.13843031133250311</v>
      </c>
      <c r="BY861" s="786">
        <f>SUM(BY473)</f>
        <v>0</v>
      </c>
      <c r="BZ861" s="607">
        <f t="shared" si="2423"/>
        <v>0</v>
      </c>
      <c r="CA861" s="607">
        <f t="shared" si="2424"/>
        <v>0</v>
      </c>
      <c r="CB861" s="607">
        <f t="shared" si="2425"/>
        <v>0</v>
      </c>
      <c r="CC861" s="673">
        <f t="shared" si="2426"/>
        <v>0</v>
      </c>
      <c r="CD861" s="991">
        <f t="shared" si="2427"/>
        <v>0</v>
      </c>
      <c r="CE861" s="992">
        <f t="shared" si="2427"/>
        <v>0</v>
      </c>
      <c r="CF861" s="992">
        <f t="shared" si="2427"/>
        <v>0</v>
      </c>
      <c r="CG861" s="992">
        <f t="shared" si="2427"/>
        <v>0</v>
      </c>
      <c r="CH861" s="993">
        <f t="shared" si="2427"/>
        <v>0</v>
      </c>
      <c r="CI861" s="993">
        <f t="shared" si="2427"/>
        <v>0</v>
      </c>
      <c r="CJ861" s="992">
        <f t="shared" si="2427"/>
        <v>0</v>
      </c>
      <c r="CK861" s="992">
        <f t="shared" si="2427"/>
        <v>0</v>
      </c>
      <c r="CL861" s="992">
        <f t="shared" si="2427"/>
        <v>0</v>
      </c>
      <c r="CM861" s="991">
        <f t="shared" si="2427"/>
        <v>0</v>
      </c>
      <c r="CN861" s="1036" t="str">
        <f t="shared" si="2428"/>
        <v/>
      </c>
      <c r="CO861" s="1001" t="str">
        <f t="shared" si="2428"/>
        <v/>
      </c>
      <c r="CP861" s="1002" t="str">
        <f t="shared" si="2428"/>
        <v/>
      </c>
      <c r="CQ861" s="1002" t="str">
        <f t="shared" si="2428"/>
        <v/>
      </c>
      <c r="CR861" s="1002">
        <f t="shared" si="2428"/>
        <v>0</v>
      </c>
      <c r="CS861" s="1002">
        <f t="shared" si="2428"/>
        <v>0</v>
      </c>
      <c r="CT861" s="1002">
        <f t="shared" si="2428"/>
        <v>0</v>
      </c>
      <c r="CU861" s="1003">
        <f t="shared" si="2428"/>
        <v>0</v>
      </c>
      <c r="CV861" s="1003">
        <f t="shared" si="2428"/>
        <v>0</v>
      </c>
      <c r="CW861" s="1003">
        <f t="shared" si="2428"/>
        <v>0</v>
      </c>
      <c r="CX861" s="1002">
        <f t="shared" si="2428"/>
        <v>0</v>
      </c>
      <c r="CY861" s="1002">
        <f t="shared" si="2428"/>
        <v>0</v>
      </c>
      <c r="CZ861" s="1002">
        <f t="shared" si="2428"/>
        <v>0</v>
      </c>
      <c r="DA861" s="1002">
        <f t="shared" si="2428"/>
        <v>0</v>
      </c>
      <c r="DB861" s="1002" t="str">
        <f t="shared" si="2428"/>
        <v/>
      </c>
      <c r="DC861" s="1001" t="str">
        <f t="shared" si="2428"/>
        <v/>
      </c>
      <c r="DD861" s="1036" t="str">
        <f t="shared" si="2429"/>
        <v/>
      </c>
      <c r="DE861" s="635">
        <f t="shared" si="2430"/>
        <v>10</v>
      </c>
      <c r="DF861" s="95">
        <f t="shared" si="2431"/>
        <v>10</v>
      </c>
      <c r="DG861" s="95">
        <f t="shared" si="2432"/>
        <v>10</v>
      </c>
      <c r="DH861" s="95">
        <f t="shared" si="243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2442">SUM(C482)</f>
        <v>0</v>
      </c>
      <c r="D862" s="786">
        <f t="shared" si="2442"/>
        <v>0</v>
      </c>
      <c r="E862" s="786">
        <f t="shared" si="2442"/>
        <v>0</v>
      </c>
      <c r="F862" s="786">
        <f t="shared" si="2442"/>
        <v>0</v>
      </c>
      <c r="G862" s="786">
        <f t="shared" si="2442"/>
        <v>0</v>
      </c>
      <c r="H862" s="786">
        <f t="shared" si="2442"/>
        <v>0</v>
      </c>
      <c r="I862" s="786">
        <f t="shared" si="2442"/>
        <v>0</v>
      </c>
      <c r="J862" s="786">
        <f t="shared" si="2442"/>
        <v>0</v>
      </c>
      <c r="K862" s="786">
        <f t="shared" si="2442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2443">SUM(T482)</f>
        <v>0</v>
      </c>
      <c r="U862" s="786">
        <f t="shared" si="2443"/>
        <v>0</v>
      </c>
      <c r="V862" s="786">
        <f t="shared" si="2443"/>
        <v>0</v>
      </c>
      <c r="W862" s="786">
        <f t="shared" si="2443"/>
        <v>0</v>
      </c>
      <c r="X862" s="786">
        <f t="shared" si="2443"/>
        <v>0</v>
      </c>
      <c r="Y862" s="786">
        <f t="shared" si="2443"/>
        <v>0</v>
      </c>
      <c r="Z862" s="786">
        <f t="shared" si="2443"/>
        <v>0</v>
      </c>
      <c r="AA862" s="786">
        <f t="shared" si="2443"/>
        <v>0</v>
      </c>
      <c r="AB862" s="786">
        <f t="shared" si="2443"/>
        <v>0</v>
      </c>
      <c r="AC862" s="786">
        <f t="shared" si="2443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2444">SUM(AL482)</f>
        <v>0</v>
      </c>
      <c r="AM862" s="786">
        <f t="shared" si="2444"/>
        <v>0</v>
      </c>
      <c r="AN862" s="786">
        <f t="shared" si="2444"/>
        <v>0</v>
      </c>
      <c r="AO862" s="786">
        <f t="shared" si="2444"/>
        <v>0</v>
      </c>
      <c r="AP862" s="786">
        <f t="shared" si="2444"/>
        <v>0</v>
      </c>
      <c r="AQ862" s="786">
        <f t="shared" si="2444"/>
        <v>0</v>
      </c>
      <c r="AR862" s="786">
        <f t="shared" si="2444"/>
        <v>0</v>
      </c>
      <c r="AS862" s="786">
        <f t="shared" si="2444"/>
        <v>0</v>
      </c>
      <c r="AT862" s="786">
        <f t="shared" si="2444"/>
        <v>0</v>
      </c>
      <c r="AU862" s="786">
        <f t="shared" si="2444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2445">SUM(BD482)</f>
        <v>0</v>
      </c>
      <c r="BE862" s="786">
        <f t="shared" si="2445"/>
        <v>0</v>
      </c>
      <c r="BF862" s="786">
        <f t="shared" si="2445"/>
        <v>0</v>
      </c>
      <c r="BG862" s="786">
        <f t="shared" si="2445"/>
        <v>0</v>
      </c>
      <c r="BH862" s="786">
        <f t="shared" si="2445"/>
        <v>0</v>
      </c>
      <c r="BI862" s="786">
        <f t="shared" si="2445"/>
        <v>0</v>
      </c>
      <c r="BJ862" s="786">
        <f t="shared" si="2445"/>
        <v>0</v>
      </c>
      <c r="BK862" s="786">
        <f t="shared" si="2445"/>
        <v>0</v>
      </c>
      <c r="BL862" s="786">
        <f t="shared" si="2445"/>
        <v>0</v>
      </c>
      <c r="BM862" s="786">
        <f t="shared" si="2445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>SUM(BV482)</f>
        <v>2.44403798256538E-2</v>
      </c>
      <c r="BW862" s="786">
        <f>SUM(BW482)</f>
        <v>2.44403798256538E-2</v>
      </c>
      <c r="BX862" s="786">
        <f>SUM(BX482)</f>
        <v>2.9328455790784556E-2</v>
      </c>
      <c r="BY862" s="786">
        <f>SUM(BY482)</f>
        <v>0</v>
      </c>
      <c r="BZ862" s="607">
        <f t="shared" si="2423"/>
        <v>0</v>
      </c>
      <c r="CA862" s="607">
        <f t="shared" si="2424"/>
        <v>0</v>
      </c>
      <c r="CB862" s="607">
        <f t="shared" si="2425"/>
        <v>0</v>
      </c>
      <c r="CC862" s="673">
        <f t="shared" si="2426"/>
        <v>0</v>
      </c>
      <c r="CD862" s="991">
        <f t="shared" si="2427"/>
        <v>0</v>
      </c>
      <c r="CE862" s="992">
        <f t="shared" si="2427"/>
        <v>0</v>
      </c>
      <c r="CF862" s="992">
        <f t="shared" si="2427"/>
        <v>0</v>
      </c>
      <c r="CG862" s="992">
        <f t="shared" si="2427"/>
        <v>0</v>
      </c>
      <c r="CH862" s="993">
        <f t="shared" si="2427"/>
        <v>0</v>
      </c>
      <c r="CI862" s="993">
        <f t="shared" si="2427"/>
        <v>0</v>
      </c>
      <c r="CJ862" s="992">
        <f t="shared" si="2427"/>
        <v>0</v>
      </c>
      <c r="CK862" s="992">
        <f t="shared" si="2427"/>
        <v>0</v>
      </c>
      <c r="CL862" s="992">
        <f t="shared" si="2427"/>
        <v>0</v>
      </c>
      <c r="CM862" s="991">
        <f t="shared" si="2427"/>
        <v>0</v>
      </c>
      <c r="CN862" s="1036" t="str">
        <f t="shared" si="2428"/>
        <v/>
      </c>
      <c r="CO862" s="1001" t="str">
        <f t="shared" si="2428"/>
        <v/>
      </c>
      <c r="CP862" s="1002" t="str">
        <f t="shared" si="2428"/>
        <v/>
      </c>
      <c r="CQ862" s="1002" t="str">
        <f t="shared" si="2428"/>
        <v/>
      </c>
      <c r="CR862" s="1002">
        <f t="shared" si="2428"/>
        <v>0</v>
      </c>
      <c r="CS862" s="1002">
        <f t="shared" si="2428"/>
        <v>0</v>
      </c>
      <c r="CT862" s="1002">
        <f t="shared" si="2428"/>
        <v>0</v>
      </c>
      <c r="CU862" s="1003">
        <f t="shared" si="2428"/>
        <v>0</v>
      </c>
      <c r="CV862" s="1003">
        <f t="shared" si="2428"/>
        <v>0</v>
      </c>
      <c r="CW862" s="1003">
        <f t="shared" si="2428"/>
        <v>0</v>
      </c>
      <c r="CX862" s="1002">
        <f t="shared" si="2428"/>
        <v>0</v>
      </c>
      <c r="CY862" s="1002">
        <f t="shared" si="2428"/>
        <v>0</v>
      </c>
      <c r="CZ862" s="1002">
        <f t="shared" si="2428"/>
        <v>0</v>
      </c>
      <c r="DA862" s="1002">
        <f t="shared" si="2428"/>
        <v>0</v>
      </c>
      <c r="DB862" s="1002" t="str">
        <f t="shared" si="2428"/>
        <v/>
      </c>
      <c r="DC862" s="1001" t="str">
        <f t="shared" si="2428"/>
        <v/>
      </c>
      <c r="DD862" s="1036" t="str">
        <f t="shared" si="2429"/>
        <v/>
      </c>
      <c r="DE862" s="635">
        <f t="shared" si="2430"/>
        <v>10</v>
      </c>
      <c r="DF862" s="95">
        <f t="shared" si="2431"/>
        <v>10</v>
      </c>
      <c r="DG862" s="95">
        <f t="shared" si="2432"/>
        <v>10</v>
      </c>
      <c r="DH862" s="95">
        <f t="shared" si="243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2446">SUM(C491)</f>
        <v>0</v>
      </c>
      <c r="D863" s="786">
        <f t="shared" si="2446"/>
        <v>0</v>
      </c>
      <c r="E863" s="786">
        <f t="shared" si="2446"/>
        <v>0</v>
      </c>
      <c r="F863" s="786">
        <f t="shared" si="2446"/>
        <v>0</v>
      </c>
      <c r="G863" s="786">
        <f t="shared" si="2446"/>
        <v>0</v>
      </c>
      <c r="H863" s="786">
        <f t="shared" si="2446"/>
        <v>0</v>
      </c>
      <c r="I863" s="786">
        <f t="shared" si="2446"/>
        <v>0</v>
      </c>
      <c r="J863" s="786">
        <f t="shared" si="2446"/>
        <v>0</v>
      </c>
      <c r="K863" s="786">
        <f t="shared" si="2446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2447">SUM(U491)</f>
        <v>0</v>
      </c>
      <c r="V863" s="786">
        <f t="shared" si="2447"/>
        <v>0</v>
      </c>
      <c r="W863" s="786">
        <f t="shared" si="2447"/>
        <v>0</v>
      </c>
      <c r="X863" s="786">
        <f t="shared" si="2447"/>
        <v>0</v>
      </c>
      <c r="Y863" s="786">
        <f t="shared" si="2447"/>
        <v>0</v>
      </c>
      <c r="Z863" s="786">
        <f t="shared" si="2447"/>
        <v>0</v>
      </c>
      <c r="AA863" s="786">
        <f t="shared" si="2447"/>
        <v>0</v>
      </c>
      <c r="AB863" s="786">
        <f t="shared" si="2447"/>
        <v>0</v>
      </c>
      <c r="AC863" s="786">
        <f t="shared" si="2447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2448">SUM(AM491)</f>
        <v>0</v>
      </c>
      <c r="AN863" s="786">
        <f t="shared" si="2448"/>
        <v>0</v>
      </c>
      <c r="AO863" s="786">
        <f t="shared" si="2448"/>
        <v>0</v>
      </c>
      <c r="AP863" s="786">
        <f t="shared" si="2448"/>
        <v>0</v>
      </c>
      <c r="AQ863" s="786">
        <f t="shared" si="2448"/>
        <v>0</v>
      </c>
      <c r="AR863" s="786">
        <f t="shared" si="2448"/>
        <v>0</v>
      </c>
      <c r="AS863" s="786">
        <f t="shared" si="2448"/>
        <v>0</v>
      </c>
      <c r="AT863" s="786">
        <f t="shared" si="2448"/>
        <v>0</v>
      </c>
      <c r="AU863" s="786">
        <f t="shared" si="2448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2449">SUM(BE491)</f>
        <v>0</v>
      </c>
      <c r="BF863" s="786">
        <f t="shared" si="2449"/>
        <v>0</v>
      </c>
      <c r="BG863" s="786">
        <f t="shared" si="2449"/>
        <v>0</v>
      </c>
      <c r="BH863" s="786">
        <f t="shared" si="2449"/>
        <v>0</v>
      </c>
      <c r="BI863" s="786">
        <f t="shared" si="2449"/>
        <v>0</v>
      </c>
      <c r="BJ863" s="786">
        <f t="shared" si="2449"/>
        <v>0</v>
      </c>
      <c r="BK863" s="786">
        <f t="shared" si="2449"/>
        <v>0</v>
      </c>
      <c r="BL863" s="786">
        <f t="shared" si="2449"/>
        <v>0</v>
      </c>
      <c r="BM863" s="786">
        <f t="shared" si="2449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>SUM(BV491)</f>
        <v>0</v>
      </c>
      <c r="BW863" s="786">
        <f>SUM(BW491)</f>
        <v>0</v>
      </c>
      <c r="BX863" s="786">
        <f>SUM(BX491)</f>
        <v>0.13303387546699874</v>
      </c>
      <c r="BY863" s="786">
        <f>SUM(BY491)</f>
        <v>0</v>
      </c>
      <c r="BZ863" s="607">
        <f t="shared" si="2423"/>
        <v>0</v>
      </c>
      <c r="CA863" s="607">
        <f t="shared" si="2424"/>
        <v>0</v>
      </c>
      <c r="CB863" s="607">
        <f t="shared" si="2425"/>
        <v>0</v>
      </c>
      <c r="CC863" s="673">
        <f t="shared" si="2426"/>
        <v>0</v>
      </c>
      <c r="CD863" s="991">
        <f t="shared" si="2427"/>
        <v>0</v>
      </c>
      <c r="CE863" s="992">
        <f t="shared" si="2427"/>
        <v>0</v>
      </c>
      <c r="CF863" s="992">
        <f t="shared" si="2427"/>
        <v>0</v>
      </c>
      <c r="CG863" s="992">
        <f t="shared" si="2427"/>
        <v>0</v>
      </c>
      <c r="CH863" s="993">
        <f t="shared" si="2427"/>
        <v>0</v>
      </c>
      <c r="CI863" s="993">
        <f t="shared" si="2427"/>
        <v>0</v>
      </c>
      <c r="CJ863" s="992">
        <f t="shared" si="2427"/>
        <v>0</v>
      </c>
      <c r="CK863" s="992">
        <f t="shared" si="2427"/>
        <v>0</v>
      </c>
      <c r="CL863" s="992">
        <f t="shared" si="2427"/>
        <v>0</v>
      </c>
      <c r="CM863" s="991">
        <f t="shared" si="2427"/>
        <v>0</v>
      </c>
      <c r="CN863" s="1036" t="str">
        <f t="shared" si="2428"/>
        <v/>
      </c>
      <c r="CO863" s="1001" t="str">
        <f t="shared" si="2428"/>
        <v/>
      </c>
      <c r="CP863" s="1002" t="str">
        <f t="shared" si="2428"/>
        <v/>
      </c>
      <c r="CQ863" s="1002" t="str">
        <f t="shared" si="2428"/>
        <v/>
      </c>
      <c r="CR863" s="1002">
        <f t="shared" si="2428"/>
        <v>0</v>
      </c>
      <c r="CS863" s="1002">
        <f t="shared" si="2428"/>
        <v>0</v>
      </c>
      <c r="CT863" s="1002">
        <f t="shared" si="2428"/>
        <v>0</v>
      </c>
      <c r="CU863" s="1003">
        <f t="shared" si="2428"/>
        <v>0</v>
      </c>
      <c r="CV863" s="1003">
        <f t="shared" si="2428"/>
        <v>0</v>
      </c>
      <c r="CW863" s="1003">
        <f t="shared" si="2428"/>
        <v>0</v>
      </c>
      <c r="CX863" s="1002">
        <f t="shared" si="2428"/>
        <v>0</v>
      </c>
      <c r="CY863" s="1002">
        <f t="shared" si="2428"/>
        <v>0</v>
      </c>
      <c r="CZ863" s="1002">
        <f t="shared" si="2428"/>
        <v>0</v>
      </c>
      <c r="DA863" s="1002">
        <f t="shared" si="2428"/>
        <v>0</v>
      </c>
      <c r="DB863" s="1002" t="str">
        <f t="shared" si="2428"/>
        <v/>
      </c>
      <c r="DC863" s="1001" t="str">
        <f t="shared" si="2428"/>
        <v/>
      </c>
      <c r="DD863" s="1036" t="str">
        <f t="shared" si="2429"/>
        <v/>
      </c>
      <c r="DE863" s="635">
        <f t="shared" si="2430"/>
        <v>10</v>
      </c>
      <c r="DF863" s="95">
        <f t="shared" si="2431"/>
        <v>10</v>
      </c>
      <c r="DG863" s="95">
        <f t="shared" si="2432"/>
        <v>10</v>
      </c>
      <c r="DH863" s="95">
        <f t="shared" si="243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2450">SUM(C500)</f>
        <v>0</v>
      </c>
      <c r="D864" s="786">
        <f t="shared" si="2450"/>
        <v>0</v>
      </c>
      <c r="E864" s="786">
        <f t="shared" si="2450"/>
        <v>0</v>
      </c>
      <c r="F864" s="786">
        <f t="shared" si="2450"/>
        <v>0</v>
      </c>
      <c r="G864" s="786">
        <f t="shared" si="2450"/>
        <v>0</v>
      </c>
      <c r="H864" s="786">
        <f t="shared" si="2450"/>
        <v>0</v>
      </c>
      <c r="I864" s="786">
        <f t="shared" si="2450"/>
        <v>0</v>
      </c>
      <c r="J864" s="786">
        <f t="shared" si="2450"/>
        <v>0</v>
      </c>
      <c r="K864" s="786">
        <f t="shared" si="2450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2451">SUM(T500)</f>
        <v>0</v>
      </c>
      <c r="U864" s="786">
        <f t="shared" si="2451"/>
        <v>0</v>
      </c>
      <c r="V864" s="786">
        <f t="shared" si="2451"/>
        <v>0</v>
      </c>
      <c r="W864" s="786">
        <f t="shared" si="2451"/>
        <v>0</v>
      </c>
      <c r="X864" s="786">
        <f t="shared" si="2451"/>
        <v>0</v>
      </c>
      <c r="Y864" s="786">
        <f t="shared" si="2451"/>
        <v>0</v>
      </c>
      <c r="Z864" s="786">
        <f t="shared" si="2451"/>
        <v>0</v>
      </c>
      <c r="AA864" s="786">
        <f t="shared" si="2451"/>
        <v>0</v>
      </c>
      <c r="AB864" s="786">
        <f t="shared" si="2451"/>
        <v>0</v>
      </c>
      <c r="AC864" s="786">
        <f t="shared" si="2451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2452">SUM(AL500)</f>
        <v>0</v>
      </c>
      <c r="AM864" s="786">
        <f t="shared" si="2452"/>
        <v>0</v>
      </c>
      <c r="AN864" s="786">
        <f t="shared" si="2452"/>
        <v>0</v>
      </c>
      <c r="AO864" s="786">
        <f t="shared" si="2452"/>
        <v>0</v>
      </c>
      <c r="AP864" s="786">
        <f t="shared" si="2452"/>
        <v>0</v>
      </c>
      <c r="AQ864" s="786">
        <f t="shared" si="2452"/>
        <v>0</v>
      </c>
      <c r="AR864" s="786">
        <f t="shared" si="2452"/>
        <v>0</v>
      </c>
      <c r="AS864" s="786">
        <f t="shared" si="2452"/>
        <v>0</v>
      </c>
      <c r="AT864" s="786">
        <f t="shared" si="2452"/>
        <v>0</v>
      </c>
      <c r="AU864" s="786">
        <f t="shared" si="2452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2453">SUM(BD500)</f>
        <v>0</v>
      </c>
      <c r="BE864" s="786">
        <f t="shared" si="2453"/>
        <v>0</v>
      </c>
      <c r="BF864" s="786">
        <f t="shared" si="2453"/>
        <v>0</v>
      </c>
      <c r="BG864" s="786">
        <f t="shared" si="2453"/>
        <v>0</v>
      </c>
      <c r="BH864" s="786">
        <f t="shared" si="2453"/>
        <v>0</v>
      </c>
      <c r="BI864" s="786">
        <f t="shared" si="2453"/>
        <v>0</v>
      </c>
      <c r="BJ864" s="786">
        <f t="shared" si="2453"/>
        <v>0</v>
      </c>
      <c r="BK864" s="786">
        <f t="shared" si="2453"/>
        <v>0</v>
      </c>
      <c r="BL864" s="786">
        <f t="shared" si="2453"/>
        <v>0</v>
      </c>
      <c r="BM864" s="786">
        <f t="shared" si="2453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>SUM(BV500)</f>
        <v>5.8688195267745949E-2</v>
      </c>
      <c r="BW864" s="786">
        <f>SUM(BW500)</f>
        <v>8.8032292901618917E-2</v>
      </c>
      <c r="BX864" s="786">
        <f>SUM(BX500)</f>
        <v>0</v>
      </c>
      <c r="BY864" s="786">
        <f>SUM(BY500)</f>
        <v>0</v>
      </c>
      <c r="BZ864" s="607">
        <f t="shared" si="2423"/>
        <v>0</v>
      </c>
      <c r="CA864" s="607">
        <f t="shared" si="2424"/>
        <v>0</v>
      </c>
      <c r="CB864" s="607">
        <f t="shared" si="2425"/>
        <v>0</v>
      </c>
      <c r="CC864" s="673">
        <f t="shared" si="2426"/>
        <v>0</v>
      </c>
      <c r="CD864" s="991">
        <f t="shared" si="2427"/>
        <v>0</v>
      </c>
      <c r="CE864" s="992">
        <f t="shared" si="2427"/>
        <v>0</v>
      </c>
      <c r="CF864" s="992">
        <f t="shared" si="2427"/>
        <v>0</v>
      </c>
      <c r="CG864" s="992">
        <f t="shared" si="2427"/>
        <v>0</v>
      </c>
      <c r="CH864" s="993">
        <f t="shared" si="2427"/>
        <v>0</v>
      </c>
      <c r="CI864" s="993">
        <f t="shared" si="2427"/>
        <v>0</v>
      </c>
      <c r="CJ864" s="992">
        <f t="shared" si="2427"/>
        <v>0</v>
      </c>
      <c r="CK864" s="992">
        <f t="shared" si="2427"/>
        <v>0</v>
      </c>
      <c r="CL864" s="992">
        <f t="shared" si="2427"/>
        <v>0</v>
      </c>
      <c r="CM864" s="991">
        <f t="shared" si="2427"/>
        <v>0</v>
      </c>
      <c r="CN864" s="1036" t="str">
        <f t="shared" si="2428"/>
        <v/>
      </c>
      <c r="CO864" s="1001" t="str">
        <f t="shared" si="2428"/>
        <v/>
      </c>
      <c r="CP864" s="1002" t="str">
        <f t="shared" si="2428"/>
        <v/>
      </c>
      <c r="CQ864" s="1002" t="str">
        <f t="shared" si="2428"/>
        <v/>
      </c>
      <c r="CR864" s="1002">
        <f t="shared" si="2428"/>
        <v>0</v>
      </c>
      <c r="CS864" s="1002">
        <f t="shared" si="2428"/>
        <v>0</v>
      </c>
      <c r="CT864" s="1002">
        <f t="shared" si="2428"/>
        <v>0</v>
      </c>
      <c r="CU864" s="1003">
        <f t="shared" si="2428"/>
        <v>0</v>
      </c>
      <c r="CV864" s="1003">
        <f t="shared" si="2428"/>
        <v>0</v>
      </c>
      <c r="CW864" s="1003">
        <f t="shared" si="2428"/>
        <v>0</v>
      </c>
      <c r="CX864" s="1002">
        <f t="shared" si="2428"/>
        <v>0</v>
      </c>
      <c r="CY864" s="1002">
        <f t="shared" si="2428"/>
        <v>0</v>
      </c>
      <c r="CZ864" s="1002">
        <f t="shared" si="2428"/>
        <v>0</v>
      </c>
      <c r="DA864" s="1002">
        <f t="shared" si="2428"/>
        <v>0</v>
      </c>
      <c r="DB864" s="1002" t="str">
        <f t="shared" si="2428"/>
        <v/>
      </c>
      <c r="DC864" s="1001" t="str">
        <f t="shared" si="2428"/>
        <v/>
      </c>
      <c r="DD864" s="1036" t="str">
        <f t="shared" si="2429"/>
        <v/>
      </c>
      <c r="DE864" s="635">
        <f t="shared" si="2430"/>
        <v>10</v>
      </c>
      <c r="DF864" s="95">
        <f t="shared" si="2431"/>
        <v>10</v>
      </c>
      <c r="DG864" s="95">
        <f t="shared" si="2432"/>
        <v>10</v>
      </c>
      <c r="DH864" s="95">
        <f t="shared" si="243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2454">SUM(C506)</f>
        <v>0</v>
      </c>
      <c r="D865" s="786">
        <f t="shared" si="2454"/>
        <v>0</v>
      </c>
      <c r="E865" s="786">
        <f t="shared" si="2454"/>
        <v>0</v>
      </c>
      <c r="F865" s="786">
        <f t="shared" si="2454"/>
        <v>0</v>
      </c>
      <c r="G865" s="786">
        <f t="shared" si="2454"/>
        <v>0</v>
      </c>
      <c r="H865" s="786">
        <f t="shared" si="2454"/>
        <v>0</v>
      </c>
      <c r="I865" s="786">
        <f t="shared" si="2454"/>
        <v>0</v>
      </c>
      <c r="J865" s="786">
        <f t="shared" si="2454"/>
        <v>0</v>
      </c>
      <c r="K865" s="786">
        <f t="shared" si="2454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2455">SUM(U506)</f>
        <v>0</v>
      </c>
      <c r="V865" s="786">
        <f t="shared" si="2455"/>
        <v>0</v>
      </c>
      <c r="W865" s="786">
        <f t="shared" si="2455"/>
        <v>0</v>
      </c>
      <c r="X865" s="786">
        <f t="shared" si="2455"/>
        <v>0</v>
      </c>
      <c r="Y865" s="786">
        <f t="shared" si="2455"/>
        <v>0</v>
      </c>
      <c r="Z865" s="786">
        <f t="shared" si="2455"/>
        <v>0</v>
      </c>
      <c r="AA865" s="786">
        <f t="shared" si="2455"/>
        <v>0</v>
      </c>
      <c r="AB865" s="786">
        <f t="shared" si="2455"/>
        <v>0</v>
      </c>
      <c r="AC865" s="786">
        <f t="shared" si="2455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2456">SUM(AM506)</f>
        <v>0</v>
      </c>
      <c r="AN865" s="786">
        <f t="shared" si="2456"/>
        <v>0</v>
      </c>
      <c r="AO865" s="786">
        <f t="shared" si="2456"/>
        <v>0</v>
      </c>
      <c r="AP865" s="786">
        <f t="shared" si="2456"/>
        <v>0</v>
      </c>
      <c r="AQ865" s="786">
        <f t="shared" si="2456"/>
        <v>0</v>
      </c>
      <c r="AR865" s="786">
        <f t="shared" si="2456"/>
        <v>0</v>
      </c>
      <c r="AS865" s="786">
        <f t="shared" si="2456"/>
        <v>0</v>
      </c>
      <c r="AT865" s="786">
        <f t="shared" si="2456"/>
        <v>0</v>
      </c>
      <c r="AU865" s="786">
        <f t="shared" si="2456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2457">SUM(BE506)</f>
        <v>0</v>
      </c>
      <c r="BF865" s="786">
        <f t="shared" si="2457"/>
        <v>0</v>
      </c>
      <c r="BG865" s="786">
        <f t="shared" si="2457"/>
        <v>0</v>
      </c>
      <c r="BH865" s="786">
        <f t="shared" si="2457"/>
        <v>0</v>
      </c>
      <c r="BI865" s="786">
        <f t="shared" si="2457"/>
        <v>0</v>
      </c>
      <c r="BJ865" s="786">
        <f t="shared" si="2457"/>
        <v>0</v>
      </c>
      <c r="BK865" s="786">
        <f t="shared" si="2457"/>
        <v>0</v>
      </c>
      <c r="BL865" s="786">
        <f t="shared" si="2457"/>
        <v>0</v>
      </c>
      <c r="BM865" s="786">
        <f t="shared" si="2457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>SUM(BV506)</f>
        <v>0</v>
      </c>
      <c r="BW865" s="786">
        <f>SUM(BW506)</f>
        <v>0</v>
      </c>
      <c r="BX865" s="786">
        <f>SUM(BX506)</f>
        <v>0</v>
      </c>
      <c r="BY865" s="786">
        <f>SUM(BY506)</f>
        <v>0</v>
      </c>
      <c r="BZ865" s="607">
        <f t="shared" si="2423"/>
        <v>0</v>
      </c>
      <c r="CA865" s="607">
        <f t="shared" si="2424"/>
        <v>0</v>
      </c>
      <c r="CB865" s="607">
        <f t="shared" si="2425"/>
        <v>0</v>
      </c>
      <c r="CC865" s="673">
        <f t="shared" si="2426"/>
        <v>0</v>
      </c>
      <c r="CD865" s="991">
        <f t="shared" si="2427"/>
        <v>0</v>
      </c>
      <c r="CE865" s="992">
        <f t="shared" si="2427"/>
        <v>0</v>
      </c>
      <c r="CF865" s="992">
        <f t="shared" si="2427"/>
        <v>0</v>
      </c>
      <c r="CG865" s="992">
        <f t="shared" si="2427"/>
        <v>0</v>
      </c>
      <c r="CH865" s="993">
        <f t="shared" si="2427"/>
        <v>0</v>
      </c>
      <c r="CI865" s="993">
        <f t="shared" si="2427"/>
        <v>0</v>
      </c>
      <c r="CJ865" s="992">
        <f t="shared" si="2427"/>
        <v>0</v>
      </c>
      <c r="CK865" s="992">
        <f t="shared" si="2427"/>
        <v>0</v>
      </c>
      <c r="CL865" s="992">
        <f t="shared" si="2427"/>
        <v>0</v>
      </c>
      <c r="CM865" s="991">
        <f t="shared" si="2427"/>
        <v>0</v>
      </c>
      <c r="CN865" s="1036" t="str">
        <f t="shared" si="2428"/>
        <v/>
      </c>
      <c r="CO865" s="1001" t="str">
        <f t="shared" si="2428"/>
        <v/>
      </c>
      <c r="CP865" s="1002" t="str">
        <f t="shared" si="2428"/>
        <v/>
      </c>
      <c r="CQ865" s="1002" t="str">
        <f t="shared" si="2428"/>
        <v/>
      </c>
      <c r="CR865" s="1002">
        <f t="shared" si="2428"/>
        <v>0</v>
      </c>
      <c r="CS865" s="1002">
        <f t="shared" si="2428"/>
        <v>0</v>
      </c>
      <c r="CT865" s="1002">
        <f t="shared" si="2428"/>
        <v>0</v>
      </c>
      <c r="CU865" s="1003">
        <f t="shared" si="2428"/>
        <v>0</v>
      </c>
      <c r="CV865" s="1003">
        <f t="shared" si="2428"/>
        <v>0</v>
      </c>
      <c r="CW865" s="1003">
        <f t="shared" si="2428"/>
        <v>0</v>
      </c>
      <c r="CX865" s="1002">
        <f t="shared" si="2428"/>
        <v>0</v>
      </c>
      <c r="CY865" s="1002">
        <f t="shared" si="2428"/>
        <v>0</v>
      </c>
      <c r="CZ865" s="1002">
        <f t="shared" si="2428"/>
        <v>0</v>
      </c>
      <c r="DA865" s="1002">
        <f t="shared" si="2428"/>
        <v>0</v>
      </c>
      <c r="DB865" s="1002" t="str">
        <f t="shared" si="2428"/>
        <v/>
      </c>
      <c r="DC865" s="1001" t="str">
        <f t="shared" si="2428"/>
        <v/>
      </c>
      <c r="DD865" s="1036" t="str">
        <f t="shared" si="2429"/>
        <v/>
      </c>
      <c r="DE865" s="635">
        <f t="shared" si="2430"/>
        <v>10</v>
      </c>
      <c r="DF865" s="95">
        <f t="shared" si="2431"/>
        <v>10</v>
      </c>
      <c r="DG865" s="95">
        <f t="shared" si="2432"/>
        <v>10</v>
      </c>
      <c r="DH865" s="95">
        <f t="shared" si="243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2458">SUM(C512)</f>
        <v>0</v>
      </c>
      <c r="D866" s="786">
        <f t="shared" si="2458"/>
        <v>0</v>
      </c>
      <c r="E866" s="786">
        <f t="shared" si="2458"/>
        <v>0</v>
      </c>
      <c r="F866" s="786">
        <f t="shared" si="2458"/>
        <v>0</v>
      </c>
      <c r="G866" s="786">
        <f t="shared" si="2458"/>
        <v>0</v>
      </c>
      <c r="H866" s="786">
        <f t="shared" si="2458"/>
        <v>0</v>
      </c>
      <c r="I866" s="786">
        <f t="shared" si="2458"/>
        <v>0</v>
      </c>
      <c r="J866" s="786">
        <f t="shared" si="2458"/>
        <v>0</v>
      </c>
      <c r="K866" s="786">
        <f t="shared" si="245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2459">SUM(T512)</f>
        <v>0</v>
      </c>
      <c r="U866" s="786">
        <f t="shared" si="2459"/>
        <v>0</v>
      </c>
      <c r="V866" s="786">
        <f t="shared" si="2459"/>
        <v>0</v>
      </c>
      <c r="W866" s="786">
        <f t="shared" si="2459"/>
        <v>0</v>
      </c>
      <c r="X866" s="786">
        <f t="shared" si="2459"/>
        <v>0</v>
      </c>
      <c r="Y866" s="786">
        <f t="shared" si="2459"/>
        <v>0</v>
      </c>
      <c r="Z866" s="786">
        <f t="shared" si="2459"/>
        <v>0</v>
      </c>
      <c r="AA866" s="786">
        <f t="shared" si="2459"/>
        <v>0</v>
      </c>
      <c r="AB866" s="786">
        <f t="shared" si="2459"/>
        <v>0</v>
      </c>
      <c r="AC866" s="786">
        <f t="shared" si="245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2460">SUM(AL512)</f>
        <v>0</v>
      </c>
      <c r="AM866" s="786">
        <f t="shared" si="2460"/>
        <v>0</v>
      </c>
      <c r="AN866" s="786">
        <f t="shared" si="2460"/>
        <v>0</v>
      </c>
      <c r="AO866" s="786">
        <f t="shared" si="2460"/>
        <v>0</v>
      </c>
      <c r="AP866" s="786">
        <f t="shared" si="2460"/>
        <v>0</v>
      </c>
      <c r="AQ866" s="786">
        <f t="shared" si="2460"/>
        <v>0</v>
      </c>
      <c r="AR866" s="786">
        <f t="shared" si="2460"/>
        <v>0</v>
      </c>
      <c r="AS866" s="786">
        <f t="shared" si="2460"/>
        <v>0</v>
      </c>
      <c r="AT866" s="786">
        <f t="shared" si="2460"/>
        <v>0</v>
      </c>
      <c r="AU866" s="786">
        <f t="shared" si="246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2461">SUM(BD512)</f>
        <v>0</v>
      </c>
      <c r="BE866" s="786">
        <f t="shared" si="2461"/>
        <v>0</v>
      </c>
      <c r="BF866" s="786">
        <f t="shared" si="2461"/>
        <v>0</v>
      </c>
      <c r="BG866" s="786">
        <f t="shared" si="2461"/>
        <v>0</v>
      </c>
      <c r="BH866" s="786">
        <f t="shared" si="2461"/>
        <v>0</v>
      </c>
      <c r="BI866" s="786">
        <f t="shared" si="2461"/>
        <v>0</v>
      </c>
      <c r="BJ866" s="786">
        <f t="shared" si="2461"/>
        <v>0</v>
      </c>
      <c r="BK866" s="786">
        <f t="shared" si="2461"/>
        <v>0</v>
      </c>
      <c r="BL866" s="786">
        <f t="shared" si="2461"/>
        <v>0</v>
      </c>
      <c r="BM866" s="786">
        <f t="shared" si="246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>SUM(BV512)</f>
        <v>7.9186830635118305E-2</v>
      </c>
      <c r="BW866" s="786">
        <f>SUM(BW512)</f>
        <v>7.9186830635118305E-2</v>
      </c>
      <c r="BX866" s="786">
        <f>SUM(BX512)</f>
        <v>7.9186830635118305E-2</v>
      </c>
      <c r="BY866" s="786">
        <f>SUM(BY512)</f>
        <v>0</v>
      </c>
      <c r="BZ866" s="607">
        <f t="shared" si="2423"/>
        <v>0</v>
      </c>
      <c r="CA866" s="607">
        <f t="shared" si="2424"/>
        <v>0</v>
      </c>
      <c r="CB866" s="607">
        <f t="shared" si="2425"/>
        <v>0</v>
      </c>
      <c r="CC866" s="673">
        <f t="shared" si="2426"/>
        <v>0</v>
      </c>
      <c r="CD866" s="991">
        <f t="shared" si="2427"/>
        <v>0</v>
      </c>
      <c r="CE866" s="992">
        <f t="shared" si="2427"/>
        <v>0</v>
      </c>
      <c r="CF866" s="992">
        <f t="shared" si="2427"/>
        <v>0</v>
      </c>
      <c r="CG866" s="992">
        <f t="shared" si="2427"/>
        <v>0</v>
      </c>
      <c r="CH866" s="993">
        <f t="shared" si="2427"/>
        <v>0</v>
      </c>
      <c r="CI866" s="993">
        <f t="shared" si="2427"/>
        <v>0</v>
      </c>
      <c r="CJ866" s="992">
        <f t="shared" si="2427"/>
        <v>0</v>
      </c>
      <c r="CK866" s="992">
        <f t="shared" si="2427"/>
        <v>0</v>
      </c>
      <c r="CL866" s="992">
        <f t="shared" si="2427"/>
        <v>0</v>
      </c>
      <c r="CM866" s="991">
        <f t="shared" si="2427"/>
        <v>0</v>
      </c>
      <c r="CN866" s="1036" t="str">
        <f t="shared" si="2428"/>
        <v/>
      </c>
      <c r="CO866" s="1001" t="str">
        <f t="shared" si="2428"/>
        <v/>
      </c>
      <c r="CP866" s="1002" t="str">
        <f t="shared" si="2428"/>
        <v/>
      </c>
      <c r="CQ866" s="1002" t="str">
        <f t="shared" si="2428"/>
        <v/>
      </c>
      <c r="CR866" s="1002">
        <f t="shared" si="2428"/>
        <v>0</v>
      </c>
      <c r="CS866" s="1002">
        <f t="shared" si="2428"/>
        <v>0</v>
      </c>
      <c r="CT866" s="1002">
        <f t="shared" si="2428"/>
        <v>0</v>
      </c>
      <c r="CU866" s="1003">
        <f t="shared" si="2428"/>
        <v>0</v>
      </c>
      <c r="CV866" s="1003">
        <f t="shared" si="2428"/>
        <v>0</v>
      </c>
      <c r="CW866" s="1003">
        <f t="shared" si="2428"/>
        <v>0</v>
      </c>
      <c r="CX866" s="1002">
        <f t="shared" si="2428"/>
        <v>0</v>
      </c>
      <c r="CY866" s="1002">
        <f t="shared" si="2428"/>
        <v>0</v>
      </c>
      <c r="CZ866" s="1002">
        <f t="shared" si="2428"/>
        <v>0</v>
      </c>
      <c r="DA866" s="1002">
        <f t="shared" si="2428"/>
        <v>0</v>
      </c>
      <c r="DB866" s="1002" t="str">
        <f t="shared" si="2428"/>
        <v/>
      </c>
      <c r="DC866" s="1001" t="str">
        <f t="shared" si="2428"/>
        <v/>
      </c>
      <c r="DD866" s="1036" t="str">
        <f t="shared" si="2429"/>
        <v/>
      </c>
      <c r="DE866" s="635">
        <f t="shared" si="2430"/>
        <v>10</v>
      </c>
      <c r="DF866" s="95">
        <f t="shared" si="2431"/>
        <v>10</v>
      </c>
      <c r="DG866" s="95">
        <f t="shared" si="2432"/>
        <v>10</v>
      </c>
      <c r="DH866" s="95">
        <f t="shared" si="243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2462">SUM(C518)</f>
        <v>0</v>
      </c>
      <c r="D867" s="786">
        <f t="shared" si="2462"/>
        <v>0</v>
      </c>
      <c r="E867" s="786">
        <f t="shared" si="2462"/>
        <v>0</v>
      </c>
      <c r="F867" s="786">
        <f t="shared" si="2462"/>
        <v>0</v>
      </c>
      <c r="G867" s="786">
        <f t="shared" si="2462"/>
        <v>0</v>
      </c>
      <c r="H867" s="786">
        <f t="shared" si="2462"/>
        <v>0</v>
      </c>
      <c r="I867" s="786">
        <f t="shared" si="2462"/>
        <v>0</v>
      </c>
      <c r="J867" s="786">
        <f t="shared" si="2462"/>
        <v>0</v>
      </c>
      <c r="K867" s="786">
        <f t="shared" si="2462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2463">SUM(U518)</f>
        <v>0</v>
      </c>
      <c r="V867" s="786">
        <f t="shared" si="2463"/>
        <v>0</v>
      </c>
      <c r="W867" s="786">
        <f t="shared" si="2463"/>
        <v>0</v>
      </c>
      <c r="X867" s="786">
        <f t="shared" si="2463"/>
        <v>0</v>
      </c>
      <c r="Y867" s="786">
        <f t="shared" si="2463"/>
        <v>0</v>
      </c>
      <c r="Z867" s="786">
        <f t="shared" si="2463"/>
        <v>0</v>
      </c>
      <c r="AA867" s="786">
        <f t="shared" si="2463"/>
        <v>0</v>
      </c>
      <c r="AB867" s="786">
        <f t="shared" si="2463"/>
        <v>0</v>
      </c>
      <c r="AC867" s="786">
        <f t="shared" si="2463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2464">SUM(AM518)</f>
        <v>0</v>
      </c>
      <c r="AN867" s="786">
        <f t="shared" si="2464"/>
        <v>0</v>
      </c>
      <c r="AO867" s="786">
        <f t="shared" si="2464"/>
        <v>0</v>
      </c>
      <c r="AP867" s="786">
        <f t="shared" si="2464"/>
        <v>0</v>
      </c>
      <c r="AQ867" s="786">
        <f t="shared" si="2464"/>
        <v>0</v>
      </c>
      <c r="AR867" s="786">
        <f t="shared" si="2464"/>
        <v>0</v>
      </c>
      <c r="AS867" s="786">
        <f t="shared" si="2464"/>
        <v>0</v>
      </c>
      <c r="AT867" s="786">
        <f t="shared" si="2464"/>
        <v>0</v>
      </c>
      <c r="AU867" s="786">
        <f t="shared" si="2464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2465">SUM(BE518)</f>
        <v>0</v>
      </c>
      <c r="BF867" s="786">
        <f t="shared" si="2465"/>
        <v>0</v>
      </c>
      <c r="BG867" s="786">
        <f t="shared" si="2465"/>
        <v>0</v>
      </c>
      <c r="BH867" s="786">
        <f t="shared" si="2465"/>
        <v>0</v>
      </c>
      <c r="BI867" s="786">
        <f t="shared" si="2465"/>
        <v>0</v>
      </c>
      <c r="BJ867" s="786">
        <f t="shared" si="2465"/>
        <v>0</v>
      </c>
      <c r="BK867" s="786">
        <f t="shared" si="2465"/>
        <v>0</v>
      </c>
      <c r="BL867" s="786">
        <f t="shared" si="2465"/>
        <v>0</v>
      </c>
      <c r="BM867" s="786">
        <f t="shared" si="2465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>SUM(BV518)</f>
        <v>0.17597073474470734</v>
      </c>
      <c r="BW867" s="786">
        <f>SUM(BW518)</f>
        <v>0.17597073474470734</v>
      </c>
      <c r="BX867" s="786">
        <f>SUM(BX518)</f>
        <v>0.17597073474470734</v>
      </c>
      <c r="BY867" s="786">
        <f>SUM(BY518)</f>
        <v>0</v>
      </c>
      <c r="BZ867" s="607">
        <f t="shared" si="2423"/>
        <v>0</v>
      </c>
      <c r="CA867" s="607">
        <f t="shared" si="2424"/>
        <v>0</v>
      </c>
      <c r="CB867" s="607">
        <f t="shared" si="2425"/>
        <v>0</v>
      </c>
      <c r="CC867" s="673">
        <f t="shared" si="2426"/>
        <v>0</v>
      </c>
      <c r="CD867" s="991">
        <f t="shared" si="2427"/>
        <v>0</v>
      </c>
      <c r="CE867" s="992">
        <f t="shared" si="2427"/>
        <v>0</v>
      </c>
      <c r="CF867" s="992">
        <f t="shared" si="2427"/>
        <v>0</v>
      </c>
      <c r="CG867" s="992">
        <f t="shared" si="2427"/>
        <v>0</v>
      </c>
      <c r="CH867" s="993">
        <f t="shared" si="2427"/>
        <v>0</v>
      </c>
      <c r="CI867" s="993">
        <f t="shared" si="2427"/>
        <v>0</v>
      </c>
      <c r="CJ867" s="992">
        <f t="shared" si="2427"/>
        <v>0</v>
      </c>
      <c r="CK867" s="992">
        <f t="shared" si="2427"/>
        <v>0</v>
      </c>
      <c r="CL867" s="992">
        <f t="shared" si="2427"/>
        <v>0</v>
      </c>
      <c r="CM867" s="991">
        <f t="shared" si="2427"/>
        <v>0</v>
      </c>
      <c r="CN867" s="1036" t="str">
        <f t="shared" si="2428"/>
        <v/>
      </c>
      <c r="CO867" s="1001" t="str">
        <f t="shared" si="2428"/>
        <v/>
      </c>
      <c r="CP867" s="1002" t="str">
        <f t="shared" si="2428"/>
        <v/>
      </c>
      <c r="CQ867" s="1002" t="str">
        <f t="shared" si="2428"/>
        <v/>
      </c>
      <c r="CR867" s="1002">
        <f t="shared" si="2428"/>
        <v>0</v>
      </c>
      <c r="CS867" s="1002">
        <f t="shared" si="2428"/>
        <v>0</v>
      </c>
      <c r="CT867" s="1002">
        <f t="shared" si="2428"/>
        <v>0</v>
      </c>
      <c r="CU867" s="1003">
        <f t="shared" si="2428"/>
        <v>0</v>
      </c>
      <c r="CV867" s="1003">
        <f t="shared" si="2428"/>
        <v>0</v>
      </c>
      <c r="CW867" s="1003">
        <f t="shared" si="2428"/>
        <v>0</v>
      </c>
      <c r="CX867" s="1002">
        <f t="shared" si="2428"/>
        <v>0</v>
      </c>
      <c r="CY867" s="1002">
        <f t="shared" si="2428"/>
        <v>0</v>
      </c>
      <c r="CZ867" s="1002">
        <f t="shared" si="2428"/>
        <v>0</v>
      </c>
      <c r="DA867" s="1002">
        <f t="shared" si="2428"/>
        <v>0</v>
      </c>
      <c r="DB867" s="1002" t="str">
        <f t="shared" si="2428"/>
        <v/>
      </c>
      <c r="DC867" s="1001" t="str">
        <f t="shared" si="2428"/>
        <v/>
      </c>
      <c r="DD867" s="1036" t="str">
        <f t="shared" si="2429"/>
        <v/>
      </c>
      <c r="DE867" s="635">
        <f t="shared" si="2430"/>
        <v>10</v>
      </c>
      <c r="DF867" s="95">
        <f t="shared" si="2431"/>
        <v>10</v>
      </c>
      <c r="DG867" s="95">
        <f t="shared" si="2432"/>
        <v>10</v>
      </c>
      <c r="DH867" s="95">
        <f t="shared" si="243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2466">SUM(C524)</f>
        <v>0</v>
      </c>
      <c r="D868" s="786">
        <f t="shared" si="2466"/>
        <v>0</v>
      </c>
      <c r="E868" s="786">
        <f t="shared" si="2466"/>
        <v>0</v>
      </c>
      <c r="F868" s="786">
        <f t="shared" si="2466"/>
        <v>0</v>
      </c>
      <c r="G868" s="786">
        <f t="shared" si="2466"/>
        <v>0</v>
      </c>
      <c r="H868" s="786">
        <f t="shared" si="2466"/>
        <v>0</v>
      </c>
      <c r="I868" s="786">
        <f t="shared" si="2466"/>
        <v>0</v>
      </c>
      <c r="J868" s="786">
        <f t="shared" si="2466"/>
        <v>0</v>
      </c>
      <c r="K868" s="786">
        <f t="shared" si="2466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2467">SUM(T524)</f>
        <v>0</v>
      </c>
      <c r="U868" s="786">
        <f t="shared" si="2467"/>
        <v>0</v>
      </c>
      <c r="V868" s="786">
        <f t="shared" si="2467"/>
        <v>0</v>
      </c>
      <c r="W868" s="786">
        <f t="shared" si="2467"/>
        <v>0</v>
      </c>
      <c r="X868" s="786">
        <f t="shared" si="2467"/>
        <v>0</v>
      </c>
      <c r="Y868" s="786">
        <f t="shared" si="2467"/>
        <v>0</v>
      </c>
      <c r="Z868" s="786">
        <f t="shared" si="2467"/>
        <v>0</v>
      </c>
      <c r="AA868" s="786">
        <f t="shared" si="2467"/>
        <v>0</v>
      </c>
      <c r="AB868" s="786">
        <f t="shared" si="2467"/>
        <v>0</v>
      </c>
      <c r="AC868" s="786">
        <f t="shared" si="2467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2468">SUM(AL524)</f>
        <v>0</v>
      </c>
      <c r="AM868" s="786">
        <f t="shared" si="2468"/>
        <v>0</v>
      </c>
      <c r="AN868" s="786">
        <f t="shared" si="2468"/>
        <v>0</v>
      </c>
      <c r="AO868" s="786">
        <f t="shared" si="2468"/>
        <v>0</v>
      </c>
      <c r="AP868" s="786">
        <f t="shared" si="2468"/>
        <v>0</v>
      </c>
      <c r="AQ868" s="786">
        <f t="shared" si="2468"/>
        <v>0</v>
      </c>
      <c r="AR868" s="786">
        <f t="shared" si="2468"/>
        <v>0</v>
      </c>
      <c r="AS868" s="786">
        <f t="shared" si="2468"/>
        <v>0</v>
      </c>
      <c r="AT868" s="786">
        <f t="shared" si="2468"/>
        <v>0</v>
      </c>
      <c r="AU868" s="786">
        <f t="shared" si="2468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2469">SUM(BD524)</f>
        <v>0</v>
      </c>
      <c r="BE868" s="786">
        <f t="shared" si="2469"/>
        <v>0</v>
      </c>
      <c r="BF868" s="786">
        <f t="shared" si="2469"/>
        <v>0</v>
      </c>
      <c r="BG868" s="786">
        <f t="shared" si="2469"/>
        <v>0</v>
      </c>
      <c r="BH868" s="786">
        <f t="shared" si="2469"/>
        <v>0</v>
      </c>
      <c r="BI868" s="786">
        <f t="shared" si="2469"/>
        <v>0</v>
      </c>
      <c r="BJ868" s="786">
        <f t="shared" si="2469"/>
        <v>0</v>
      </c>
      <c r="BK868" s="786">
        <f t="shared" si="2469"/>
        <v>0</v>
      </c>
      <c r="BL868" s="786">
        <f t="shared" si="2469"/>
        <v>0</v>
      </c>
      <c r="BM868" s="786">
        <f t="shared" si="2469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>SUM(BV524)</f>
        <v>2.169002241594022E-2</v>
      </c>
      <c r="BW868" s="786">
        <f>SUM(BW524)</f>
        <v>2.169002241594022E-2</v>
      </c>
      <c r="BX868" s="786">
        <f>SUM(BX524)</f>
        <v>6.5070067247820662E-2</v>
      </c>
      <c r="BY868" s="786">
        <f>SUM(BY524)</f>
        <v>0</v>
      </c>
      <c r="BZ868" s="607">
        <f t="shared" si="2423"/>
        <v>0</v>
      </c>
      <c r="CA868" s="607">
        <f t="shared" si="2424"/>
        <v>0</v>
      </c>
      <c r="CB868" s="607">
        <f t="shared" si="2425"/>
        <v>0</v>
      </c>
      <c r="CC868" s="673">
        <f t="shared" si="2426"/>
        <v>0</v>
      </c>
      <c r="CD868" s="991">
        <f t="shared" si="2427"/>
        <v>0</v>
      </c>
      <c r="CE868" s="992">
        <f t="shared" si="2427"/>
        <v>0</v>
      </c>
      <c r="CF868" s="992">
        <f t="shared" si="2427"/>
        <v>0</v>
      </c>
      <c r="CG868" s="992">
        <f t="shared" si="2427"/>
        <v>0</v>
      </c>
      <c r="CH868" s="993">
        <f t="shared" si="2427"/>
        <v>0</v>
      </c>
      <c r="CI868" s="993">
        <f t="shared" si="2427"/>
        <v>0</v>
      </c>
      <c r="CJ868" s="992">
        <f t="shared" si="2427"/>
        <v>0</v>
      </c>
      <c r="CK868" s="992">
        <f t="shared" si="2427"/>
        <v>0</v>
      </c>
      <c r="CL868" s="992">
        <f t="shared" si="2427"/>
        <v>0</v>
      </c>
      <c r="CM868" s="991">
        <f t="shared" si="2427"/>
        <v>0</v>
      </c>
      <c r="CN868" s="1036" t="str">
        <f t="shared" si="2428"/>
        <v/>
      </c>
      <c r="CO868" s="1001" t="str">
        <f t="shared" si="2428"/>
        <v/>
      </c>
      <c r="CP868" s="1002" t="str">
        <f t="shared" si="2428"/>
        <v/>
      </c>
      <c r="CQ868" s="1002" t="str">
        <f t="shared" si="2428"/>
        <v/>
      </c>
      <c r="CR868" s="1002">
        <f t="shared" si="2428"/>
        <v>0</v>
      </c>
      <c r="CS868" s="1002">
        <f t="shared" si="2428"/>
        <v>0</v>
      </c>
      <c r="CT868" s="1002">
        <f t="shared" si="2428"/>
        <v>0</v>
      </c>
      <c r="CU868" s="1003">
        <f t="shared" si="2428"/>
        <v>0</v>
      </c>
      <c r="CV868" s="1003">
        <f t="shared" si="2428"/>
        <v>0</v>
      </c>
      <c r="CW868" s="1003">
        <f t="shared" si="2428"/>
        <v>0</v>
      </c>
      <c r="CX868" s="1002">
        <f t="shared" si="2428"/>
        <v>0</v>
      </c>
      <c r="CY868" s="1002">
        <f t="shared" si="2428"/>
        <v>0</v>
      </c>
      <c r="CZ868" s="1002">
        <f t="shared" si="2428"/>
        <v>0</v>
      </c>
      <c r="DA868" s="1002">
        <f t="shared" si="2428"/>
        <v>0</v>
      </c>
      <c r="DB868" s="1002" t="str">
        <f t="shared" si="2428"/>
        <v/>
      </c>
      <c r="DC868" s="1001" t="str">
        <f t="shared" si="2428"/>
        <v/>
      </c>
      <c r="DD868" s="1036" t="str">
        <f t="shared" si="2429"/>
        <v/>
      </c>
      <c r="DE868" s="635">
        <f t="shared" si="2430"/>
        <v>10</v>
      </c>
      <c r="DF868" s="95">
        <f t="shared" si="2431"/>
        <v>10</v>
      </c>
      <c r="DG868" s="95">
        <f t="shared" si="2432"/>
        <v>10</v>
      </c>
      <c r="DH868" s="95">
        <f t="shared" si="243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2470">SUM(C530)</f>
        <v>0</v>
      </c>
      <c r="D869" s="908">
        <f t="shared" si="2470"/>
        <v>0</v>
      </c>
      <c r="E869" s="908">
        <f t="shared" si="2470"/>
        <v>0</v>
      </c>
      <c r="F869" s="908">
        <f t="shared" si="2470"/>
        <v>0</v>
      </c>
      <c r="G869" s="908">
        <f t="shared" si="2470"/>
        <v>0</v>
      </c>
      <c r="H869" s="908">
        <f t="shared" si="2470"/>
        <v>0</v>
      </c>
      <c r="I869" s="908">
        <f t="shared" si="2470"/>
        <v>0</v>
      </c>
      <c r="J869" s="908">
        <f t="shared" si="2470"/>
        <v>0</v>
      </c>
      <c r="K869" s="908">
        <f t="shared" si="2470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2471">SUM(U530)</f>
        <v>0</v>
      </c>
      <c r="V869" s="908">
        <f t="shared" si="2471"/>
        <v>0</v>
      </c>
      <c r="W869" s="908">
        <f t="shared" si="2471"/>
        <v>0</v>
      </c>
      <c r="X869" s="908">
        <f t="shared" si="2471"/>
        <v>0</v>
      </c>
      <c r="Y869" s="908">
        <f t="shared" si="2471"/>
        <v>0</v>
      </c>
      <c r="Z869" s="908">
        <f t="shared" si="2471"/>
        <v>0</v>
      </c>
      <c r="AA869" s="908">
        <f t="shared" si="2471"/>
        <v>0</v>
      </c>
      <c r="AB869" s="908">
        <f t="shared" si="2471"/>
        <v>0</v>
      </c>
      <c r="AC869" s="908">
        <f t="shared" si="2471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2472">SUM(AM530)</f>
        <v>0</v>
      </c>
      <c r="AN869" s="908">
        <f t="shared" si="2472"/>
        <v>0</v>
      </c>
      <c r="AO869" s="908">
        <f t="shared" si="2472"/>
        <v>0</v>
      </c>
      <c r="AP869" s="908">
        <f t="shared" si="2472"/>
        <v>0</v>
      </c>
      <c r="AQ869" s="908">
        <f t="shared" si="2472"/>
        <v>0</v>
      </c>
      <c r="AR869" s="908">
        <f t="shared" si="2472"/>
        <v>0</v>
      </c>
      <c r="AS869" s="908">
        <f t="shared" si="2472"/>
        <v>0</v>
      </c>
      <c r="AT869" s="908">
        <f t="shared" si="2472"/>
        <v>0</v>
      </c>
      <c r="AU869" s="908">
        <f t="shared" si="2472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2473">SUM(BE530)</f>
        <v>0</v>
      </c>
      <c r="BF869" s="908">
        <f t="shared" si="2473"/>
        <v>0</v>
      </c>
      <c r="BG869" s="908">
        <f t="shared" si="2473"/>
        <v>0</v>
      </c>
      <c r="BH869" s="908">
        <f t="shared" si="2473"/>
        <v>0</v>
      </c>
      <c r="BI869" s="908">
        <f t="shared" si="2473"/>
        <v>0</v>
      </c>
      <c r="BJ869" s="908">
        <f t="shared" si="2473"/>
        <v>0</v>
      </c>
      <c r="BK869" s="908">
        <f t="shared" si="2473"/>
        <v>0</v>
      </c>
      <c r="BL869" s="908">
        <f t="shared" si="2473"/>
        <v>0</v>
      </c>
      <c r="BM869" s="908">
        <f t="shared" si="2473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>SUM(BV530)</f>
        <v>0</v>
      </c>
      <c r="BW869" s="908">
        <f>SUM(BW530)</f>
        <v>6.1785280199252793E-3</v>
      </c>
      <c r="BX869" s="908">
        <f>SUM(BX530)</f>
        <v>0</v>
      </c>
      <c r="BY869" s="908">
        <f>SUM(BY530)</f>
        <v>0</v>
      </c>
      <c r="BZ869" s="607">
        <f t="shared" si="2423"/>
        <v>0</v>
      </c>
      <c r="CA869" s="607">
        <f t="shared" si="2424"/>
        <v>0</v>
      </c>
      <c r="CB869" s="607">
        <f t="shared" si="2425"/>
        <v>0</v>
      </c>
      <c r="CC869" s="673">
        <f t="shared" si="2426"/>
        <v>0</v>
      </c>
      <c r="CD869" s="991">
        <f t="shared" si="2427"/>
        <v>0</v>
      </c>
      <c r="CE869" s="992">
        <f t="shared" si="2427"/>
        <v>0</v>
      </c>
      <c r="CF869" s="992">
        <f t="shared" si="2427"/>
        <v>0</v>
      </c>
      <c r="CG869" s="992">
        <f t="shared" si="2427"/>
        <v>0</v>
      </c>
      <c r="CH869" s="993">
        <f t="shared" si="2427"/>
        <v>0</v>
      </c>
      <c r="CI869" s="993">
        <f t="shared" si="2427"/>
        <v>0</v>
      </c>
      <c r="CJ869" s="992">
        <f t="shared" si="2427"/>
        <v>0</v>
      </c>
      <c r="CK869" s="992">
        <f t="shared" si="2427"/>
        <v>0</v>
      </c>
      <c r="CL869" s="992">
        <f t="shared" si="2427"/>
        <v>0</v>
      </c>
      <c r="CM869" s="991">
        <f t="shared" si="2427"/>
        <v>0</v>
      </c>
      <c r="CN869" s="1036" t="str">
        <f t="shared" si="2428"/>
        <v/>
      </c>
      <c r="CO869" s="1001" t="str">
        <f t="shared" si="2428"/>
        <v/>
      </c>
      <c r="CP869" s="1002" t="str">
        <f t="shared" si="2428"/>
        <v/>
      </c>
      <c r="CQ869" s="1002" t="str">
        <f t="shared" si="2428"/>
        <v/>
      </c>
      <c r="CR869" s="1002">
        <f t="shared" si="2428"/>
        <v>0</v>
      </c>
      <c r="CS869" s="1002">
        <f t="shared" si="2428"/>
        <v>0</v>
      </c>
      <c r="CT869" s="1002">
        <f t="shared" si="2428"/>
        <v>0</v>
      </c>
      <c r="CU869" s="1003">
        <f t="shared" si="2428"/>
        <v>0</v>
      </c>
      <c r="CV869" s="1003">
        <f t="shared" si="2428"/>
        <v>0</v>
      </c>
      <c r="CW869" s="1003">
        <f t="shared" si="2428"/>
        <v>0</v>
      </c>
      <c r="CX869" s="1002">
        <f t="shared" si="2428"/>
        <v>0</v>
      </c>
      <c r="CY869" s="1002">
        <f t="shared" si="2428"/>
        <v>0</v>
      </c>
      <c r="CZ869" s="1002">
        <f t="shared" si="2428"/>
        <v>0</v>
      </c>
      <c r="DA869" s="1002">
        <f t="shared" si="2428"/>
        <v>0</v>
      </c>
      <c r="DB869" s="1002" t="str">
        <f t="shared" si="2428"/>
        <v/>
      </c>
      <c r="DC869" s="1001" t="str">
        <f t="shared" si="2428"/>
        <v/>
      </c>
      <c r="DD869" s="1036" t="str">
        <f t="shared" si="2429"/>
        <v/>
      </c>
      <c r="DE869" s="635">
        <f t="shared" si="2430"/>
        <v>10</v>
      </c>
      <c r="DF869" s="95">
        <f t="shared" si="2431"/>
        <v>10</v>
      </c>
      <c r="DG869" s="95">
        <f t="shared" si="2432"/>
        <v>10</v>
      </c>
      <c r="DH869" s="95">
        <f t="shared" si="243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2474">SUM(C536)</f>
        <v>0</v>
      </c>
      <c r="D870" s="908">
        <f t="shared" si="2474"/>
        <v>0</v>
      </c>
      <c r="E870" s="908">
        <f t="shared" si="2474"/>
        <v>0</v>
      </c>
      <c r="F870" s="908">
        <f t="shared" si="2474"/>
        <v>0</v>
      </c>
      <c r="G870" s="908">
        <f t="shared" si="2474"/>
        <v>0</v>
      </c>
      <c r="H870" s="908">
        <f t="shared" si="2474"/>
        <v>0</v>
      </c>
      <c r="I870" s="908">
        <f t="shared" si="2474"/>
        <v>0</v>
      </c>
      <c r="J870" s="908">
        <f t="shared" si="2474"/>
        <v>0</v>
      </c>
      <c r="K870" s="908">
        <f t="shared" si="247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2475">SUM(U536)</f>
        <v>0</v>
      </c>
      <c r="V870" s="908">
        <f t="shared" si="2475"/>
        <v>0</v>
      </c>
      <c r="W870" s="908">
        <f t="shared" si="2475"/>
        <v>0</v>
      </c>
      <c r="X870" s="908">
        <f t="shared" si="2475"/>
        <v>0</v>
      </c>
      <c r="Y870" s="908">
        <f t="shared" si="2475"/>
        <v>0</v>
      </c>
      <c r="Z870" s="908">
        <f t="shared" si="2475"/>
        <v>0</v>
      </c>
      <c r="AA870" s="908">
        <f t="shared" si="2475"/>
        <v>0</v>
      </c>
      <c r="AB870" s="908">
        <f t="shared" si="2475"/>
        <v>0</v>
      </c>
      <c r="AC870" s="908">
        <f t="shared" si="247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2476">SUM(AM536)</f>
        <v>0</v>
      </c>
      <c r="AN870" s="908">
        <f t="shared" si="2476"/>
        <v>0</v>
      </c>
      <c r="AO870" s="908">
        <f t="shared" si="2476"/>
        <v>0</v>
      </c>
      <c r="AP870" s="908">
        <f t="shared" si="2476"/>
        <v>0</v>
      </c>
      <c r="AQ870" s="908">
        <f t="shared" si="2476"/>
        <v>0</v>
      </c>
      <c r="AR870" s="908">
        <f t="shared" si="2476"/>
        <v>0</v>
      </c>
      <c r="AS870" s="908">
        <f t="shared" si="2476"/>
        <v>0</v>
      </c>
      <c r="AT870" s="908">
        <f t="shared" si="2476"/>
        <v>0</v>
      </c>
      <c r="AU870" s="908">
        <f t="shared" si="247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2477">SUM(BE536)</f>
        <v>0</v>
      </c>
      <c r="BF870" s="908">
        <f t="shared" si="2477"/>
        <v>0</v>
      </c>
      <c r="BG870" s="908">
        <f t="shared" si="2477"/>
        <v>0</v>
      </c>
      <c r="BH870" s="908">
        <f t="shared" si="2477"/>
        <v>0</v>
      </c>
      <c r="BI870" s="908">
        <f t="shared" si="2477"/>
        <v>0</v>
      </c>
      <c r="BJ870" s="908">
        <f t="shared" si="2477"/>
        <v>0</v>
      </c>
      <c r="BK870" s="908">
        <f t="shared" si="2477"/>
        <v>0</v>
      </c>
      <c r="BL870" s="908">
        <f t="shared" si="2477"/>
        <v>0</v>
      </c>
      <c r="BM870" s="908">
        <f t="shared" si="247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>SUM(BV536)</f>
        <v>2.8448602117061021E-2</v>
      </c>
      <c r="BW870" s="908">
        <f>SUM(BW536)</f>
        <v>2.8448602117061021E-2</v>
      </c>
      <c r="BX870" s="908">
        <f>SUM(BX536)</f>
        <v>2.8448602117061021E-2</v>
      </c>
      <c r="BY870" s="908">
        <f>SUM(BY536)</f>
        <v>0</v>
      </c>
      <c r="BZ870" s="607">
        <f t="shared" si="2423"/>
        <v>0</v>
      </c>
      <c r="CA870" s="607">
        <f t="shared" si="2424"/>
        <v>0</v>
      </c>
      <c r="CB870" s="607">
        <f t="shared" si="2425"/>
        <v>0</v>
      </c>
      <c r="CC870" s="673">
        <f t="shared" si="2426"/>
        <v>0</v>
      </c>
      <c r="CD870" s="991">
        <f t="shared" si="2427"/>
        <v>0</v>
      </c>
      <c r="CE870" s="992">
        <f t="shared" si="2427"/>
        <v>0</v>
      </c>
      <c r="CF870" s="992">
        <f t="shared" si="2427"/>
        <v>0</v>
      </c>
      <c r="CG870" s="992">
        <f t="shared" si="2427"/>
        <v>0</v>
      </c>
      <c r="CH870" s="993">
        <f t="shared" si="2427"/>
        <v>0</v>
      </c>
      <c r="CI870" s="993">
        <f t="shared" si="2427"/>
        <v>0</v>
      </c>
      <c r="CJ870" s="992">
        <f t="shared" si="2427"/>
        <v>0</v>
      </c>
      <c r="CK870" s="992">
        <f t="shared" si="2427"/>
        <v>0</v>
      </c>
      <c r="CL870" s="992">
        <f t="shared" si="2427"/>
        <v>0</v>
      </c>
      <c r="CM870" s="991">
        <f t="shared" si="2427"/>
        <v>0</v>
      </c>
      <c r="CN870" s="1036" t="str">
        <f t="shared" si="2428"/>
        <v/>
      </c>
      <c r="CO870" s="1001" t="str">
        <f t="shared" si="2428"/>
        <v/>
      </c>
      <c r="CP870" s="1002" t="str">
        <f t="shared" si="2428"/>
        <v/>
      </c>
      <c r="CQ870" s="1002" t="str">
        <f t="shared" si="2428"/>
        <v/>
      </c>
      <c r="CR870" s="1002">
        <f t="shared" si="2428"/>
        <v>0</v>
      </c>
      <c r="CS870" s="1002">
        <f t="shared" si="2428"/>
        <v>0</v>
      </c>
      <c r="CT870" s="1002">
        <f t="shared" si="2428"/>
        <v>0</v>
      </c>
      <c r="CU870" s="1003">
        <f t="shared" si="2428"/>
        <v>0</v>
      </c>
      <c r="CV870" s="1003">
        <f t="shared" si="2428"/>
        <v>0</v>
      </c>
      <c r="CW870" s="1003">
        <f t="shared" si="2428"/>
        <v>0</v>
      </c>
      <c r="CX870" s="1002">
        <f t="shared" si="2428"/>
        <v>0</v>
      </c>
      <c r="CY870" s="1002">
        <f t="shared" si="2428"/>
        <v>0</v>
      </c>
      <c r="CZ870" s="1002">
        <f t="shared" si="2428"/>
        <v>0</v>
      </c>
      <c r="DA870" s="1002">
        <f t="shared" si="2428"/>
        <v>0</v>
      </c>
      <c r="DB870" s="1002" t="str">
        <f t="shared" si="2428"/>
        <v/>
      </c>
      <c r="DC870" s="1001" t="str">
        <f t="shared" si="2428"/>
        <v/>
      </c>
      <c r="DD870" s="1036" t="str">
        <f t="shared" si="2429"/>
        <v/>
      </c>
      <c r="DE870" s="635">
        <f t="shared" si="2430"/>
        <v>10</v>
      </c>
      <c r="DF870" s="95">
        <f t="shared" si="2431"/>
        <v>10</v>
      </c>
      <c r="DG870" s="95">
        <f t="shared" si="2432"/>
        <v>10</v>
      </c>
      <c r="DH870" s="95">
        <f t="shared" si="243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2478">SUM(C542)</f>
        <v>0</v>
      </c>
      <c r="D871" s="908">
        <f t="shared" si="2478"/>
        <v>0</v>
      </c>
      <c r="E871" s="908">
        <f t="shared" si="2478"/>
        <v>0</v>
      </c>
      <c r="F871" s="908">
        <f t="shared" si="2478"/>
        <v>0</v>
      </c>
      <c r="G871" s="908">
        <f t="shared" si="2478"/>
        <v>0</v>
      </c>
      <c r="H871" s="908">
        <f t="shared" si="2478"/>
        <v>0</v>
      </c>
      <c r="I871" s="908">
        <f t="shared" si="2478"/>
        <v>0</v>
      </c>
      <c r="J871" s="908">
        <f t="shared" si="2478"/>
        <v>0</v>
      </c>
      <c r="K871" s="908">
        <f t="shared" si="2478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2479">SUM(U542)</f>
        <v>0</v>
      </c>
      <c r="V871" s="908">
        <f t="shared" si="2479"/>
        <v>0</v>
      </c>
      <c r="W871" s="908">
        <f t="shared" si="2479"/>
        <v>0</v>
      </c>
      <c r="X871" s="908">
        <f t="shared" si="2479"/>
        <v>0</v>
      </c>
      <c r="Y871" s="908">
        <f t="shared" si="2479"/>
        <v>0</v>
      </c>
      <c r="Z871" s="908">
        <f t="shared" si="2479"/>
        <v>0</v>
      </c>
      <c r="AA871" s="908">
        <f t="shared" si="2479"/>
        <v>0</v>
      </c>
      <c r="AB871" s="908">
        <f t="shared" si="2479"/>
        <v>0</v>
      </c>
      <c r="AC871" s="908">
        <f t="shared" si="2479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2480">SUM(AM542)</f>
        <v>0</v>
      </c>
      <c r="AN871" s="908">
        <f t="shared" si="2480"/>
        <v>0</v>
      </c>
      <c r="AO871" s="908">
        <f t="shared" si="2480"/>
        <v>0</v>
      </c>
      <c r="AP871" s="908">
        <f t="shared" si="2480"/>
        <v>0</v>
      </c>
      <c r="AQ871" s="908">
        <f t="shared" si="2480"/>
        <v>0</v>
      </c>
      <c r="AR871" s="908">
        <f t="shared" si="2480"/>
        <v>0</v>
      </c>
      <c r="AS871" s="908">
        <f t="shared" si="2480"/>
        <v>0</v>
      </c>
      <c r="AT871" s="908">
        <f t="shared" si="2480"/>
        <v>0</v>
      </c>
      <c r="AU871" s="908">
        <f t="shared" si="2480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2481">SUM(BE542)</f>
        <v>0</v>
      </c>
      <c r="BF871" s="908">
        <f t="shared" si="2481"/>
        <v>0</v>
      </c>
      <c r="BG871" s="908">
        <f t="shared" si="2481"/>
        <v>0</v>
      </c>
      <c r="BH871" s="908">
        <f t="shared" si="2481"/>
        <v>0</v>
      </c>
      <c r="BI871" s="908">
        <f t="shared" si="2481"/>
        <v>0</v>
      </c>
      <c r="BJ871" s="908">
        <f t="shared" si="2481"/>
        <v>0</v>
      </c>
      <c r="BK871" s="908">
        <f t="shared" si="2481"/>
        <v>0</v>
      </c>
      <c r="BL871" s="908">
        <f t="shared" si="2481"/>
        <v>0</v>
      </c>
      <c r="BM871" s="908">
        <f t="shared" si="2481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>SUM(BV542)</f>
        <v>2.7568748443337482E-2</v>
      </c>
      <c r="BW871" s="908">
        <f>SUM(BW542)</f>
        <v>2.7568748443337482E-2</v>
      </c>
      <c r="BX871" s="908">
        <f>SUM(BX542)</f>
        <v>2.7568748443337482E-2</v>
      </c>
      <c r="BY871" s="908">
        <f>SUM(BY542)</f>
        <v>0</v>
      </c>
      <c r="BZ871" s="607">
        <f t="shared" si="2423"/>
        <v>0</v>
      </c>
      <c r="CA871" s="607">
        <f t="shared" si="2424"/>
        <v>0</v>
      </c>
      <c r="CB871" s="607">
        <f t="shared" si="2425"/>
        <v>0</v>
      </c>
      <c r="CC871" s="673">
        <f t="shared" si="2426"/>
        <v>0</v>
      </c>
      <c r="CD871" s="991">
        <f t="shared" si="2427"/>
        <v>0</v>
      </c>
      <c r="CE871" s="992">
        <f t="shared" si="2427"/>
        <v>0</v>
      </c>
      <c r="CF871" s="992">
        <f t="shared" si="2427"/>
        <v>0</v>
      </c>
      <c r="CG871" s="992">
        <f t="shared" si="2427"/>
        <v>0</v>
      </c>
      <c r="CH871" s="993">
        <f t="shared" si="2427"/>
        <v>0</v>
      </c>
      <c r="CI871" s="993">
        <f t="shared" si="2427"/>
        <v>0</v>
      </c>
      <c r="CJ871" s="992">
        <f t="shared" si="2427"/>
        <v>0</v>
      </c>
      <c r="CK871" s="992">
        <f t="shared" si="2427"/>
        <v>0</v>
      </c>
      <c r="CL871" s="992">
        <f t="shared" si="2427"/>
        <v>0</v>
      </c>
      <c r="CM871" s="991">
        <f t="shared" si="2427"/>
        <v>0</v>
      </c>
      <c r="CN871" s="1036" t="str">
        <f t="shared" si="2428"/>
        <v/>
      </c>
      <c r="CO871" s="1001" t="str">
        <f t="shared" si="2428"/>
        <v/>
      </c>
      <c r="CP871" s="1002" t="str">
        <f t="shared" si="2428"/>
        <v/>
      </c>
      <c r="CQ871" s="1002" t="str">
        <f t="shared" si="2428"/>
        <v/>
      </c>
      <c r="CR871" s="1002">
        <f t="shared" si="2428"/>
        <v>0</v>
      </c>
      <c r="CS871" s="1002">
        <f t="shared" si="2428"/>
        <v>0</v>
      </c>
      <c r="CT871" s="1002">
        <f t="shared" si="2428"/>
        <v>0</v>
      </c>
      <c r="CU871" s="1003">
        <f t="shared" si="2428"/>
        <v>0</v>
      </c>
      <c r="CV871" s="1003">
        <f t="shared" si="2428"/>
        <v>0</v>
      </c>
      <c r="CW871" s="1003">
        <f t="shared" si="2428"/>
        <v>0</v>
      </c>
      <c r="CX871" s="1002">
        <f t="shared" si="2428"/>
        <v>0</v>
      </c>
      <c r="CY871" s="1002">
        <f t="shared" si="2428"/>
        <v>0</v>
      </c>
      <c r="CZ871" s="1002">
        <f t="shared" si="2428"/>
        <v>0</v>
      </c>
      <c r="DA871" s="1002">
        <f t="shared" si="2428"/>
        <v>0</v>
      </c>
      <c r="DB871" s="1002" t="str">
        <f t="shared" si="2428"/>
        <v/>
      </c>
      <c r="DC871" s="1001" t="str">
        <f t="shared" si="2428"/>
        <v/>
      </c>
      <c r="DD871" s="1036" t="str">
        <f t="shared" si="2429"/>
        <v/>
      </c>
      <c r="DE871" s="635">
        <f t="shared" si="2430"/>
        <v>10</v>
      </c>
      <c r="DF871" s="95">
        <f t="shared" si="2431"/>
        <v>10</v>
      </c>
      <c r="DG871" s="95">
        <f t="shared" si="2432"/>
        <v>10</v>
      </c>
      <c r="DH871" s="95">
        <f t="shared" si="243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2482">SUM(C548)</f>
        <v>0</v>
      </c>
      <c r="D872" s="908">
        <f t="shared" si="2482"/>
        <v>0</v>
      </c>
      <c r="E872" s="908">
        <f t="shared" si="2482"/>
        <v>0</v>
      </c>
      <c r="F872" s="908">
        <f t="shared" si="2482"/>
        <v>0</v>
      </c>
      <c r="G872" s="908">
        <f t="shared" si="2482"/>
        <v>0</v>
      </c>
      <c r="H872" s="908">
        <f t="shared" si="2482"/>
        <v>0</v>
      </c>
      <c r="I872" s="908">
        <f t="shared" si="2482"/>
        <v>0</v>
      </c>
      <c r="J872" s="908">
        <f t="shared" si="2482"/>
        <v>0</v>
      </c>
      <c r="K872" s="908">
        <f t="shared" si="2482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2483">SUM(U548)</f>
        <v>0</v>
      </c>
      <c r="V872" s="908">
        <f t="shared" si="2483"/>
        <v>0</v>
      </c>
      <c r="W872" s="908">
        <f t="shared" si="2483"/>
        <v>0</v>
      </c>
      <c r="X872" s="908">
        <f t="shared" si="2483"/>
        <v>0</v>
      </c>
      <c r="Y872" s="908">
        <f t="shared" si="2483"/>
        <v>0</v>
      </c>
      <c r="Z872" s="908">
        <f t="shared" si="2483"/>
        <v>0</v>
      </c>
      <c r="AA872" s="908">
        <f t="shared" si="2483"/>
        <v>0</v>
      </c>
      <c r="AB872" s="908">
        <f t="shared" si="2483"/>
        <v>0</v>
      </c>
      <c r="AC872" s="908">
        <f t="shared" si="2483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2484">SUM(AM548)</f>
        <v>0</v>
      </c>
      <c r="AN872" s="908">
        <f t="shared" si="2484"/>
        <v>0</v>
      </c>
      <c r="AO872" s="908">
        <f t="shared" si="2484"/>
        <v>0</v>
      </c>
      <c r="AP872" s="908">
        <f t="shared" si="2484"/>
        <v>0</v>
      </c>
      <c r="AQ872" s="908">
        <f t="shared" si="2484"/>
        <v>0</v>
      </c>
      <c r="AR872" s="908">
        <f t="shared" si="2484"/>
        <v>0</v>
      </c>
      <c r="AS872" s="908">
        <f t="shared" si="2484"/>
        <v>0</v>
      </c>
      <c r="AT872" s="908">
        <f t="shared" si="2484"/>
        <v>0</v>
      </c>
      <c r="AU872" s="908">
        <f t="shared" si="2484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2485">SUM(BE548)</f>
        <v>0</v>
      </c>
      <c r="BF872" s="908">
        <f t="shared" si="2485"/>
        <v>0</v>
      </c>
      <c r="BG872" s="908">
        <f t="shared" si="2485"/>
        <v>0</v>
      </c>
      <c r="BH872" s="908">
        <f t="shared" si="2485"/>
        <v>0</v>
      </c>
      <c r="BI872" s="908">
        <f t="shared" si="2485"/>
        <v>0</v>
      </c>
      <c r="BJ872" s="908">
        <f t="shared" si="2485"/>
        <v>0</v>
      </c>
      <c r="BK872" s="908">
        <f t="shared" si="2485"/>
        <v>0</v>
      </c>
      <c r="BL872" s="908">
        <f t="shared" si="2485"/>
        <v>0</v>
      </c>
      <c r="BM872" s="908">
        <f t="shared" si="2485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>SUM(BV548)</f>
        <v>1.8313991282689912E-3</v>
      </c>
      <c r="BW872" s="908">
        <f>SUM(BW548)</f>
        <v>1.8313991282689912E-3</v>
      </c>
      <c r="BX872" s="908">
        <f>SUM(BX548)</f>
        <v>1.8313991282689912E-3</v>
      </c>
      <c r="BY872" s="908">
        <f>SUM(BY548)</f>
        <v>0</v>
      </c>
      <c r="BZ872" s="607">
        <f t="shared" si="2423"/>
        <v>0</v>
      </c>
      <c r="CA872" s="607">
        <f t="shared" si="2424"/>
        <v>0</v>
      </c>
      <c r="CB872" s="607">
        <f t="shared" si="2425"/>
        <v>0</v>
      </c>
      <c r="CC872" s="673">
        <f t="shared" si="2426"/>
        <v>0</v>
      </c>
      <c r="CD872" s="991">
        <f t="shared" si="2427"/>
        <v>0</v>
      </c>
      <c r="CE872" s="992">
        <f t="shared" si="2427"/>
        <v>0</v>
      </c>
      <c r="CF872" s="992">
        <f t="shared" si="2427"/>
        <v>0</v>
      </c>
      <c r="CG872" s="992">
        <f t="shared" si="2427"/>
        <v>0</v>
      </c>
      <c r="CH872" s="993">
        <f t="shared" si="2427"/>
        <v>0</v>
      </c>
      <c r="CI872" s="993">
        <f t="shared" si="2427"/>
        <v>0</v>
      </c>
      <c r="CJ872" s="992">
        <f t="shared" si="2427"/>
        <v>0</v>
      </c>
      <c r="CK872" s="992">
        <f t="shared" si="2427"/>
        <v>0</v>
      </c>
      <c r="CL872" s="992">
        <f t="shared" si="2427"/>
        <v>0</v>
      </c>
      <c r="CM872" s="991">
        <f t="shared" si="2427"/>
        <v>0</v>
      </c>
      <c r="CN872" s="1036" t="str">
        <f t="shared" si="2428"/>
        <v/>
      </c>
      <c r="CO872" s="1001" t="str">
        <f t="shared" si="2428"/>
        <v/>
      </c>
      <c r="CP872" s="1002" t="str">
        <f t="shared" si="2428"/>
        <v/>
      </c>
      <c r="CQ872" s="1002" t="str">
        <f t="shared" si="2428"/>
        <v/>
      </c>
      <c r="CR872" s="1002">
        <f t="shared" si="2428"/>
        <v>0</v>
      </c>
      <c r="CS872" s="1002">
        <f t="shared" si="2428"/>
        <v>0</v>
      </c>
      <c r="CT872" s="1002">
        <f t="shared" si="2428"/>
        <v>0</v>
      </c>
      <c r="CU872" s="1003">
        <f t="shared" si="2428"/>
        <v>0</v>
      </c>
      <c r="CV872" s="1003">
        <f t="shared" si="2428"/>
        <v>0</v>
      </c>
      <c r="CW872" s="1003">
        <f t="shared" si="2428"/>
        <v>0</v>
      </c>
      <c r="CX872" s="1002">
        <f t="shared" si="2428"/>
        <v>0</v>
      </c>
      <c r="CY872" s="1002">
        <f t="shared" si="2428"/>
        <v>0</v>
      </c>
      <c r="CZ872" s="1002">
        <f t="shared" si="2428"/>
        <v>0</v>
      </c>
      <c r="DA872" s="1002">
        <f t="shared" si="2428"/>
        <v>0</v>
      </c>
      <c r="DB872" s="1002" t="str">
        <f t="shared" si="2428"/>
        <v/>
      </c>
      <c r="DC872" s="1001" t="str">
        <f t="shared" si="2428"/>
        <v/>
      </c>
      <c r="DD872" s="1036" t="str">
        <f t="shared" si="2429"/>
        <v/>
      </c>
      <c r="DE872" s="635">
        <f t="shared" si="2430"/>
        <v>10</v>
      </c>
      <c r="DF872" s="95">
        <f t="shared" si="2431"/>
        <v>10</v>
      </c>
      <c r="DG872" s="95">
        <f t="shared" si="2432"/>
        <v>10</v>
      </c>
      <c r="DH872" s="95">
        <f t="shared" si="243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2486">SUM(C554)</f>
        <v>0</v>
      </c>
      <c r="D873" s="908">
        <f t="shared" si="2486"/>
        <v>0</v>
      </c>
      <c r="E873" s="908">
        <f t="shared" si="2486"/>
        <v>0</v>
      </c>
      <c r="F873" s="908">
        <f t="shared" si="2486"/>
        <v>0</v>
      </c>
      <c r="G873" s="908">
        <f t="shared" si="2486"/>
        <v>0</v>
      </c>
      <c r="H873" s="908">
        <f t="shared" si="2486"/>
        <v>0</v>
      </c>
      <c r="I873" s="908">
        <f t="shared" si="2486"/>
        <v>0</v>
      </c>
      <c r="J873" s="908">
        <f t="shared" si="2486"/>
        <v>0</v>
      </c>
      <c r="K873" s="908">
        <f t="shared" si="2486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2487">SUM(U554)</f>
        <v>0</v>
      </c>
      <c r="V873" s="908">
        <f t="shared" si="2487"/>
        <v>0</v>
      </c>
      <c r="W873" s="908">
        <f t="shared" si="2487"/>
        <v>0</v>
      </c>
      <c r="X873" s="908">
        <f t="shared" si="2487"/>
        <v>0</v>
      </c>
      <c r="Y873" s="908">
        <f t="shared" si="2487"/>
        <v>0</v>
      </c>
      <c r="Z873" s="908">
        <f t="shared" si="2487"/>
        <v>0</v>
      </c>
      <c r="AA873" s="908">
        <f t="shared" si="2487"/>
        <v>0</v>
      </c>
      <c r="AB873" s="908">
        <f t="shared" si="2487"/>
        <v>0</v>
      </c>
      <c r="AC873" s="908">
        <f t="shared" si="2487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2488">SUM(AM554)</f>
        <v>0</v>
      </c>
      <c r="AN873" s="908">
        <f t="shared" si="2488"/>
        <v>0</v>
      </c>
      <c r="AO873" s="908">
        <f t="shared" si="2488"/>
        <v>0</v>
      </c>
      <c r="AP873" s="908">
        <f t="shared" si="2488"/>
        <v>0</v>
      </c>
      <c r="AQ873" s="908">
        <f t="shared" si="2488"/>
        <v>0</v>
      </c>
      <c r="AR873" s="908">
        <f t="shared" si="2488"/>
        <v>0</v>
      </c>
      <c r="AS873" s="908">
        <f t="shared" si="2488"/>
        <v>0</v>
      </c>
      <c r="AT873" s="908">
        <f t="shared" si="2488"/>
        <v>0</v>
      </c>
      <c r="AU873" s="908">
        <f t="shared" si="2488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2489">SUM(BE554)</f>
        <v>0</v>
      </c>
      <c r="BF873" s="908">
        <f t="shared" si="2489"/>
        <v>0</v>
      </c>
      <c r="BG873" s="908">
        <f t="shared" si="2489"/>
        <v>0</v>
      </c>
      <c r="BH873" s="908">
        <f t="shared" si="2489"/>
        <v>0</v>
      </c>
      <c r="BI873" s="908">
        <f t="shared" si="2489"/>
        <v>0</v>
      </c>
      <c r="BJ873" s="908">
        <f t="shared" si="2489"/>
        <v>0</v>
      </c>
      <c r="BK873" s="908">
        <f t="shared" si="2489"/>
        <v>0</v>
      </c>
      <c r="BL873" s="908">
        <f t="shared" si="2489"/>
        <v>0</v>
      </c>
      <c r="BM873" s="908">
        <f t="shared" si="2489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>SUM(BV554)</f>
        <v>1.7245132004981318E-3</v>
      </c>
      <c r="BW873" s="908">
        <f>SUM(BW554)</f>
        <v>1.7245132004981318E-3</v>
      </c>
      <c r="BX873" s="908">
        <f>SUM(BX554)</f>
        <v>1.7245132004981318E-3</v>
      </c>
      <c r="BY873" s="908">
        <f>SUM(BY554)</f>
        <v>0</v>
      </c>
      <c r="BZ873" s="607">
        <f t="shared" si="2423"/>
        <v>0</v>
      </c>
      <c r="CA873" s="607">
        <f t="shared" si="2424"/>
        <v>0</v>
      </c>
      <c r="CB873" s="607">
        <f t="shared" si="2425"/>
        <v>0</v>
      </c>
      <c r="CC873" s="673">
        <f t="shared" si="2426"/>
        <v>0</v>
      </c>
      <c r="CD873" s="991">
        <f t="shared" si="2427"/>
        <v>0</v>
      </c>
      <c r="CE873" s="992">
        <f t="shared" si="2427"/>
        <v>0</v>
      </c>
      <c r="CF873" s="992">
        <f t="shared" si="2427"/>
        <v>0</v>
      </c>
      <c r="CG873" s="992">
        <f t="shared" si="2427"/>
        <v>0</v>
      </c>
      <c r="CH873" s="993">
        <f t="shared" si="2427"/>
        <v>0</v>
      </c>
      <c r="CI873" s="993">
        <f t="shared" si="2427"/>
        <v>0</v>
      </c>
      <c r="CJ873" s="992">
        <f t="shared" si="2427"/>
        <v>0</v>
      </c>
      <c r="CK873" s="992">
        <f t="shared" si="2427"/>
        <v>0</v>
      </c>
      <c r="CL873" s="992">
        <f t="shared" si="2427"/>
        <v>0</v>
      </c>
      <c r="CM873" s="991">
        <f t="shared" si="2427"/>
        <v>0</v>
      </c>
      <c r="CN873" s="1036" t="str">
        <f t="shared" si="2428"/>
        <v/>
      </c>
      <c r="CO873" s="1001" t="str">
        <f t="shared" si="2428"/>
        <v/>
      </c>
      <c r="CP873" s="1002" t="str">
        <f t="shared" si="2428"/>
        <v/>
      </c>
      <c r="CQ873" s="1002" t="str">
        <f t="shared" si="2428"/>
        <v/>
      </c>
      <c r="CR873" s="1002">
        <f t="shared" si="2428"/>
        <v>0</v>
      </c>
      <c r="CS873" s="1002">
        <f t="shared" si="2428"/>
        <v>0</v>
      </c>
      <c r="CT873" s="1002">
        <f t="shared" si="2428"/>
        <v>0</v>
      </c>
      <c r="CU873" s="1003">
        <f t="shared" si="2428"/>
        <v>0</v>
      </c>
      <c r="CV873" s="1003">
        <f t="shared" si="2428"/>
        <v>0</v>
      </c>
      <c r="CW873" s="1003">
        <f t="shared" si="2428"/>
        <v>0</v>
      </c>
      <c r="CX873" s="1002">
        <f t="shared" si="2428"/>
        <v>0</v>
      </c>
      <c r="CY873" s="1002">
        <f t="shared" si="2428"/>
        <v>0</v>
      </c>
      <c r="CZ873" s="1002">
        <f t="shared" si="2428"/>
        <v>0</v>
      </c>
      <c r="DA873" s="1002">
        <f t="shared" si="2428"/>
        <v>0</v>
      </c>
      <c r="DB873" s="1002" t="str">
        <f t="shared" si="2428"/>
        <v/>
      </c>
      <c r="DC873" s="1001" t="str">
        <f t="shared" si="2428"/>
        <v/>
      </c>
      <c r="DD873" s="1036" t="str">
        <f t="shared" si="2429"/>
        <v/>
      </c>
      <c r="DE873" s="635">
        <f t="shared" si="2430"/>
        <v>10</v>
      </c>
      <c r="DF873" s="95">
        <f t="shared" si="2431"/>
        <v>10</v>
      </c>
      <c r="DG873" s="95">
        <f t="shared" si="2432"/>
        <v>10</v>
      </c>
      <c r="DH873" s="95">
        <f t="shared" si="243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2490">SUM(C560)</f>
        <v>0</v>
      </c>
      <c r="D874" s="908">
        <f t="shared" si="2490"/>
        <v>0</v>
      </c>
      <c r="E874" s="908">
        <f t="shared" si="2490"/>
        <v>0</v>
      </c>
      <c r="F874" s="908">
        <f t="shared" si="2490"/>
        <v>0</v>
      </c>
      <c r="G874" s="908">
        <f t="shared" si="2490"/>
        <v>0</v>
      </c>
      <c r="H874" s="908">
        <f t="shared" si="2490"/>
        <v>0</v>
      </c>
      <c r="I874" s="908">
        <f t="shared" si="2490"/>
        <v>0</v>
      </c>
      <c r="J874" s="908">
        <f t="shared" si="2490"/>
        <v>0</v>
      </c>
      <c r="K874" s="908">
        <f t="shared" si="2490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2491">SUM(U560)</f>
        <v>0</v>
      </c>
      <c r="V874" s="908">
        <f t="shared" si="2491"/>
        <v>0</v>
      </c>
      <c r="W874" s="908">
        <f t="shared" si="2491"/>
        <v>0</v>
      </c>
      <c r="X874" s="908">
        <f t="shared" si="2491"/>
        <v>0</v>
      </c>
      <c r="Y874" s="908">
        <f t="shared" si="2491"/>
        <v>0</v>
      </c>
      <c r="Z874" s="908">
        <f t="shared" si="2491"/>
        <v>0</v>
      </c>
      <c r="AA874" s="908">
        <f t="shared" si="2491"/>
        <v>0</v>
      </c>
      <c r="AB874" s="908">
        <f t="shared" si="2491"/>
        <v>0</v>
      </c>
      <c r="AC874" s="908">
        <f t="shared" si="2491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2492">SUM(AM560)</f>
        <v>0</v>
      </c>
      <c r="AN874" s="908">
        <f t="shared" si="2492"/>
        <v>0</v>
      </c>
      <c r="AO874" s="908">
        <f t="shared" si="2492"/>
        <v>0</v>
      </c>
      <c r="AP874" s="908">
        <f t="shared" si="2492"/>
        <v>0</v>
      </c>
      <c r="AQ874" s="908">
        <f t="shared" si="2492"/>
        <v>0</v>
      </c>
      <c r="AR874" s="908">
        <f t="shared" si="2492"/>
        <v>0</v>
      </c>
      <c r="AS874" s="908">
        <f t="shared" si="2492"/>
        <v>0</v>
      </c>
      <c r="AT874" s="908">
        <f t="shared" si="2492"/>
        <v>0</v>
      </c>
      <c r="AU874" s="908">
        <f t="shared" si="2492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2493">SUM(BE560)</f>
        <v>0</v>
      </c>
      <c r="BF874" s="908">
        <f t="shared" si="2493"/>
        <v>0</v>
      </c>
      <c r="BG874" s="908">
        <f t="shared" si="2493"/>
        <v>0</v>
      </c>
      <c r="BH874" s="908">
        <f t="shared" si="2493"/>
        <v>0</v>
      </c>
      <c r="BI874" s="908">
        <f t="shared" si="2493"/>
        <v>0</v>
      </c>
      <c r="BJ874" s="908">
        <f t="shared" si="2493"/>
        <v>0</v>
      </c>
      <c r="BK874" s="908">
        <f t="shared" si="2493"/>
        <v>0</v>
      </c>
      <c r="BL874" s="908">
        <f t="shared" si="2493"/>
        <v>0</v>
      </c>
      <c r="BM874" s="908">
        <f t="shared" si="2493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>SUM(BV560)</f>
        <v>7.8209215442092154E-4</v>
      </c>
      <c r="BW874" s="908">
        <f>SUM(BW560)</f>
        <v>7.8209215442092154E-4</v>
      </c>
      <c r="BX874" s="908">
        <f>SUM(BX560)</f>
        <v>7.8209215442092154E-4</v>
      </c>
      <c r="BY874" s="908">
        <f>SUM(BY560)</f>
        <v>0</v>
      </c>
      <c r="BZ874" s="607">
        <f t="shared" si="2423"/>
        <v>0</v>
      </c>
      <c r="CA874" s="607">
        <f t="shared" si="2424"/>
        <v>0</v>
      </c>
      <c r="CB874" s="607">
        <f t="shared" si="2425"/>
        <v>0</v>
      </c>
      <c r="CC874" s="673">
        <f t="shared" si="2426"/>
        <v>0</v>
      </c>
      <c r="CD874" s="991">
        <f t="shared" si="2427"/>
        <v>0</v>
      </c>
      <c r="CE874" s="992">
        <f t="shared" si="2427"/>
        <v>0</v>
      </c>
      <c r="CF874" s="992">
        <f t="shared" si="2427"/>
        <v>0</v>
      </c>
      <c r="CG874" s="992">
        <f t="shared" si="2427"/>
        <v>0</v>
      </c>
      <c r="CH874" s="993">
        <f t="shared" si="2427"/>
        <v>0</v>
      </c>
      <c r="CI874" s="993">
        <f t="shared" si="2427"/>
        <v>0</v>
      </c>
      <c r="CJ874" s="992">
        <f t="shared" si="2427"/>
        <v>0</v>
      </c>
      <c r="CK874" s="992">
        <f t="shared" si="2427"/>
        <v>0</v>
      </c>
      <c r="CL874" s="992">
        <f t="shared" si="2427"/>
        <v>0</v>
      </c>
      <c r="CM874" s="991">
        <f t="shared" si="2427"/>
        <v>0</v>
      </c>
      <c r="CN874" s="1036" t="str">
        <f t="shared" si="2428"/>
        <v/>
      </c>
      <c r="CO874" s="1001" t="str">
        <f t="shared" si="2428"/>
        <v/>
      </c>
      <c r="CP874" s="1002" t="str">
        <f t="shared" si="2428"/>
        <v/>
      </c>
      <c r="CQ874" s="1002" t="str">
        <f t="shared" si="2428"/>
        <v/>
      </c>
      <c r="CR874" s="1002">
        <f t="shared" si="2428"/>
        <v>0</v>
      </c>
      <c r="CS874" s="1002">
        <f t="shared" si="2428"/>
        <v>0</v>
      </c>
      <c r="CT874" s="1002">
        <f t="shared" si="2428"/>
        <v>0</v>
      </c>
      <c r="CU874" s="1003">
        <f t="shared" si="2428"/>
        <v>0</v>
      </c>
      <c r="CV874" s="1003">
        <f t="shared" si="2428"/>
        <v>0</v>
      </c>
      <c r="CW874" s="1003">
        <f t="shared" si="2428"/>
        <v>0</v>
      </c>
      <c r="CX874" s="1002">
        <f t="shared" si="2428"/>
        <v>0</v>
      </c>
      <c r="CY874" s="1002">
        <f t="shared" si="2428"/>
        <v>0</v>
      </c>
      <c r="CZ874" s="1002">
        <f t="shared" si="2428"/>
        <v>0</v>
      </c>
      <c r="DA874" s="1002">
        <f t="shared" si="2428"/>
        <v>0</v>
      </c>
      <c r="DB874" s="1002" t="str">
        <f t="shared" si="2428"/>
        <v/>
      </c>
      <c r="DC874" s="1001" t="str">
        <f t="shared" ref="DC874:DC887" si="249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2429"/>
        <v/>
      </c>
      <c r="DE874" s="635">
        <f t="shared" si="2430"/>
        <v>10</v>
      </c>
      <c r="DF874" s="95">
        <f t="shared" si="2431"/>
        <v>10</v>
      </c>
      <c r="DG874" s="95">
        <f t="shared" si="2432"/>
        <v>10</v>
      </c>
      <c r="DH874" s="95">
        <f t="shared" si="243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2495">SUM(C566)</f>
        <v>0</v>
      </c>
      <c r="D875" s="908">
        <f t="shared" si="2495"/>
        <v>0</v>
      </c>
      <c r="E875" s="908">
        <f t="shared" si="2495"/>
        <v>0</v>
      </c>
      <c r="F875" s="908">
        <f t="shared" si="2495"/>
        <v>0</v>
      </c>
      <c r="G875" s="908">
        <f t="shared" si="2495"/>
        <v>0</v>
      </c>
      <c r="H875" s="908">
        <f t="shared" si="2495"/>
        <v>0</v>
      </c>
      <c r="I875" s="908">
        <f t="shared" si="2495"/>
        <v>0</v>
      </c>
      <c r="J875" s="908">
        <f t="shared" si="2495"/>
        <v>0</v>
      </c>
      <c r="K875" s="908">
        <f t="shared" si="2495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2496">SUM(U566)</f>
        <v>0</v>
      </c>
      <c r="V875" s="908">
        <f t="shared" si="2496"/>
        <v>0</v>
      </c>
      <c r="W875" s="908">
        <f t="shared" si="2496"/>
        <v>0</v>
      </c>
      <c r="X875" s="908">
        <f t="shared" si="2496"/>
        <v>0</v>
      </c>
      <c r="Y875" s="908">
        <f t="shared" si="2496"/>
        <v>0</v>
      </c>
      <c r="Z875" s="908">
        <f t="shared" si="2496"/>
        <v>0</v>
      </c>
      <c r="AA875" s="908">
        <f t="shared" si="2496"/>
        <v>0</v>
      </c>
      <c r="AB875" s="908">
        <f t="shared" si="2496"/>
        <v>0</v>
      </c>
      <c r="AC875" s="908">
        <f t="shared" si="2496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2497">SUM(AM566)</f>
        <v>0</v>
      </c>
      <c r="AN875" s="908">
        <f t="shared" si="2497"/>
        <v>0</v>
      </c>
      <c r="AO875" s="908">
        <f t="shared" si="2497"/>
        <v>0</v>
      </c>
      <c r="AP875" s="908">
        <f t="shared" si="2497"/>
        <v>0</v>
      </c>
      <c r="AQ875" s="908">
        <f t="shared" si="2497"/>
        <v>0</v>
      </c>
      <c r="AR875" s="908">
        <f t="shared" si="2497"/>
        <v>0</v>
      </c>
      <c r="AS875" s="908">
        <f t="shared" si="2497"/>
        <v>0</v>
      </c>
      <c r="AT875" s="908">
        <f t="shared" si="2497"/>
        <v>0</v>
      </c>
      <c r="AU875" s="908">
        <f t="shared" si="2497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2498">SUM(BE566)</f>
        <v>0</v>
      </c>
      <c r="BF875" s="908">
        <f t="shared" si="2498"/>
        <v>0</v>
      </c>
      <c r="BG875" s="908">
        <f t="shared" si="2498"/>
        <v>0</v>
      </c>
      <c r="BH875" s="908">
        <f t="shared" si="2498"/>
        <v>0</v>
      </c>
      <c r="BI875" s="908">
        <f t="shared" si="2498"/>
        <v>0</v>
      </c>
      <c r="BJ875" s="908">
        <f t="shared" si="2498"/>
        <v>0</v>
      </c>
      <c r="BK875" s="908">
        <f t="shared" si="2498"/>
        <v>0</v>
      </c>
      <c r="BL875" s="908">
        <f t="shared" si="2498"/>
        <v>0</v>
      </c>
      <c r="BM875" s="908">
        <f t="shared" si="2498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>SUM(BV566)</f>
        <v>1.8770211706102117E-3</v>
      </c>
      <c r="BW875" s="908">
        <f>SUM(BW566)</f>
        <v>1.8770211706102117E-3</v>
      </c>
      <c r="BX875" s="908">
        <f>SUM(BX566)</f>
        <v>1.8770211706102117E-3</v>
      </c>
      <c r="BY875" s="908">
        <f>SUM(BY566)</f>
        <v>0</v>
      </c>
      <c r="BZ875" s="607">
        <f t="shared" si="2423"/>
        <v>0</v>
      </c>
      <c r="CA875" s="607">
        <f t="shared" si="2424"/>
        <v>0</v>
      </c>
      <c r="CB875" s="607">
        <f t="shared" si="2425"/>
        <v>0</v>
      </c>
      <c r="CC875" s="673">
        <f t="shared" si="2426"/>
        <v>0</v>
      </c>
      <c r="CD875" s="991">
        <f t="shared" ref="CD875:CM887" si="249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2499"/>
        <v>0</v>
      </c>
      <c r="CF875" s="992">
        <f t="shared" si="2499"/>
        <v>0</v>
      </c>
      <c r="CG875" s="992">
        <f t="shared" si="2499"/>
        <v>0</v>
      </c>
      <c r="CH875" s="993">
        <f t="shared" si="2499"/>
        <v>0</v>
      </c>
      <c r="CI875" s="993">
        <f t="shared" si="2499"/>
        <v>0</v>
      </c>
      <c r="CJ875" s="992">
        <f t="shared" si="2499"/>
        <v>0</v>
      </c>
      <c r="CK875" s="992">
        <f t="shared" si="2499"/>
        <v>0</v>
      </c>
      <c r="CL875" s="992">
        <f t="shared" si="2499"/>
        <v>0</v>
      </c>
      <c r="CM875" s="991">
        <f t="shared" si="2499"/>
        <v>0</v>
      </c>
      <c r="CN875" s="1036" t="str">
        <f t="shared" ref="CN875:DB887" si="250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2500"/>
        <v/>
      </c>
      <c r="CP875" s="1002" t="str">
        <f t="shared" si="2500"/>
        <v/>
      </c>
      <c r="CQ875" s="1002" t="str">
        <f t="shared" si="2500"/>
        <v/>
      </c>
      <c r="CR875" s="1002">
        <f t="shared" si="2500"/>
        <v>0</v>
      </c>
      <c r="CS875" s="1002">
        <f t="shared" si="2500"/>
        <v>0</v>
      </c>
      <c r="CT875" s="1002">
        <f t="shared" si="2500"/>
        <v>0</v>
      </c>
      <c r="CU875" s="1003">
        <f t="shared" si="2500"/>
        <v>0</v>
      </c>
      <c r="CV875" s="1003">
        <f t="shared" si="2500"/>
        <v>0</v>
      </c>
      <c r="CW875" s="1003">
        <f t="shared" si="2500"/>
        <v>0</v>
      </c>
      <c r="CX875" s="1002">
        <f t="shared" si="2500"/>
        <v>0</v>
      </c>
      <c r="CY875" s="1002">
        <f t="shared" si="2500"/>
        <v>0</v>
      </c>
      <c r="CZ875" s="1002">
        <f t="shared" si="2500"/>
        <v>0</v>
      </c>
      <c r="DA875" s="1002">
        <f t="shared" si="2500"/>
        <v>0</v>
      </c>
      <c r="DB875" s="1002" t="str">
        <f t="shared" si="2500"/>
        <v/>
      </c>
      <c r="DC875" s="1001" t="str">
        <f t="shared" si="2494"/>
        <v/>
      </c>
      <c r="DD875" s="1036" t="str">
        <f t="shared" si="2429"/>
        <v/>
      </c>
      <c r="DE875" s="635">
        <f t="shared" si="2430"/>
        <v>10</v>
      </c>
      <c r="DF875" s="95">
        <f t="shared" si="2431"/>
        <v>10</v>
      </c>
      <c r="DG875" s="95">
        <f t="shared" si="2432"/>
        <v>10</v>
      </c>
      <c r="DH875" s="95">
        <f t="shared" si="243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2501">SUM(C572)</f>
        <v>0</v>
      </c>
      <c r="D876" s="908">
        <f t="shared" si="2501"/>
        <v>0</v>
      </c>
      <c r="E876" s="908">
        <f t="shared" si="2501"/>
        <v>0</v>
      </c>
      <c r="F876" s="908">
        <f t="shared" si="2501"/>
        <v>0</v>
      </c>
      <c r="G876" s="908">
        <f t="shared" si="2501"/>
        <v>0</v>
      </c>
      <c r="H876" s="908">
        <f t="shared" si="2501"/>
        <v>0</v>
      </c>
      <c r="I876" s="908">
        <f t="shared" si="2501"/>
        <v>0</v>
      </c>
      <c r="J876" s="908">
        <f t="shared" si="2501"/>
        <v>0</v>
      </c>
      <c r="K876" s="908">
        <f t="shared" si="250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2502">SUM(U572)</f>
        <v>0</v>
      </c>
      <c r="V876" s="908">
        <f t="shared" si="2502"/>
        <v>0</v>
      </c>
      <c r="W876" s="908">
        <f t="shared" si="2502"/>
        <v>0</v>
      </c>
      <c r="X876" s="908">
        <f t="shared" si="2502"/>
        <v>0</v>
      </c>
      <c r="Y876" s="908">
        <f t="shared" si="2502"/>
        <v>0</v>
      </c>
      <c r="Z876" s="908">
        <f t="shared" si="2502"/>
        <v>0</v>
      </c>
      <c r="AA876" s="908">
        <f t="shared" si="2502"/>
        <v>0</v>
      </c>
      <c r="AB876" s="908">
        <f t="shared" si="2502"/>
        <v>0</v>
      </c>
      <c r="AC876" s="908">
        <f t="shared" si="250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2503">SUM(AM572)</f>
        <v>0</v>
      </c>
      <c r="AN876" s="908">
        <f t="shared" si="2503"/>
        <v>0</v>
      </c>
      <c r="AO876" s="908">
        <f t="shared" si="2503"/>
        <v>0</v>
      </c>
      <c r="AP876" s="908">
        <f t="shared" si="2503"/>
        <v>0</v>
      </c>
      <c r="AQ876" s="908">
        <f t="shared" si="2503"/>
        <v>0</v>
      </c>
      <c r="AR876" s="908">
        <f t="shared" si="2503"/>
        <v>0</v>
      </c>
      <c r="AS876" s="908">
        <f t="shared" si="2503"/>
        <v>0</v>
      </c>
      <c r="AT876" s="908">
        <f t="shared" si="2503"/>
        <v>0</v>
      </c>
      <c r="AU876" s="908">
        <f t="shared" si="250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2504">SUM(BE572)</f>
        <v>0</v>
      </c>
      <c r="BF876" s="908">
        <f t="shared" si="2504"/>
        <v>0</v>
      </c>
      <c r="BG876" s="908">
        <f t="shared" si="2504"/>
        <v>0</v>
      </c>
      <c r="BH876" s="908">
        <f t="shared" si="2504"/>
        <v>0</v>
      </c>
      <c r="BI876" s="908">
        <f t="shared" si="2504"/>
        <v>0</v>
      </c>
      <c r="BJ876" s="908">
        <f t="shared" si="2504"/>
        <v>0</v>
      </c>
      <c r="BK876" s="908">
        <f t="shared" si="2504"/>
        <v>0</v>
      </c>
      <c r="BL876" s="908">
        <f t="shared" si="2504"/>
        <v>0</v>
      </c>
      <c r="BM876" s="908">
        <f t="shared" si="250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>SUM(BV572)</f>
        <v>0</v>
      </c>
      <c r="BW876" s="908">
        <f>SUM(BW572)</f>
        <v>0</v>
      </c>
      <c r="BX876" s="908">
        <f>SUM(BX572)</f>
        <v>0</v>
      </c>
      <c r="BY876" s="908">
        <f>SUM(BY572)</f>
        <v>0</v>
      </c>
      <c r="BZ876" s="607">
        <f t="shared" si="2423"/>
        <v>0</v>
      </c>
      <c r="CA876" s="607">
        <f t="shared" si="2424"/>
        <v>0</v>
      </c>
      <c r="CB876" s="607">
        <f t="shared" si="2425"/>
        <v>0</v>
      </c>
      <c r="CC876" s="673">
        <f t="shared" si="2426"/>
        <v>0</v>
      </c>
      <c r="CD876" s="991">
        <f t="shared" si="2499"/>
        <v>0</v>
      </c>
      <c r="CE876" s="992">
        <f t="shared" si="2499"/>
        <v>0</v>
      </c>
      <c r="CF876" s="992">
        <f t="shared" si="2499"/>
        <v>0</v>
      </c>
      <c r="CG876" s="992">
        <f t="shared" si="2499"/>
        <v>0</v>
      </c>
      <c r="CH876" s="993">
        <f t="shared" si="2499"/>
        <v>0</v>
      </c>
      <c r="CI876" s="993">
        <f t="shared" si="2499"/>
        <v>0</v>
      </c>
      <c r="CJ876" s="992">
        <f t="shared" si="2499"/>
        <v>0</v>
      </c>
      <c r="CK876" s="992">
        <f t="shared" si="2499"/>
        <v>0</v>
      </c>
      <c r="CL876" s="992">
        <f t="shared" si="2499"/>
        <v>0</v>
      </c>
      <c r="CM876" s="991">
        <f t="shared" si="2499"/>
        <v>0</v>
      </c>
      <c r="CN876" s="1036" t="str">
        <f t="shared" si="2500"/>
        <v/>
      </c>
      <c r="CO876" s="1001" t="str">
        <f t="shared" si="2500"/>
        <v/>
      </c>
      <c r="CP876" s="1002" t="str">
        <f t="shared" si="2500"/>
        <v/>
      </c>
      <c r="CQ876" s="1002" t="str">
        <f t="shared" si="2500"/>
        <v/>
      </c>
      <c r="CR876" s="1002">
        <f t="shared" si="2500"/>
        <v>0</v>
      </c>
      <c r="CS876" s="1002">
        <f t="shared" si="2500"/>
        <v>0</v>
      </c>
      <c r="CT876" s="1002">
        <f t="shared" si="2500"/>
        <v>0</v>
      </c>
      <c r="CU876" s="1003">
        <f t="shared" si="2500"/>
        <v>0</v>
      </c>
      <c r="CV876" s="1003">
        <f t="shared" si="2500"/>
        <v>0</v>
      </c>
      <c r="CW876" s="1003">
        <f t="shared" si="2500"/>
        <v>0</v>
      </c>
      <c r="CX876" s="1002">
        <f t="shared" si="2500"/>
        <v>0</v>
      </c>
      <c r="CY876" s="1002">
        <f t="shared" si="2500"/>
        <v>0</v>
      </c>
      <c r="CZ876" s="1002">
        <f t="shared" si="2500"/>
        <v>0</v>
      </c>
      <c r="DA876" s="1002">
        <f t="shared" si="2500"/>
        <v>0</v>
      </c>
      <c r="DB876" s="1002" t="str">
        <f t="shared" si="2500"/>
        <v/>
      </c>
      <c r="DC876" s="1001" t="str">
        <f t="shared" si="2494"/>
        <v/>
      </c>
      <c r="DD876" s="1036" t="str">
        <f t="shared" si="2429"/>
        <v/>
      </c>
      <c r="DE876" s="635">
        <f t="shared" si="2430"/>
        <v>10</v>
      </c>
      <c r="DF876" s="95">
        <f t="shared" si="2431"/>
        <v>10</v>
      </c>
      <c r="DG876" s="95">
        <f t="shared" si="2432"/>
        <v>10</v>
      </c>
      <c r="DH876" s="95">
        <f t="shared" si="243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2505">SUM(C578)</f>
        <v>0</v>
      </c>
      <c r="D877" s="908">
        <f t="shared" si="2505"/>
        <v>0</v>
      </c>
      <c r="E877" s="908">
        <f t="shared" si="2505"/>
        <v>0</v>
      </c>
      <c r="F877" s="908">
        <f t="shared" si="2505"/>
        <v>0</v>
      </c>
      <c r="G877" s="908">
        <f t="shared" si="2505"/>
        <v>0</v>
      </c>
      <c r="H877" s="908">
        <f t="shared" si="2505"/>
        <v>0</v>
      </c>
      <c r="I877" s="908">
        <f t="shared" si="2505"/>
        <v>0</v>
      </c>
      <c r="J877" s="908">
        <f t="shared" si="2505"/>
        <v>0</v>
      </c>
      <c r="K877" s="908">
        <f t="shared" si="2505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2506">SUM(U578)</f>
        <v>0</v>
      </c>
      <c r="V877" s="908">
        <f t="shared" si="2506"/>
        <v>0</v>
      </c>
      <c r="W877" s="908">
        <f t="shared" si="2506"/>
        <v>0</v>
      </c>
      <c r="X877" s="908">
        <f t="shared" si="2506"/>
        <v>0</v>
      </c>
      <c r="Y877" s="908">
        <f t="shared" si="2506"/>
        <v>0</v>
      </c>
      <c r="Z877" s="908">
        <f t="shared" si="2506"/>
        <v>0</v>
      </c>
      <c r="AA877" s="908">
        <f t="shared" si="2506"/>
        <v>0</v>
      </c>
      <c r="AB877" s="908">
        <f t="shared" si="2506"/>
        <v>0</v>
      </c>
      <c r="AC877" s="908">
        <f t="shared" si="2506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2507">SUM(AM578)</f>
        <v>0</v>
      </c>
      <c r="AN877" s="908">
        <f t="shared" si="2507"/>
        <v>0</v>
      </c>
      <c r="AO877" s="908">
        <f t="shared" si="2507"/>
        <v>0</v>
      </c>
      <c r="AP877" s="908">
        <f t="shared" si="2507"/>
        <v>0</v>
      </c>
      <c r="AQ877" s="908">
        <f t="shared" si="2507"/>
        <v>0</v>
      </c>
      <c r="AR877" s="908">
        <f t="shared" si="2507"/>
        <v>0</v>
      </c>
      <c r="AS877" s="908">
        <f t="shared" si="2507"/>
        <v>0</v>
      </c>
      <c r="AT877" s="908">
        <f t="shared" si="2507"/>
        <v>0</v>
      </c>
      <c r="AU877" s="908">
        <f t="shared" si="2507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2508">SUM(BE578)</f>
        <v>0</v>
      </c>
      <c r="BF877" s="908">
        <f t="shared" si="2508"/>
        <v>0</v>
      </c>
      <c r="BG877" s="908">
        <f t="shared" si="2508"/>
        <v>0</v>
      </c>
      <c r="BH877" s="908">
        <f t="shared" si="2508"/>
        <v>0</v>
      </c>
      <c r="BI877" s="908">
        <f t="shared" si="2508"/>
        <v>0</v>
      </c>
      <c r="BJ877" s="908">
        <f t="shared" si="2508"/>
        <v>0</v>
      </c>
      <c r="BK877" s="908">
        <f t="shared" si="2508"/>
        <v>0</v>
      </c>
      <c r="BL877" s="908">
        <f t="shared" si="2508"/>
        <v>0</v>
      </c>
      <c r="BM877" s="908">
        <f t="shared" si="2508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>SUM(BV578)</f>
        <v>8.9940597758405975E-4</v>
      </c>
      <c r="BW877" s="908">
        <f>SUM(BW578)</f>
        <v>8.9940597758405975E-4</v>
      </c>
      <c r="BX877" s="908">
        <f>SUM(BX578)</f>
        <v>8.9940597758405975E-4</v>
      </c>
      <c r="BY877" s="908">
        <f>SUM(BY578)</f>
        <v>0</v>
      </c>
      <c r="BZ877" s="607">
        <f t="shared" si="2423"/>
        <v>0</v>
      </c>
      <c r="CA877" s="607">
        <f t="shared" si="2424"/>
        <v>0</v>
      </c>
      <c r="CB877" s="607">
        <f t="shared" si="2425"/>
        <v>0</v>
      </c>
      <c r="CC877" s="673">
        <f t="shared" si="2426"/>
        <v>0</v>
      </c>
      <c r="CD877" s="991">
        <f t="shared" si="2499"/>
        <v>0</v>
      </c>
      <c r="CE877" s="992">
        <f t="shared" si="2499"/>
        <v>0</v>
      </c>
      <c r="CF877" s="992">
        <f t="shared" si="2499"/>
        <v>0</v>
      </c>
      <c r="CG877" s="992">
        <f t="shared" si="2499"/>
        <v>0</v>
      </c>
      <c r="CH877" s="993">
        <f t="shared" si="2499"/>
        <v>0</v>
      </c>
      <c r="CI877" s="993">
        <f t="shared" si="2499"/>
        <v>0</v>
      </c>
      <c r="CJ877" s="992">
        <f t="shared" si="2499"/>
        <v>0</v>
      </c>
      <c r="CK877" s="992">
        <f t="shared" si="2499"/>
        <v>0</v>
      </c>
      <c r="CL877" s="992">
        <f t="shared" si="2499"/>
        <v>0</v>
      </c>
      <c r="CM877" s="991">
        <f t="shared" si="2499"/>
        <v>0</v>
      </c>
      <c r="CN877" s="1036" t="str">
        <f t="shared" si="2500"/>
        <v/>
      </c>
      <c r="CO877" s="1001" t="str">
        <f t="shared" si="2500"/>
        <v/>
      </c>
      <c r="CP877" s="1002" t="str">
        <f t="shared" si="2500"/>
        <v/>
      </c>
      <c r="CQ877" s="1002" t="str">
        <f t="shared" si="2500"/>
        <v/>
      </c>
      <c r="CR877" s="1002">
        <f t="shared" si="2500"/>
        <v>0</v>
      </c>
      <c r="CS877" s="1002">
        <f t="shared" si="2500"/>
        <v>0</v>
      </c>
      <c r="CT877" s="1002">
        <f t="shared" si="2500"/>
        <v>0</v>
      </c>
      <c r="CU877" s="1003">
        <f t="shared" si="2500"/>
        <v>0</v>
      </c>
      <c r="CV877" s="1003">
        <f t="shared" si="2500"/>
        <v>0</v>
      </c>
      <c r="CW877" s="1003">
        <f t="shared" si="2500"/>
        <v>0</v>
      </c>
      <c r="CX877" s="1002">
        <f t="shared" si="2500"/>
        <v>0</v>
      </c>
      <c r="CY877" s="1002">
        <f t="shared" si="2500"/>
        <v>0</v>
      </c>
      <c r="CZ877" s="1002">
        <f t="shared" si="2500"/>
        <v>0</v>
      </c>
      <c r="DA877" s="1002">
        <f t="shared" si="2500"/>
        <v>0</v>
      </c>
      <c r="DB877" s="1002" t="str">
        <f t="shared" si="2500"/>
        <v/>
      </c>
      <c r="DC877" s="1001" t="str">
        <f t="shared" si="2494"/>
        <v/>
      </c>
      <c r="DD877" s="1036" t="str">
        <f t="shared" si="2429"/>
        <v/>
      </c>
      <c r="DE877" s="635">
        <f t="shared" si="2430"/>
        <v>10</v>
      </c>
      <c r="DF877" s="95">
        <f t="shared" si="2431"/>
        <v>10</v>
      </c>
      <c r="DG877" s="95">
        <f t="shared" si="2432"/>
        <v>10</v>
      </c>
      <c r="DH877" s="95">
        <f t="shared" si="243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2509">SUM(C584)</f>
        <v>0</v>
      </c>
      <c r="D878" s="908">
        <f t="shared" si="2509"/>
        <v>0</v>
      </c>
      <c r="E878" s="908">
        <f t="shared" si="2509"/>
        <v>0</v>
      </c>
      <c r="F878" s="908">
        <f t="shared" si="2509"/>
        <v>0</v>
      </c>
      <c r="G878" s="908">
        <f t="shared" si="2509"/>
        <v>0</v>
      </c>
      <c r="H878" s="908">
        <f t="shared" si="2509"/>
        <v>0</v>
      </c>
      <c r="I878" s="908">
        <f t="shared" si="2509"/>
        <v>0</v>
      </c>
      <c r="J878" s="908">
        <f t="shared" si="2509"/>
        <v>0</v>
      </c>
      <c r="K878" s="908">
        <f t="shared" si="2509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2510">SUM(U584)</f>
        <v>0</v>
      </c>
      <c r="V878" s="908">
        <f t="shared" si="2510"/>
        <v>0</v>
      </c>
      <c r="W878" s="908">
        <f t="shared" si="2510"/>
        <v>0</v>
      </c>
      <c r="X878" s="908">
        <f t="shared" si="2510"/>
        <v>0</v>
      </c>
      <c r="Y878" s="908">
        <f t="shared" si="2510"/>
        <v>0</v>
      </c>
      <c r="Z878" s="908">
        <f t="shared" si="2510"/>
        <v>0</v>
      </c>
      <c r="AA878" s="908">
        <f t="shared" si="2510"/>
        <v>0</v>
      </c>
      <c r="AB878" s="908">
        <f t="shared" si="2510"/>
        <v>0</v>
      </c>
      <c r="AC878" s="908">
        <f t="shared" si="2510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2511">SUM(AM584)</f>
        <v>0</v>
      </c>
      <c r="AN878" s="908">
        <f t="shared" si="2511"/>
        <v>0</v>
      </c>
      <c r="AO878" s="908">
        <f t="shared" si="2511"/>
        <v>0</v>
      </c>
      <c r="AP878" s="908">
        <f t="shared" si="2511"/>
        <v>0</v>
      </c>
      <c r="AQ878" s="908">
        <f t="shared" si="2511"/>
        <v>0</v>
      </c>
      <c r="AR878" s="908">
        <f t="shared" si="2511"/>
        <v>0</v>
      </c>
      <c r="AS878" s="908">
        <f t="shared" si="2511"/>
        <v>0</v>
      </c>
      <c r="AT878" s="908">
        <f t="shared" si="2511"/>
        <v>0</v>
      </c>
      <c r="AU878" s="908">
        <f t="shared" si="2511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2512">SUM(BE584)</f>
        <v>0</v>
      </c>
      <c r="BF878" s="908">
        <f t="shared" si="2512"/>
        <v>0</v>
      </c>
      <c r="BG878" s="908">
        <f t="shared" si="2512"/>
        <v>0</v>
      </c>
      <c r="BH878" s="908">
        <f t="shared" si="2512"/>
        <v>0</v>
      </c>
      <c r="BI878" s="908">
        <f t="shared" si="2512"/>
        <v>0</v>
      </c>
      <c r="BJ878" s="908">
        <f t="shared" si="2512"/>
        <v>0</v>
      </c>
      <c r="BK878" s="908">
        <f t="shared" si="2512"/>
        <v>0</v>
      </c>
      <c r="BL878" s="908">
        <f t="shared" si="2512"/>
        <v>0</v>
      </c>
      <c r="BM878" s="908">
        <f t="shared" si="2512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>SUM(BV584)</f>
        <v>0</v>
      </c>
      <c r="BW878" s="908">
        <f>SUM(BW584)</f>
        <v>0</v>
      </c>
      <c r="BX878" s="908">
        <f>SUM(BX584)</f>
        <v>0</v>
      </c>
      <c r="BY878" s="908">
        <f>SUM(BY584)</f>
        <v>0</v>
      </c>
      <c r="BZ878" s="607">
        <f t="shared" si="2423"/>
        <v>0</v>
      </c>
      <c r="CA878" s="607">
        <f t="shared" si="2424"/>
        <v>0</v>
      </c>
      <c r="CB878" s="607">
        <f t="shared" si="2425"/>
        <v>0</v>
      </c>
      <c r="CC878" s="673">
        <f t="shared" si="2426"/>
        <v>0</v>
      </c>
      <c r="CD878" s="991">
        <f t="shared" si="2499"/>
        <v>0</v>
      </c>
      <c r="CE878" s="992">
        <f t="shared" si="2499"/>
        <v>0</v>
      </c>
      <c r="CF878" s="992">
        <f t="shared" si="2499"/>
        <v>0</v>
      </c>
      <c r="CG878" s="992">
        <f t="shared" si="2499"/>
        <v>0</v>
      </c>
      <c r="CH878" s="993">
        <f t="shared" si="2499"/>
        <v>0</v>
      </c>
      <c r="CI878" s="993">
        <f t="shared" si="2499"/>
        <v>0</v>
      </c>
      <c r="CJ878" s="992">
        <f t="shared" si="2499"/>
        <v>0</v>
      </c>
      <c r="CK878" s="992">
        <f t="shared" si="2499"/>
        <v>0</v>
      </c>
      <c r="CL878" s="992">
        <f t="shared" si="2499"/>
        <v>0</v>
      </c>
      <c r="CM878" s="991">
        <f t="shared" si="2499"/>
        <v>0</v>
      </c>
      <c r="CN878" s="1036" t="str">
        <f t="shared" si="2500"/>
        <v/>
      </c>
      <c r="CO878" s="1001" t="str">
        <f t="shared" si="2500"/>
        <v/>
      </c>
      <c r="CP878" s="1002" t="str">
        <f t="shared" si="2500"/>
        <v/>
      </c>
      <c r="CQ878" s="1002" t="str">
        <f t="shared" si="2500"/>
        <v/>
      </c>
      <c r="CR878" s="1002">
        <f t="shared" si="2500"/>
        <v>0</v>
      </c>
      <c r="CS878" s="1002">
        <f t="shared" si="2500"/>
        <v>0</v>
      </c>
      <c r="CT878" s="1002">
        <f t="shared" si="2500"/>
        <v>0</v>
      </c>
      <c r="CU878" s="1003">
        <f t="shared" si="2500"/>
        <v>0</v>
      </c>
      <c r="CV878" s="1003">
        <f t="shared" si="2500"/>
        <v>0</v>
      </c>
      <c r="CW878" s="1003">
        <f t="shared" si="2500"/>
        <v>0</v>
      </c>
      <c r="CX878" s="1002">
        <f t="shared" si="2500"/>
        <v>0</v>
      </c>
      <c r="CY878" s="1002">
        <f t="shared" si="2500"/>
        <v>0</v>
      </c>
      <c r="CZ878" s="1002">
        <f t="shared" si="2500"/>
        <v>0</v>
      </c>
      <c r="DA878" s="1002">
        <f t="shared" si="2500"/>
        <v>0</v>
      </c>
      <c r="DB878" s="1002" t="str">
        <f t="shared" si="2500"/>
        <v/>
      </c>
      <c r="DC878" s="1001" t="str">
        <f t="shared" si="2494"/>
        <v/>
      </c>
      <c r="DD878" s="1036" t="str">
        <f t="shared" si="2429"/>
        <v/>
      </c>
      <c r="DE878" s="635">
        <f t="shared" si="2430"/>
        <v>10</v>
      </c>
      <c r="DF878" s="95">
        <f t="shared" si="2431"/>
        <v>10</v>
      </c>
      <c r="DG878" s="95">
        <f t="shared" si="2432"/>
        <v>10</v>
      </c>
      <c r="DH878" s="95">
        <f t="shared" si="243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2513">SUM(C590)</f>
        <v>0</v>
      </c>
      <c r="D879" s="908">
        <f t="shared" si="2513"/>
        <v>0</v>
      </c>
      <c r="E879" s="908">
        <f t="shared" si="2513"/>
        <v>0</v>
      </c>
      <c r="F879" s="908">
        <f t="shared" si="2513"/>
        <v>0</v>
      </c>
      <c r="G879" s="908">
        <f t="shared" si="2513"/>
        <v>0</v>
      </c>
      <c r="H879" s="908">
        <f t="shared" si="2513"/>
        <v>0</v>
      </c>
      <c r="I879" s="908">
        <f t="shared" si="2513"/>
        <v>0</v>
      </c>
      <c r="J879" s="908">
        <f t="shared" si="2513"/>
        <v>0</v>
      </c>
      <c r="K879" s="908">
        <f t="shared" si="2513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2514">SUM(U590)</f>
        <v>0</v>
      </c>
      <c r="V879" s="908">
        <f t="shared" si="2514"/>
        <v>0</v>
      </c>
      <c r="W879" s="908">
        <f t="shared" si="2514"/>
        <v>0</v>
      </c>
      <c r="X879" s="908">
        <f t="shared" si="2514"/>
        <v>0</v>
      </c>
      <c r="Y879" s="908">
        <f t="shared" si="2514"/>
        <v>0</v>
      </c>
      <c r="Z879" s="908">
        <f t="shared" si="2514"/>
        <v>0</v>
      </c>
      <c r="AA879" s="908">
        <f t="shared" si="2514"/>
        <v>0</v>
      </c>
      <c r="AB879" s="908">
        <f t="shared" si="2514"/>
        <v>0</v>
      </c>
      <c r="AC879" s="908">
        <f t="shared" si="2514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2515">SUM(AM590)</f>
        <v>0</v>
      </c>
      <c r="AN879" s="908">
        <f t="shared" si="2515"/>
        <v>0</v>
      </c>
      <c r="AO879" s="908">
        <f t="shared" si="2515"/>
        <v>0</v>
      </c>
      <c r="AP879" s="908">
        <f t="shared" si="2515"/>
        <v>0</v>
      </c>
      <c r="AQ879" s="908">
        <f t="shared" si="2515"/>
        <v>0</v>
      </c>
      <c r="AR879" s="908">
        <f t="shared" si="2515"/>
        <v>0</v>
      </c>
      <c r="AS879" s="908">
        <f t="shared" si="2515"/>
        <v>0</v>
      </c>
      <c r="AT879" s="908">
        <f t="shared" si="2515"/>
        <v>0</v>
      </c>
      <c r="AU879" s="908">
        <f t="shared" si="2515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2516">SUM(BE590)</f>
        <v>0</v>
      </c>
      <c r="BF879" s="908">
        <f t="shared" si="2516"/>
        <v>0</v>
      </c>
      <c r="BG879" s="908">
        <f t="shared" si="2516"/>
        <v>0</v>
      </c>
      <c r="BH879" s="908">
        <f t="shared" si="2516"/>
        <v>0</v>
      </c>
      <c r="BI879" s="908">
        <f t="shared" si="2516"/>
        <v>0</v>
      </c>
      <c r="BJ879" s="908">
        <f t="shared" si="2516"/>
        <v>0</v>
      </c>
      <c r="BK879" s="908">
        <f t="shared" si="2516"/>
        <v>0</v>
      </c>
      <c r="BL879" s="908">
        <f t="shared" si="2516"/>
        <v>0</v>
      </c>
      <c r="BM879" s="908">
        <f t="shared" si="2516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>SUM(BV590)</f>
        <v>0</v>
      </c>
      <c r="BW879" s="908">
        <f>SUM(BW590)</f>
        <v>0</v>
      </c>
      <c r="BX879" s="908">
        <f>SUM(BX590)</f>
        <v>0</v>
      </c>
      <c r="BY879" s="908">
        <f>SUM(BY590)</f>
        <v>0</v>
      </c>
      <c r="BZ879" s="607">
        <f t="shared" si="2423"/>
        <v>0</v>
      </c>
      <c r="CA879" s="607">
        <f t="shared" si="2424"/>
        <v>0</v>
      </c>
      <c r="CB879" s="607">
        <f t="shared" si="2425"/>
        <v>0</v>
      </c>
      <c r="CC879" s="673">
        <f t="shared" si="2426"/>
        <v>0</v>
      </c>
      <c r="CD879" s="991">
        <f t="shared" si="2499"/>
        <v>0</v>
      </c>
      <c r="CE879" s="992">
        <f t="shared" si="2499"/>
        <v>0</v>
      </c>
      <c r="CF879" s="992">
        <f t="shared" si="2499"/>
        <v>0</v>
      </c>
      <c r="CG879" s="992">
        <f t="shared" si="2499"/>
        <v>0</v>
      </c>
      <c r="CH879" s="993">
        <f t="shared" si="2499"/>
        <v>0</v>
      </c>
      <c r="CI879" s="993">
        <f t="shared" si="2499"/>
        <v>0</v>
      </c>
      <c r="CJ879" s="992">
        <f t="shared" si="2499"/>
        <v>0</v>
      </c>
      <c r="CK879" s="992">
        <f t="shared" si="2499"/>
        <v>0</v>
      </c>
      <c r="CL879" s="992">
        <f t="shared" si="2499"/>
        <v>0</v>
      </c>
      <c r="CM879" s="991">
        <f t="shared" si="2499"/>
        <v>0</v>
      </c>
      <c r="CN879" s="1036" t="str">
        <f t="shared" si="2500"/>
        <v/>
      </c>
      <c r="CO879" s="1001" t="str">
        <f t="shared" si="2500"/>
        <v/>
      </c>
      <c r="CP879" s="1002" t="str">
        <f t="shared" si="2500"/>
        <v/>
      </c>
      <c r="CQ879" s="1002" t="str">
        <f t="shared" si="2500"/>
        <v/>
      </c>
      <c r="CR879" s="1002">
        <f t="shared" si="2500"/>
        <v>0</v>
      </c>
      <c r="CS879" s="1002">
        <f t="shared" si="2500"/>
        <v>0</v>
      </c>
      <c r="CT879" s="1002">
        <f t="shared" si="2500"/>
        <v>0</v>
      </c>
      <c r="CU879" s="1003">
        <f t="shared" si="2500"/>
        <v>0</v>
      </c>
      <c r="CV879" s="1003">
        <f t="shared" si="2500"/>
        <v>0</v>
      </c>
      <c r="CW879" s="1003">
        <f t="shared" si="2500"/>
        <v>0</v>
      </c>
      <c r="CX879" s="1002">
        <f t="shared" si="2500"/>
        <v>0</v>
      </c>
      <c r="CY879" s="1002">
        <f t="shared" si="2500"/>
        <v>0</v>
      </c>
      <c r="CZ879" s="1002">
        <f t="shared" si="2500"/>
        <v>0</v>
      </c>
      <c r="DA879" s="1002">
        <f t="shared" si="2500"/>
        <v>0</v>
      </c>
      <c r="DB879" s="1002" t="str">
        <f t="shared" si="2500"/>
        <v/>
      </c>
      <c r="DC879" s="1001" t="str">
        <f t="shared" si="2494"/>
        <v/>
      </c>
      <c r="DD879" s="1036" t="str">
        <f t="shared" si="2429"/>
        <v/>
      </c>
      <c r="DE879" s="635">
        <f t="shared" si="2430"/>
        <v>10</v>
      </c>
      <c r="DF879" s="95">
        <f t="shared" si="2431"/>
        <v>10</v>
      </c>
      <c r="DG879" s="95">
        <f t="shared" si="2432"/>
        <v>10</v>
      </c>
      <c r="DH879" s="95">
        <f t="shared" si="243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2517">SUM(C597)</f>
        <v>0</v>
      </c>
      <c r="D880" s="786">
        <f t="shared" si="2517"/>
        <v>0</v>
      </c>
      <c r="E880" s="786">
        <f t="shared" si="2517"/>
        <v>0</v>
      </c>
      <c r="F880" s="786">
        <f t="shared" si="2517"/>
        <v>0</v>
      </c>
      <c r="G880" s="786">
        <f t="shared" si="2517"/>
        <v>0</v>
      </c>
      <c r="H880" s="786">
        <f t="shared" si="2517"/>
        <v>0</v>
      </c>
      <c r="I880" s="786">
        <f t="shared" si="2517"/>
        <v>0</v>
      </c>
      <c r="J880" s="786">
        <f t="shared" si="2517"/>
        <v>0</v>
      </c>
      <c r="K880" s="786">
        <f t="shared" si="251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2518">SUM(U597)</f>
        <v>0</v>
      </c>
      <c r="V880" s="786">
        <f t="shared" si="2518"/>
        <v>0</v>
      </c>
      <c r="W880" s="786">
        <f t="shared" si="2518"/>
        <v>0</v>
      </c>
      <c r="X880" s="786">
        <f t="shared" si="2518"/>
        <v>0</v>
      </c>
      <c r="Y880" s="786">
        <f t="shared" si="2518"/>
        <v>0</v>
      </c>
      <c r="Z880" s="786">
        <f t="shared" si="2518"/>
        <v>0</v>
      </c>
      <c r="AA880" s="786">
        <f t="shared" si="2518"/>
        <v>0</v>
      </c>
      <c r="AB880" s="786">
        <f t="shared" si="2518"/>
        <v>0</v>
      </c>
      <c r="AC880" s="786">
        <f t="shared" si="251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2519">SUM(AM597)</f>
        <v>0</v>
      </c>
      <c r="AN880" s="786">
        <f t="shared" si="2519"/>
        <v>0</v>
      </c>
      <c r="AO880" s="786">
        <f t="shared" si="2519"/>
        <v>0</v>
      </c>
      <c r="AP880" s="786">
        <f t="shared" si="2519"/>
        <v>0</v>
      </c>
      <c r="AQ880" s="786">
        <f t="shared" si="2519"/>
        <v>0</v>
      </c>
      <c r="AR880" s="786">
        <f t="shared" si="2519"/>
        <v>0</v>
      </c>
      <c r="AS880" s="786">
        <f t="shared" si="2519"/>
        <v>0</v>
      </c>
      <c r="AT880" s="786">
        <f t="shared" si="2519"/>
        <v>0</v>
      </c>
      <c r="AU880" s="786">
        <f t="shared" si="251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2520">SUM(BE597)</f>
        <v>0</v>
      </c>
      <c r="BF880" s="786">
        <f t="shared" si="2520"/>
        <v>0</v>
      </c>
      <c r="BG880" s="786">
        <f t="shared" si="2520"/>
        <v>0</v>
      </c>
      <c r="BH880" s="786">
        <f t="shared" si="2520"/>
        <v>0</v>
      </c>
      <c r="BI880" s="786">
        <f t="shared" si="2520"/>
        <v>0</v>
      </c>
      <c r="BJ880" s="786">
        <f t="shared" si="2520"/>
        <v>0</v>
      </c>
      <c r="BK880" s="786">
        <f t="shared" si="2520"/>
        <v>0</v>
      </c>
      <c r="BL880" s="786">
        <f t="shared" si="2520"/>
        <v>0</v>
      </c>
      <c r="BM880" s="786">
        <f t="shared" si="252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>SUM(BV597)</f>
        <v>0</v>
      </c>
      <c r="BW880" s="786">
        <f>SUM(BW597)</f>
        <v>0</v>
      </c>
      <c r="BX880" s="786">
        <f>SUM(BX597)</f>
        <v>0</v>
      </c>
      <c r="BY880" s="786">
        <f>SUM(BY597)</f>
        <v>0</v>
      </c>
      <c r="BZ880" s="607">
        <f t="shared" si="2423"/>
        <v>0</v>
      </c>
      <c r="CA880" s="607">
        <f t="shared" si="2424"/>
        <v>0</v>
      </c>
      <c r="CB880" s="607">
        <f t="shared" si="2425"/>
        <v>0</v>
      </c>
      <c r="CC880" s="673">
        <f t="shared" si="2426"/>
        <v>0</v>
      </c>
      <c r="CD880" s="991">
        <f t="shared" si="2499"/>
        <v>0</v>
      </c>
      <c r="CE880" s="992">
        <f t="shared" si="2499"/>
        <v>0</v>
      </c>
      <c r="CF880" s="992">
        <f t="shared" si="2499"/>
        <v>0</v>
      </c>
      <c r="CG880" s="992">
        <f t="shared" si="2499"/>
        <v>0</v>
      </c>
      <c r="CH880" s="993">
        <f t="shared" si="2499"/>
        <v>0</v>
      </c>
      <c r="CI880" s="993">
        <f t="shared" si="2499"/>
        <v>0</v>
      </c>
      <c r="CJ880" s="992">
        <f t="shared" si="2499"/>
        <v>0</v>
      </c>
      <c r="CK880" s="992">
        <f t="shared" si="2499"/>
        <v>0</v>
      </c>
      <c r="CL880" s="992">
        <f t="shared" si="2499"/>
        <v>0</v>
      </c>
      <c r="CM880" s="991">
        <f t="shared" si="2499"/>
        <v>0</v>
      </c>
      <c r="CN880" s="1036" t="str">
        <f t="shared" si="2500"/>
        <v/>
      </c>
      <c r="CO880" s="1001" t="str">
        <f t="shared" si="2500"/>
        <v/>
      </c>
      <c r="CP880" s="1002" t="str">
        <f t="shared" si="2500"/>
        <v/>
      </c>
      <c r="CQ880" s="1002" t="str">
        <f t="shared" si="2500"/>
        <v/>
      </c>
      <c r="CR880" s="1002">
        <f t="shared" si="2500"/>
        <v>0</v>
      </c>
      <c r="CS880" s="1002">
        <f t="shared" si="2500"/>
        <v>0</v>
      </c>
      <c r="CT880" s="1002">
        <f t="shared" si="2500"/>
        <v>0</v>
      </c>
      <c r="CU880" s="1003">
        <f t="shared" si="2500"/>
        <v>0</v>
      </c>
      <c r="CV880" s="1003">
        <f t="shared" si="2500"/>
        <v>0</v>
      </c>
      <c r="CW880" s="1003">
        <f t="shared" si="2500"/>
        <v>0</v>
      </c>
      <c r="CX880" s="1002">
        <f t="shared" si="2500"/>
        <v>0</v>
      </c>
      <c r="CY880" s="1002">
        <f t="shared" si="2500"/>
        <v>0</v>
      </c>
      <c r="CZ880" s="1002">
        <f t="shared" si="2500"/>
        <v>0</v>
      </c>
      <c r="DA880" s="1002">
        <f t="shared" si="2500"/>
        <v>0</v>
      </c>
      <c r="DB880" s="1002" t="str">
        <f t="shared" si="2500"/>
        <v/>
      </c>
      <c r="DC880" s="1001" t="str">
        <f t="shared" si="2494"/>
        <v/>
      </c>
      <c r="DD880" s="1036" t="str">
        <f t="shared" si="2429"/>
        <v/>
      </c>
      <c r="DE880" s="635">
        <f t="shared" si="2430"/>
        <v>10</v>
      </c>
      <c r="DF880" s="95">
        <f t="shared" si="2431"/>
        <v>10</v>
      </c>
      <c r="DG880" s="95">
        <f t="shared" si="2432"/>
        <v>10</v>
      </c>
      <c r="DH880" s="95">
        <f t="shared" si="243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2521">SUM(C603)</f>
        <v>0</v>
      </c>
      <c r="D881" s="786">
        <f t="shared" si="2521"/>
        <v>0</v>
      </c>
      <c r="E881" s="786">
        <f t="shared" si="2521"/>
        <v>0</v>
      </c>
      <c r="F881" s="786">
        <f t="shared" si="2521"/>
        <v>0</v>
      </c>
      <c r="G881" s="786">
        <f t="shared" si="2521"/>
        <v>0</v>
      </c>
      <c r="H881" s="786">
        <f t="shared" si="2521"/>
        <v>0</v>
      </c>
      <c r="I881" s="786">
        <f t="shared" si="2521"/>
        <v>0</v>
      </c>
      <c r="J881" s="786">
        <f t="shared" si="2521"/>
        <v>0</v>
      </c>
      <c r="K881" s="786">
        <f t="shared" si="2521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2522">SUM(U603)</f>
        <v>0</v>
      </c>
      <c r="V881" s="786">
        <f t="shared" si="2522"/>
        <v>0</v>
      </c>
      <c r="W881" s="786">
        <f t="shared" si="2522"/>
        <v>0</v>
      </c>
      <c r="X881" s="786">
        <f t="shared" si="2522"/>
        <v>0</v>
      </c>
      <c r="Y881" s="786">
        <f t="shared" si="2522"/>
        <v>0</v>
      </c>
      <c r="Z881" s="786">
        <f t="shared" si="2522"/>
        <v>0</v>
      </c>
      <c r="AA881" s="786">
        <f t="shared" si="2522"/>
        <v>0</v>
      </c>
      <c r="AB881" s="786">
        <f t="shared" si="2522"/>
        <v>0</v>
      </c>
      <c r="AC881" s="786">
        <f t="shared" si="2522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2523">SUM(AM603)</f>
        <v>0</v>
      </c>
      <c r="AN881" s="786">
        <f t="shared" si="2523"/>
        <v>0</v>
      </c>
      <c r="AO881" s="786">
        <f t="shared" si="2523"/>
        <v>0</v>
      </c>
      <c r="AP881" s="786">
        <f t="shared" si="2523"/>
        <v>0</v>
      </c>
      <c r="AQ881" s="786">
        <f t="shared" si="2523"/>
        <v>0</v>
      </c>
      <c r="AR881" s="786">
        <f t="shared" si="2523"/>
        <v>0</v>
      </c>
      <c r="AS881" s="786">
        <f t="shared" si="2523"/>
        <v>0</v>
      </c>
      <c r="AT881" s="786">
        <f t="shared" si="2523"/>
        <v>0</v>
      </c>
      <c r="AU881" s="786">
        <f t="shared" si="2523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2524">SUM(BE603)</f>
        <v>0</v>
      </c>
      <c r="BF881" s="786">
        <f t="shared" si="2524"/>
        <v>0</v>
      </c>
      <c r="BG881" s="786">
        <f t="shared" si="2524"/>
        <v>0</v>
      </c>
      <c r="BH881" s="786">
        <f t="shared" si="2524"/>
        <v>0</v>
      </c>
      <c r="BI881" s="786">
        <f t="shared" si="2524"/>
        <v>0</v>
      </c>
      <c r="BJ881" s="786">
        <f t="shared" si="2524"/>
        <v>0</v>
      </c>
      <c r="BK881" s="786">
        <f t="shared" si="2524"/>
        <v>0</v>
      </c>
      <c r="BL881" s="786">
        <f t="shared" si="2524"/>
        <v>0</v>
      </c>
      <c r="BM881" s="786">
        <f t="shared" si="2524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>SUM(BV603)</f>
        <v>0</v>
      </c>
      <c r="BW881" s="786">
        <f>SUM(BW603)</f>
        <v>0</v>
      </c>
      <c r="BX881" s="786">
        <f>SUM(BX603)</f>
        <v>0</v>
      </c>
      <c r="BY881" s="786">
        <f>SUM(BY603)</f>
        <v>0</v>
      </c>
      <c r="BZ881" s="607">
        <f t="shared" si="2423"/>
        <v>0</v>
      </c>
      <c r="CA881" s="607">
        <f t="shared" si="2424"/>
        <v>0</v>
      </c>
      <c r="CB881" s="607">
        <f t="shared" si="2425"/>
        <v>0</v>
      </c>
      <c r="CC881" s="673">
        <f t="shared" si="2426"/>
        <v>0</v>
      </c>
      <c r="CD881" s="991">
        <f t="shared" si="2499"/>
        <v>0</v>
      </c>
      <c r="CE881" s="992">
        <f t="shared" si="2499"/>
        <v>0</v>
      </c>
      <c r="CF881" s="992">
        <f t="shared" si="2499"/>
        <v>0</v>
      </c>
      <c r="CG881" s="992">
        <f t="shared" si="2499"/>
        <v>0</v>
      </c>
      <c r="CH881" s="993">
        <f t="shared" si="2499"/>
        <v>0</v>
      </c>
      <c r="CI881" s="993">
        <f t="shared" si="2499"/>
        <v>0</v>
      </c>
      <c r="CJ881" s="992">
        <f t="shared" si="2499"/>
        <v>0</v>
      </c>
      <c r="CK881" s="992">
        <f t="shared" si="2499"/>
        <v>0</v>
      </c>
      <c r="CL881" s="992">
        <f t="shared" si="2499"/>
        <v>0</v>
      </c>
      <c r="CM881" s="991">
        <f t="shared" si="2499"/>
        <v>0</v>
      </c>
      <c r="CN881" s="1036" t="str">
        <f t="shared" si="2500"/>
        <v/>
      </c>
      <c r="CO881" s="1001" t="str">
        <f t="shared" si="2500"/>
        <v/>
      </c>
      <c r="CP881" s="1002" t="str">
        <f t="shared" si="2500"/>
        <v/>
      </c>
      <c r="CQ881" s="1002" t="str">
        <f t="shared" si="2500"/>
        <v/>
      </c>
      <c r="CR881" s="1002">
        <f t="shared" si="2500"/>
        <v>0</v>
      </c>
      <c r="CS881" s="1002">
        <f t="shared" si="2500"/>
        <v>0</v>
      </c>
      <c r="CT881" s="1002">
        <f t="shared" si="2500"/>
        <v>0</v>
      </c>
      <c r="CU881" s="1003">
        <f t="shared" si="2500"/>
        <v>0</v>
      </c>
      <c r="CV881" s="1003">
        <f t="shared" si="2500"/>
        <v>0</v>
      </c>
      <c r="CW881" s="1003">
        <f t="shared" si="2500"/>
        <v>0</v>
      </c>
      <c r="CX881" s="1002">
        <f t="shared" si="2500"/>
        <v>0</v>
      </c>
      <c r="CY881" s="1002">
        <f t="shared" si="2500"/>
        <v>0</v>
      </c>
      <c r="CZ881" s="1002">
        <f t="shared" si="2500"/>
        <v>0</v>
      </c>
      <c r="DA881" s="1002">
        <f t="shared" si="2500"/>
        <v>0</v>
      </c>
      <c r="DB881" s="1002" t="str">
        <f t="shared" si="2500"/>
        <v/>
      </c>
      <c r="DC881" s="1001" t="str">
        <f t="shared" si="2494"/>
        <v/>
      </c>
      <c r="DD881" s="1036" t="str">
        <f t="shared" si="2429"/>
        <v/>
      </c>
      <c r="DE881" s="635">
        <f t="shared" si="2430"/>
        <v>10</v>
      </c>
      <c r="DF881" s="95">
        <f t="shared" si="2431"/>
        <v>10</v>
      </c>
      <c r="DG881" s="95">
        <f t="shared" si="2432"/>
        <v>10</v>
      </c>
      <c r="DH881" s="95">
        <f t="shared" si="243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2525">SUM(C609)</f>
        <v>0</v>
      </c>
      <c r="D882" s="786">
        <f t="shared" si="2525"/>
        <v>0</v>
      </c>
      <c r="E882" s="786">
        <f t="shared" si="2525"/>
        <v>0</v>
      </c>
      <c r="F882" s="786">
        <f t="shared" si="2525"/>
        <v>0</v>
      </c>
      <c r="G882" s="786">
        <f t="shared" si="2525"/>
        <v>0</v>
      </c>
      <c r="H882" s="786">
        <f t="shared" si="2525"/>
        <v>0</v>
      </c>
      <c r="I882" s="786">
        <f t="shared" si="2525"/>
        <v>0</v>
      </c>
      <c r="J882" s="786">
        <f t="shared" si="2525"/>
        <v>0</v>
      </c>
      <c r="K882" s="786">
        <f t="shared" si="2525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2526">SUM(U609)</f>
        <v>0</v>
      </c>
      <c r="V882" s="786">
        <f t="shared" si="2526"/>
        <v>0</v>
      </c>
      <c r="W882" s="786">
        <f t="shared" si="2526"/>
        <v>0</v>
      </c>
      <c r="X882" s="786">
        <f t="shared" si="2526"/>
        <v>0</v>
      </c>
      <c r="Y882" s="786">
        <f t="shared" si="2526"/>
        <v>0</v>
      </c>
      <c r="Z882" s="786">
        <f t="shared" si="2526"/>
        <v>0</v>
      </c>
      <c r="AA882" s="786">
        <f t="shared" si="2526"/>
        <v>0</v>
      </c>
      <c r="AB882" s="786">
        <f t="shared" si="2526"/>
        <v>0</v>
      </c>
      <c r="AC882" s="786">
        <f t="shared" si="2526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2527">SUM(AM609)</f>
        <v>0</v>
      </c>
      <c r="AN882" s="786">
        <f t="shared" si="2527"/>
        <v>0</v>
      </c>
      <c r="AO882" s="786">
        <f t="shared" si="2527"/>
        <v>0</v>
      </c>
      <c r="AP882" s="786">
        <f t="shared" si="2527"/>
        <v>0</v>
      </c>
      <c r="AQ882" s="786">
        <f t="shared" si="2527"/>
        <v>0</v>
      </c>
      <c r="AR882" s="786">
        <f t="shared" si="2527"/>
        <v>0</v>
      </c>
      <c r="AS882" s="786">
        <f t="shared" si="2527"/>
        <v>0</v>
      </c>
      <c r="AT882" s="786">
        <f t="shared" si="2527"/>
        <v>0</v>
      </c>
      <c r="AU882" s="786">
        <f t="shared" si="2527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2528">SUM(BE609)</f>
        <v>0</v>
      </c>
      <c r="BF882" s="786">
        <f t="shared" si="2528"/>
        <v>0</v>
      </c>
      <c r="BG882" s="786">
        <f t="shared" si="2528"/>
        <v>0</v>
      </c>
      <c r="BH882" s="786">
        <f t="shared" si="2528"/>
        <v>0</v>
      </c>
      <c r="BI882" s="786">
        <f t="shared" si="2528"/>
        <v>0</v>
      </c>
      <c r="BJ882" s="786">
        <f t="shared" si="2528"/>
        <v>0</v>
      </c>
      <c r="BK882" s="786">
        <f t="shared" si="2528"/>
        <v>0</v>
      </c>
      <c r="BL882" s="786">
        <f t="shared" si="2528"/>
        <v>0</v>
      </c>
      <c r="BM882" s="786">
        <f t="shared" si="2528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>SUM(BV609)</f>
        <v>0</v>
      </c>
      <c r="BW882" s="786">
        <f>SUM(BW609)</f>
        <v>0</v>
      </c>
      <c r="BX882" s="786">
        <f>SUM(BX609)</f>
        <v>0</v>
      </c>
      <c r="BY882" s="786">
        <f>SUM(BY609)</f>
        <v>0</v>
      </c>
      <c r="BZ882" s="607">
        <f t="shared" si="2423"/>
        <v>0</v>
      </c>
      <c r="CA882" s="607">
        <f t="shared" si="2424"/>
        <v>0</v>
      </c>
      <c r="CB882" s="607">
        <f t="shared" si="2425"/>
        <v>0</v>
      </c>
      <c r="CC882" s="673">
        <f t="shared" si="2426"/>
        <v>0</v>
      </c>
      <c r="CD882" s="991">
        <f t="shared" si="2499"/>
        <v>0</v>
      </c>
      <c r="CE882" s="992">
        <f t="shared" si="2499"/>
        <v>0</v>
      </c>
      <c r="CF882" s="992">
        <f t="shared" si="2499"/>
        <v>0</v>
      </c>
      <c r="CG882" s="992">
        <f t="shared" si="2499"/>
        <v>0</v>
      </c>
      <c r="CH882" s="993">
        <f t="shared" si="2499"/>
        <v>0</v>
      </c>
      <c r="CI882" s="993">
        <f t="shared" si="2499"/>
        <v>0</v>
      </c>
      <c r="CJ882" s="992">
        <f t="shared" si="2499"/>
        <v>0</v>
      </c>
      <c r="CK882" s="992">
        <f t="shared" si="2499"/>
        <v>0</v>
      </c>
      <c r="CL882" s="992">
        <f t="shared" si="2499"/>
        <v>0</v>
      </c>
      <c r="CM882" s="991">
        <f t="shared" si="2499"/>
        <v>0</v>
      </c>
      <c r="CN882" s="1036" t="str">
        <f t="shared" si="2500"/>
        <v/>
      </c>
      <c r="CO882" s="1001" t="str">
        <f t="shared" si="2500"/>
        <v/>
      </c>
      <c r="CP882" s="1002" t="str">
        <f t="shared" si="2500"/>
        <v/>
      </c>
      <c r="CQ882" s="1002" t="str">
        <f t="shared" si="2500"/>
        <v/>
      </c>
      <c r="CR882" s="1002">
        <f t="shared" si="2500"/>
        <v>0</v>
      </c>
      <c r="CS882" s="1002">
        <f t="shared" si="2500"/>
        <v>0</v>
      </c>
      <c r="CT882" s="1002">
        <f t="shared" si="2500"/>
        <v>0</v>
      </c>
      <c r="CU882" s="1003">
        <f t="shared" si="2500"/>
        <v>0</v>
      </c>
      <c r="CV882" s="1003">
        <f t="shared" si="2500"/>
        <v>0</v>
      </c>
      <c r="CW882" s="1003">
        <f t="shared" si="2500"/>
        <v>0</v>
      </c>
      <c r="CX882" s="1002">
        <f t="shared" si="2500"/>
        <v>0</v>
      </c>
      <c r="CY882" s="1002">
        <f t="shared" si="2500"/>
        <v>0</v>
      </c>
      <c r="CZ882" s="1002">
        <f t="shared" si="2500"/>
        <v>0</v>
      </c>
      <c r="DA882" s="1002">
        <f t="shared" si="2500"/>
        <v>0</v>
      </c>
      <c r="DB882" s="1002" t="str">
        <f t="shared" si="2500"/>
        <v/>
      </c>
      <c r="DC882" s="1001" t="str">
        <f t="shared" si="2494"/>
        <v/>
      </c>
      <c r="DD882" s="1036" t="str">
        <f t="shared" si="2429"/>
        <v/>
      </c>
      <c r="DE882" s="635">
        <f t="shared" si="2430"/>
        <v>10</v>
      </c>
      <c r="DF882" s="95">
        <f t="shared" si="2431"/>
        <v>10</v>
      </c>
      <c r="DG882" s="95">
        <f t="shared" si="2432"/>
        <v>10</v>
      </c>
      <c r="DH882" s="95">
        <f t="shared" si="243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2529">SUM(C615)</f>
        <v>0</v>
      </c>
      <c r="D883" s="786">
        <f t="shared" si="2529"/>
        <v>0</v>
      </c>
      <c r="E883" s="786">
        <f t="shared" si="2529"/>
        <v>0</v>
      </c>
      <c r="F883" s="786">
        <f t="shared" si="2529"/>
        <v>0</v>
      </c>
      <c r="G883" s="786">
        <f t="shared" si="2529"/>
        <v>0</v>
      </c>
      <c r="H883" s="786">
        <f t="shared" si="2529"/>
        <v>0</v>
      </c>
      <c r="I883" s="786">
        <f t="shared" si="2529"/>
        <v>0</v>
      </c>
      <c r="J883" s="786">
        <f t="shared" si="2529"/>
        <v>0</v>
      </c>
      <c r="K883" s="786">
        <f t="shared" si="2529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2530">SUM(U615)</f>
        <v>0</v>
      </c>
      <c r="V883" s="786">
        <f t="shared" si="2530"/>
        <v>0</v>
      </c>
      <c r="W883" s="786">
        <f t="shared" si="2530"/>
        <v>0</v>
      </c>
      <c r="X883" s="786">
        <f t="shared" si="2530"/>
        <v>0</v>
      </c>
      <c r="Y883" s="786">
        <f t="shared" si="2530"/>
        <v>0</v>
      </c>
      <c r="Z883" s="786">
        <f t="shared" si="2530"/>
        <v>0</v>
      </c>
      <c r="AA883" s="786">
        <f t="shared" si="2530"/>
        <v>0</v>
      </c>
      <c r="AB883" s="786">
        <f t="shared" si="2530"/>
        <v>0</v>
      </c>
      <c r="AC883" s="786">
        <f t="shared" si="2530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2531">SUM(AM615)</f>
        <v>0</v>
      </c>
      <c r="AN883" s="786">
        <f t="shared" si="2531"/>
        <v>0</v>
      </c>
      <c r="AO883" s="786">
        <f t="shared" si="2531"/>
        <v>0</v>
      </c>
      <c r="AP883" s="786">
        <f t="shared" si="2531"/>
        <v>0</v>
      </c>
      <c r="AQ883" s="786">
        <f t="shared" si="2531"/>
        <v>0</v>
      </c>
      <c r="AR883" s="786">
        <f t="shared" si="2531"/>
        <v>0</v>
      </c>
      <c r="AS883" s="786">
        <f t="shared" si="2531"/>
        <v>0</v>
      </c>
      <c r="AT883" s="786">
        <f t="shared" si="2531"/>
        <v>0</v>
      </c>
      <c r="AU883" s="786">
        <f t="shared" si="2531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2532">SUM(BE615)</f>
        <v>0</v>
      </c>
      <c r="BF883" s="786">
        <f t="shared" si="2532"/>
        <v>0</v>
      </c>
      <c r="BG883" s="786">
        <f t="shared" si="2532"/>
        <v>0</v>
      </c>
      <c r="BH883" s="786">
        <f t="shared" si="2532"/>
        <v>0</v>
      </c>
      <c r="BI883" s="786">
        <f t="shared" si="2532"/>
        <v>0</v>
      </c>
      <c r="BJ883" s="786">
        <f t="shared" si="2532"/>
        <v>0</v>
      </c>
      <c r="BK883" s="786">
        <f t="shared" si="2532"/>
        <v>0</v>
      </c>
      <c r="BL883" s="786">
        <f t="shared" si="2532"/>
        <v>0</v>
      </c>
      <c r="BM883" s="786">
        <f t="shared" si="2532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>SUM(BV615)</f>
        <v>0</v>
      </c>
      <c r="BW883" s="786">
        <f>SUM(BW615)</f>
        <v>0</v>
      </c>
      <c r="BX883" s="786">
        <f>SUM(BX615)</f>
        <v>0</v>
      </c>
      <c r="BY883" s="786">
        <f>SUM(BY615)</f>
        <v>0</v>
      </c>
      <c r="BZ883" s="607">
        <f t="shared" si="2423"/>
        <v>0</v>
      </c>
      <c r="CA883" s="607">
        <f t="shared" si="2424"/>
        <v>0</v>
      </c>
      <c r="CB883" s="607">
        <f t="shared" si="2425"/>
        <v>0</v>
      </c>
      <c r="CC883" s="673">
        <f t="shared" si="2426"/>
        <v>0</v>
      </c>
      <c r="CD883" s="991">
        <f t="shared" si="2499"/>
        <v>0</v>
      </c>
      <c r="CE883" s="992">
        <f t="shared" si="2499"/>
        <v>0</v>
      </c>
      <c r="CF883" s="992">
        <f t="shared" si="2499"/>
        <v>0</v>
      </c>
      <c r="CG883" s="992">
        <f t="shared" si="2499"/>
        <v>0</v>
      </c>
      <c r="CH883" s="993">
        <f t="shared" si="2499"/>
        <v>0</v>
      </c>
      <c r="CI883" s="993">
        <f t="shared" si="2499"/>
        <v>0</v>
      </c>
      <c r="CJ883" s="992">
        <f t="shared" si="2499"/>
        <v>0</v>
      </c>
      <c r="CK883" s="992">
        <f t="shared" si="2499"/>
        <v>0</v>
      </c>
      <c r="CL883" s="992">
        <f t="shared" si="2499"/>
        <v>0</v>
      </c>
      <c r="CM883" s="991">
        <f t="shared" si="2499"/>
        <v>0</v>
      </c>
      <c r="CN883" s="1036" t="str">
        <f t="shared" si="2500"/>
        <v/>
      </c>
      <c r="CO883" s="1001" t="str">
        <f t="shared" si="2500"/>
        <v/>
      </c>
      <c r="CP883" s="1002" t="str">
        <f t="shared" si="2500"/>
        <v/>
      </c>
      <c r="CQ883" s="1002" t="str">
        <f t="shared" si="2500"/>
        <v/>
      </c>
      <c r="CR883" s="1002">
        <f t="shared" si="2500"/>
        <v>0</v>
      </c>
      <c r="CS883" s="1002">
        <f t="shared" si="2500"/>
        <v>0</v>
      </c>
      <c r="CT883" s="1002">
        <f t="shared" si="2500"/>
        <v>0</v>
      </c>
      <c r="CU883" s="1003">
        <f t="shared" si="2500"/>
        <v>0</v>
      </c>
      <c r="CV883" s="1003">
        <f t="shared" si="2500"/>
        <v>0</v>
      </c>
      <c r="CW883" s="1003">
        <f t="shared" si="2500"/>
        <v>0</v>
      </c>
      <c r="CX883" s="1002">
        <f t="shared" si="2500"/>
        <v>0</v>
      </c>
      <c r="CY883" s="1002">
        <f t="shared" si="2500"/>
        <v>0</v>
      </c>
      <c r="CZ883" s="1002">
        <f t="shared" si="2500"/>
        <v>0</v>
      </c>
      <c r="DA883" s="1002">
        <f t="shared" si="2500"/>
        <v>0</v>
      </c>
      <c r="DB883" s="1002" t="str">
        <f t="shared" si="2500"/>
        <v/>
      </c>
      <c r="DC883" s="1001" t="str">
        <f t="shared" si="2494"/>
        <v/>
      </c>
      <c r="DD883" s="1036" t="str">
        <f t="shared" si="2429"/>
        <v/>
      </c>
      <c r="DE883" s="635">
        <f t="shared" si="2430"/>
        <v>10</v>
      </c>
      <c r="DF883" s="95">
        <f t="shared" si="2431"/>
        <v>10</v>
      </c>
      <c r="DG883" s="95">
        <f t="shared" si="2432"/>
        <v>10</v>
      </c>
      <c r="DH883" s="95">
        <f t="shared" si="243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2533">SUM(C621)</f>
        <v>0</v>
      </c>
      <c r="D884" s="786">
        <f t="shared" si="2533"/>
        <v>0</v>
      </c>
      <c r="E884" s="786">
        <f t="shared" si="2533"/>
        <v>0</v>
      </c>
      <c r="F884" s="786">
        <f t="shared" si="2533"/>
        <v>0</v>
      </c>
      <c r="G884" s="786">
        <f t="shared" si="2533"/>
        <v>0</v>
      </c>
      <c r="H884" s="786">
        <f t="shared" si="2533"/>
        <v>0</v>
      </c>
      <c r="I884" s="786">
        <f t="shared" si="2533"/>
        <v>0</v>
      </c>
      <c r="J884" s="786">
        <f t="shared" si="2533"/>
        <v>0</v>
      </c>
      <c r="K884" s="786">
        <f t="shared" si="2533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2534">SUM(U621)</f>
        <v>0</v>
      </c>
      <c r="V884" s="786">
        <f t="shared" si="2534"/>
        <v>0</v>
      </c>
      <c r="W884" s="786">
        <f t="shared" si="2534"/>
        <v>0</v>
      </c>
      <c r="X884" s="786">
        <f t="shared" si="2534"/>
        <v>0</v>
      </c>
      <c r="Y884" s="786">
        <f t="shared" si="2534"/>
        <v>0</v>
      </c>
      <c r="Z884" s="786">
        <f t="shared" si="2534"/>
        <v>0</v>
      </c>
      <c r="AA884" s="786">
        <f t="shared" si="2534"/>
        <v>0</v>
      </c>
      <c r="AB884" s="786">
        <f t="shared" si="2534"/>
        <v>0</v>
      </c>
      <c r="AC884" s="786">
        <f t="shared" si="2534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2535">SUM(AM621)</f>
        <v>0</v>
      </c>
      <c r="AN884" s="786">
        <f t="shared" si="2535"/>
        <v>0</v>
      </c>
      <c r="AO884" s="786">
        <f t="shared" si="2535"/>
        <v>0</v>
      </c>
      <c r="AP884" s="786">
        <f t="shared" si="2535"/>
        <v>0</v>
      </c>
      <c r="AQ884" s="786">
        <f t="shared" si="2535"/>
        <v>0</v>
      </c>
      <c r="AR884" s="786">
        <f t="shared" si="2535"/>
        <v>0</v>
      </c>
      <c r="AS884" s="786">
        <f t="shared" si="2535"/>
        <v>0</v>
      </c>
      <c r="AT884" s="786">
        <f t="shared" si="2535"/>
        <v>0</v>
      </c>
      <c r="AU884" s="786">
        <f t="shared" si="2535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2536">SUM(BE621)</f>
        <v>0</v>
      </c>
      <c r="BF884" s="786">
        <f t="shared" si="2536"/>
        <v>0</v>
      </c>
      <c r="BG884" s="786">
        <f t="shared" si="2536"/>
        <v>0</v>
      </c>
      <c r="BH884" s="786">
        <f t="shared" si="2536"/>
        <v>0</v>
      </c>
      <c r="BI884" s="786">
        <f t="shared" si="2536"/>
        <v>0</v>
      </c>
      <c r="BJ884" s="786">
        <f t="shared" si="2536"/>
        <v>0</v>
      </c>
      <c r="BK884" s="786">
        <f t="shared" si="2536"/>
        <v>0</v>
      </c>
      <c r="BL884" s="786">
        <f t="shared" si="2536"/>
        <v>0</v>
      </c>
      <c r="BM884" s="786">
        <f t="shared" si="2536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>SUM(BV621)</f>
        <v>0</v>
      </c>
      <c r="BW884" s="786">
        <f>SUM(BW621)</f>
        <v>0</v>
      </c>
      <c r="BX884" s="786">
        <f>SUM(BX621)</f>
        <v>0</v>
      </c>
      <c r="BY884" s="786">
        <f>SUM(BY621)</f>
        <v>0</v>
      </c>
      <c r="BZ884" s="607">
        <f t="shared" si="2423"/>
        <v>0</v>
      </c>
      <c r="CA884" s="607">
        <f t="shared" si="2424"/>
        <v>0</v>
      </c>
      <c r="CB884" s="607">
        <f t="shared" si="2425"/>
        <v>0</v>
      </c>
      <c r="CC884" s="673">
        <f t="shared" si="2426"/>
        <v>0</v>
      </c>
      <c r="CD884" s="991">
        <f t="shared" si="2499"/>
        <v>0</v>
      </c>
      <c r="CE884" s="992">
        <f t="shared" si="2499"/>
        <v>0</v>
      </c>
      <c r="CF884" s="992">
        <f t="shared" si="2499"/>
        <v>0</v>
      </c>
      <c r="CG884" s="992">
        <f t="shared" si="2499"/>
        <v>0</v>
      </c>
      <c r="CH884" s="993">
        <f t="shared" si="2499"/>
        <v>0</v>
      </c>
      <c r="CI884" s="993">
        <f t="shared" si="2499"/>
        <v>0</v>
      </c>
      <c r="CJ884" s="992">
        <f t="shared" si="2499"/>
        <v>0</v>
      </c>
      <c r="CK884" s="992">
        <f t="shared" si="2499"/>
        <v>0</v>
      </c>
      <c r="CL884" s="992">
        <f t="shared" si="2499"/>
        <v>0</v>
      </c>
      <c r="CM884" s="991">
        <f t="shared" si="2499"/>
        <v>0</v>
      </c>
      <c r="CN884" s="1036" t="str">
        <f t="shared" si="2500"/>
        <v/>
      </c>
      <c r="CO884" s="1001" t="str">
        <f t="shared" si="2500"/>
        <v/>
      </c>
      <c r="CP884" s="1002" t="str">
        <f t="shared" si="2500"/>
        <v/>
      </c>
      <c r="CQ884" s="1002" t="str">
        <f t="shared" si="2500"/>
        <v/>
      </c>
      <c r="CR884" s="1002">
        <f t="shared" si="2500"/>
        <v>0</v>
      </c>
      <c r="CS884" s="1002">
        <f t="shared" si="2500"/>
        <v>0</v>
      </c>
      <c r="CT884" s="1002">
        <f t="shared" si="2500"/>
        <v>0</v>
      </c>
      <c r="CU884" s="1003">
        <f t="shared" si="2500"/>
        <v>0</v>
      </c>
      <c r="CV884" s="1003">
        <f t="shared" si="2500"/>
        <v>0</v>
      </c>
      <c r="CW884" s="1003">
        <f t="shared" si="2500"/>
        <v>0</v>
      </c>
      <c r="CX884" s="1002">
        <f t="shared" si="2500"/>
        <v>0</v>
      </c>
      <c r="CY884" s="1002">
        <f t="shared" si="2500"/>
        <v>0</v>
      </c>
      <c r="CZ884" s="1002">
        <f t="shared" si="2500"/>
        <v>0</v>
      </c>
      <c r="DA884" s="1002">
        <f t="shared" si="2500"/>
        <v>0</v>
      </c>
      <c r="DB884" s="1002" t="str">
        <f t="shared" si="2500"/>
        <v/>
      </c>
      <c r="DC884" s="1001" t="str">
        <f t="shared" si="2494"/>
        <v/>
      </c>
      <c r="DD884" s="1036" t="str">
        <f t="shared" si="2429"/>
        <v/>
      </c>
      <c r="DE884" s="635">
        <f t="shared" si="2430"/>
        <v>10</v>
      </c>
      <c r="DF884" s="95">
        <f t="shared" si="2431"/>
        <v>10</v>
      </c>
      <c r="DG884" s="95">
        <f t="shared" si="2432"/>
        <v>10</v>
      </c>
      <c r="DH884" s="95">
        <f t="shared" si="243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2537">SUM(C627)</f>
        <v>0</v>
      </c>
      <c r="D885" s="786">
        <f t="shared" si="2537"/>
        <v>0</v>
      </c>
      <c r="E885" s="786">
        <f t="shared" si="2537"/>
        <v>0</v>
      </c>
      <c r="F885" s="786">
        <f t="shared" si="2537"/>
        <v>0</v>
      </c>
      <c r="G885" s="786">
        <f t="shared" si="2537"/>
        <v>0</v>
      </c>
      <c r="H885" s="786">
        <f t="shared" si="2537"/>
        <v>0</v>
      </c>
      <c r="I885" s="786">
        <f t="shared" si="2537"/>
        <v>0</v>
      </c>
      <c r="J885" s="786">
        <f t="shared" si="2537"/>
        <v>0</v>
      </c>
      <c r="K885" s="786">
        <f t="shared" si="2537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2538">SUM(U627)</f>
        <v>0</v>
      </c>
      <c r="V885" s="786">
        <f t="shared" si="2538"/>
        <v>0</v>
      </c>
      <c r="W885" s="786">
        <f t="shared" si="2538"/>
        <v>0</v>
      </c>
      <c r="X885" s="786">
        <f t="shared" si="2538"/>
        <v>0</v>
      </c>
      <c r="Y885" s="786">
        <f t="shared" si="2538"/>
        <v>0</v>
      </c>
      <c r="Z885" s="786">
        <f t="shared" si="2538"/>
        <v>0</v>
      </c>
      <c r="AA885" s="786">
        <f t="shared" si="2538"/>
        <v>0</v>
      </c>
      <c r="AB885" s="786">
        <f t="shared" si="2538"/>
        <v>0</v>
      </c>
      <c r="AC885" s="786">
        <f t="shared" si="2538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2539">SUM(AM627)</f>
        <v>0</v>
      </c>
      <c r="AN885" s="786">
        <f t="shared" si="2539"/>
        <v>0</v>
      </c>
      <c r="AO885" s="786">
        <f t="shared" si="2539"/>
        <v>0</v>
      </c>
      <c r="AP885" s="786">
        <f t="shared" si="2539"/>
        <v>0</v>
      </c>
      <c r="AQ885" s="786">
        <f t="shared" si="2539"/>
        <v>0</v>
      </c>
      <c r="AR885" s="786">
        <f t="shared" si="2539"/>
        <v>0</v>
      </c>
      <c r="AS885" s="786">
        <f t="shared" si="2539"/>
        <v>0</v>
      </c>
      <c r="AT885" s="786">
        <f t="shared" si="2539"/>
        <v>0</v>
      </c>
      <c r="AU885" s="786">
        <f t="shared" si="2539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2540">SUM(BE627)</f>
        <v>0</v>
      </c>
      <c r="BF885" s="786">
        <f t="shared" si="2540"/>
        <v>0</v>
      </c>
      <c r="BG885" s="786">
        <f t="shared" si="2540"/>
        <v>0</v>
      </c>
      <c r="BH885" s="786">
        <f t="shared" si="2540"/>
        <v>0</v>
      </c>
      <c r="BI885" s="786">
        <f t="shared" si="2540"/>
        <v>0</v>
      </c>
      <c r="BJ885" s="786">
        <f t="shared" si="2540"/>
        <v>0</v>
      </c>
      <c r="BK885" s="786">
        <f t="shared" si="2540"/>
        <v>0</v>
      </c>
      <c r="BL885" s="786">
        <f t="shared" si="2540"/>
        <v>0</v>
      </c>
      <c r="BM885" s="786">
        <f t="shared" si="2540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>SUM(BV627)</f>
        <v>0</v>
      </c>
      <c r="BW885" s="786">
        <f>SUM(BW627)</f>
        <v>0</v>
      </c>
      <c r="BX885" s="786">
        <f>SUM(BX627)</f>
        <v>0</v>
      </c>
      <c r="BY885" s="786">
        <f>SUM(BY627)</f>
        <v>0</v>
      </c>
      <c r="BZ885" s="607">
        <f t="shared" si="2423"/>
        <v>0</v>
      </c>
      <c r="CA885" s="607">
        <f t="shared" si="2424"/>
        <v>0</v>
      </c>
      <c r="CB885" s="607">
        <f t="shared" si="2425"/>
        <v>0</v>
      </c>
      <c r="CC885" s="673">
        <f t="shared" si="2426"/>
        <v>0</v>
      </c>
      <c r="CD885" s="991">
        <f t="shared" si="2499"/>
        <v>0</v>
      </c>
      <c r="CE885" s="992">
        <f t="shared" si="2499"/>
        <v>0</v>
      </c>
      <c r="CF885" s="992">
        <f t="shared" si="2499"/>
        <v>0</v>
      </c>
      <c r="CG885" s="992">
        <f t="shared" si="2499"/>
        <v>0</v>
      </c>
      <c r="CH885" s="993">
        <f t="shared" si="2499"/>
        <v>0</v>
      </c>
      <c r="CI885" s="993">
        <f t="shared" si="2499"/>
        <v>0</v>
      </c>
      <c r="CJ885" s="992">
        <f t="shared" si="2499"/>
        <v>0</v>
      </c>
      <c r="CK885" s="992">
        <f t="shared" si="2499"/>
        <v>0</v>
      </c>
      <c r="CL885" s="992">
        <f t="shared" si="2499"/>
        <v>0</v>
      </c>
      <c r="CM885" s="991">
        <f t="shared" si="2499"/>
        <v>0</v>
      </c>
      <c r="CN885" s="1036" t="str">
        <f t="shared" si="2500"/>
        <v/>
      </c>
      <c r="CO885" s="1001" t="str">
        <f t="shared" si="2500"/>
        <v/>
      </c>
      <c r="CP885" s="1002" t="str">
        <f t="shared" si="2500"/>
        <v/>
      </c>
      <c r="CQ885" s="1002" t="str">
        <f t="shared" si="2500"/>
        <v/>
      </c>
      <c r="CR885" s="1002">
        <f t="shared" si="2500"/>
        <v>0</v>
      </c>
      <c r="CS885" s="1002">
        <f t="shared" si="2500"/>
        <v>0</v>
      </c>
      <c r="CT885" s="1002">
        <f t="shared" si="2500"/>
        <v>0</v>
      </c>
      <c r="CU885" s="1003">
        <f t="shared" si="2500"/>
        <v>0</v>
      </c>
      <c r="CV885" s="1003">
        <f t="shared" si="2500"/>
        <v>0</v>
      </c>
      <c r="CW885" s="1003">
        <f t="shared" si="2500"/>
        <v>0</v>
      </c>
      <c r="CX885" s="1002">
        <f t="shared" si="2500"/>
        <v>0</v>
      </c>
      <c r="CY885" s="1002">
        <f t="shared" si="2500"/>
        <v>0</v>
      </c>
      <c r="CZ885" s="1002">
        <f t="shared" si="2500"/>
        <v>0</v>
      </c>
      <c r="DA885" s="1002">
        <f t="shared" si="2500"/>
        <v>0</v>
      </c>
      <c r="DB885" s="1002" t="str">
        <f t="shared" si="2500"/>
        <v/>
      </c>
      <c r="DC885" s="1001" t="str">
        <f t="shared" si="2494"/>
        <v/>
      </c>
      <c r="DD885" s="1036" t="str">
        <f t="shared" si="2429"/>
        <v/>
      </c>
      <c r="DE885" s="635">
        <f t="shared" si="2430"/>
        <v>10</v>
      </c>
      <c r="DF885" s="95">
        <f t="shared" si="2431"/>
        <v>10</v>
      </c>
      <c r="DG885" s="95">
        <f t="shared" si="2432"/>
        <v>10</v>
      </c>
      <c r="DH885" s="95">
        <f t="shared" si="243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2541">SUM(C633)</f>
        <v>0</v>
      </c>
      <c r="D886" s="786">
        <f t="shared" si="2541"/>
        <v>0</v>
      </c>
      <c r="E886" s="786">
        <f t="shared" si="2541"/>
        <v>0</v>
      </c>
      <c r="F886" s="786">
        <f t="shared" si="2541"/>
        <v>0</v>
      </c>
      <c r="G886" s="786">
        <f t="shared" si="2541"/>
        <v>0</v>
      </c>
      <c r="H886" s="786">
        <f t="shared" si="2541"/>
        <v>0</v>
      </c>
      <c r="I886" s="786">
        <f t="shared" si="2541"/>
        <v>0</v>
      </c>
      <c r="J886" s="786">
        <f t="shared" si="2541"/>
        <v>0</v>
      </c>
      <c r="K886" s="786">
        <f t="shared" si="254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2542">SUM(U633)</f>
        <v>0</v>
      </c>
      <c r="V886" s="786">
        <f t="shared" si="2542"/>
        <v>0</v>
      </c>
      <c r="W886" s="786">
        <f t="shared" si="2542"/>
        <v>0</v>
      </c>
      <c r="X886" s="786">
        <f t="shared" si="2542"/>
        <v>0</v>
      </c>
      <c r="Y886" s="786">
        <f t="shared" si="2542"/>
        <v>0</v>
      </c>
      <c r="Z886" s="786">
        <f t="shared" si="2542"/>
        <v>0</v>
      </c>
      <c r="AA886" s="786">
        <f t="shared" si="2542"/>
        <v>0</v>
      </c>
      <c r="AB886" s="786">
        <f t="shared" si="2542"/>
        <v>0</v>
      </c>
      <c r="AC886" s="786">
        <f t="shared" si="254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2543">SUM(AM633)</f>
        <v>0</v>
      </c>
      <c r="AN886" s="786">
        <f t="shared" si="2543"/>
        <v>0</v>
      </c>
      <c r="AO886" s="786">
        <f t="shared" si="2543"/>
        <v>0</v>
      </c>
      <c r="AP886" s="786">
        <f t="shared" si="2543"/>
        <v>0</v>
      </c>
      <c r="AQ886" s="786">
        <f t="shared" si="2543"/>
        <v>0</v>
      </c>
      <c r="AR886" s="786">
        <f t="shared" si="2543"/>
        <v>0</v>
      </c>
      <c r="AS886" s="786">
        <f t="shared" si="2543"/>
        <v>0</v>
      </c>
      <c r="AT886" s="786">
        <f t="shared" si="2543"/>
        <v>0</v>
      </c>
      <c r="AU886" s="786">
        <f t="shared" si="254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2544">SUM(BE633)</f>
        <v>0</v>
      </c>
      <c r="BF886" s="786">
        <f t="shared" si="2544"/>
        <v>0</v>
      </c>
      <c r="BG886" s="786">
        <f t="shared" si="2544"/>
        <v>0</v>
      </c>
      <c r="BH886" s="786">
        <f t="shared" si="2544"/>
        <v>0</v>
      </c>
      <c r="BI886" s="786">
        <f t="shared" si="2544"/>
        <v>0</v>
      </c>
      <c r="BJ886" s="786">
        <f t="shared" si="2544"/>
        <v>0</v>
      </c>
      <c r="BK886" s="786">
        <f t="shared" si="2544"/>
        <v>0</v>
      </c>
      <c r="BL886" s="786">
        <f t="shared" si="2544"/>
        <v>0</v>
      </c>
      <c r="BM886" s="786">
        <f t="shared" si="254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>SUM(BV633)</f>
        <v>0.13530194271481941</v>
      </c>
      <c r="BW886" s="786">
        <f>SUM(BW633)</f>
        <v>0.13530194271481941</v>
      </c>
      <c r="BX886" s="786">
        <f>SUM(BX633)</f>
        <v>0.13530194271481941</v>
      </c>
      <c r="BY886" s="786">
        <f>SUM(BY633)</f>
        <v>0</v>
      </c>
      <c r="BZ886" s="607">
        <f t="shared" si="2423"/>
        <v>0</v>
      </c>
      <c r="CA886" s="607">
        <f t="shared" si="2424"/>
        <v>0</v>
      </c>
      <c r="CB886" s="607">
        <f t="shared" si="2425"/>
        <v>0</v>
      </c>
      <c r="CC886" s="673">
        <f t="shared" si="2426"/>
        <v>0</v>
      </c>
      <c r="CD886" s="991">
        <f t="shared" si="2499"/>
        <v>0</v>
      </c>
      <c r="CE886" s="992">
        <f t="shared" si="2499"/>
        <v>0</v>
      </c>
      <c r="CF886" s="992">
        <f t="shared" si="2499"/>
        <v>0</v>
      </c>
      <c r="CG886" s="992">
        <f t="shared" si="2499"/>
        <v>0</v>
      </c>
      <c r="CH886" s="993">
        <f t="shared" si="2499"/>
        <v>0</v>
      </c>
      <c r="CI886" s="993">
        <f t="shared" si="2499"/>
        <v>0</v>
      </c>
      <c r="CJ886" s="992">
        <f t="shared" si="2499"/>
        <v>0</v>
      </c>
      <c r="CK886" s="992">
        <f t="shared" si="2499"/>
        <v>0</v>
      </c>
      <c r="CL886" s="992">
        <f t="shared" si="2499"/>
        <v>0</v>
      </c>
      <c r="CM886" s="991">
        <f t="shared" si="2499"/>
        <v>0</v>
      </c>
      <c r="CN886" s="1036" t="str">
        <f t="shared" si="2500"/>
        <v/>
      </c>
      <c r="CO886" s="1001" t="str">
        <f t="shared" si="2500"/>
        <v/>
      </c>
      <c r="CP886" s="1002" t="str">
        <f t="shared" si="2500"/>
        <v/>
      </c>
      <c r="CQ886" s="1002" t="str">
        <f t="shared" si="2500"/>
        <v/>
      </c>
      <c r="CR886" s="1002">
        <f t="shared" si="2500"/>
        <v>0</v>
      </c>
      <c r="CS886" s="1002">
        <f t="shared" si="2500"/>
        <v>0</v>
      </c>
      <c r="CT886" s="1002">
        <f t="shared" si="2500"/>
        <v>0</v>
      </c>
      <c r="CU886" s="1003">
        <f t="shared" si="2500"/>
        <v>0</v>
      </c>
      <c r="CV886" s="1003">
        <f t="shared" si="2500"/>
        <v>0</v>
      </c>
      <c r="CW886" s="1003">
        <f t="shared" si="2500"/>
        <v>0</v>
      </c>
      <c r="CX886" s="1002">
        <f t="shared" si="2500"/>
        <v>0</v>
      </c>
      <c r="CY886" s="1002">
        <f t="shared" si="2500"/>
        <v>0</v>
      </c>
      <c r="CZ886" s="1002">
        <f t="shared" si="2500"/>
        <v>0</v>
      </c>
      <c r="DA886" s="1002">
        <f t="shared" si="2500"/>
        <v>0</v>
      </c>
      <c r="DB886" s="1002" t="str">
        <f t="shared" si="2500"/>
        <v/>
      </c>
      <c r="DC886" s="1001" t="str">
        <f t="shared" si="2494"/>
        <v/>
      </c>
      <c r="DD886" s="1036" t="str">
        <f t="shared" si="2429"/>
        <v/>
      </c>
      <c r="DE886" s="635">
        <f t="shared" si="2430"/>
        <v>10</v>
      </c>
      <c r="DF886" s="95">
        <f t="shared" si="2431"/>
        <v>10</v>
      </c>
      <c r="DG886" s="95">
        <f t="shared" si="2432"/>
        <v>10</v>
      </c>
      <c r="DH886" s="95">
        <f t="shared" si="243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2545">SUM(C640)</f>
        <v>0</v>
      </c>
      <c r="D887" s="786">
        <f t="shared" si="2545"/>
        <v>0</v>
      </c>
      <c r="E887" s="786">
        <f t="shared" si="2545"/>
        <v>0</v>
      </c>
      <c r="F887" s="786">
        <f t="shared" si="2545"/>
        <v>0</v>
      </c>
      <c r="G887" s="786">
        <f t="shared" si="2545"/>
        <v>0</v>
      </c>
      <c r="H887" s="786">
        <f t="shared" si="2545"/>
        <v>0</v>
      </c>
      <c r="I887" s="786">
        <f t="shared" si="2545"/>
        <v>0</v>
      </c>
      <c r="J887" s="786">
        <f t="shared" si="2545"/>
        <v>0</v>
      </c>
      <c r="K887" s="786">
        <f t="shared" si="2545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2546">SUM(U640)</f>
        <v>0</v>
      </c>
      <c r="V887" s="786">
        <f t="shared" si="2546"/>
        <v>0</v>
      </c>
      <c r="W887" s="786">
        <f t="shared" si="2546"/>
        <v>0</v>
      </c>
      <c r="X887" s="786">
        <f t="shared" si="2546"/>
        <v>0</v>
      </c>
      <c r="Y887" s="786">
        <f t="shared" si="2546"/>
        <v>0</v>
      </c>
      <c r="Z887" s="786">
        <f t="shared" si="2546"/>
        <v>0</v>
      </c>
      <c r="AA887" s="786">
        <f t="shared" si="2546"/>
        <v>0</v>
      </c>
      <c r="AB887" s="786">
        <f t="shared" si="2546"/>
        <v>0</v>
      </c>
      <c r="AC887" s="786">
        <f t="shared" si="2546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2547">SUM(AM640)</f>
        <v>0</v>
      </c>
      <c r="AN887" s="786">
        <f t="shared" si="2547"/>
        <v>0</v>
      </c>
      <c r="AO887" s="786">
        <f t="shared" si="2547"/>
        <v>0</v>
      </c>
      <c r="AP887" s="786">
        <f t="shared" si="2547"/>
        <v>0</v>
      </c>
      <c r="AQ887" s="786">
        <f t="shared" si="2547"/>
        <v>0</v>
      </c>
      <c r="AR887" s="786">
        <f t="shared" si="2547"/>
        <v>0</v>
      </c>
      <c r="AS887" s="786">
        <f t="shared" si="2547"/>
        <v>0</v>
      </c>
      <c r="AT887" s="786">
        <f t="shared" si="2547"/>
        <v>0</v>
      </c>
      <c r="AU887" s="786">
        <f t="shared" si="2547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2548">SUM(BE640)</f>
        <v>0</v>
      </c>
      <c r="BF887" s="786">
        <f t="shared" si="2548"/>
        <v>0</v>
      </c>
      <c r="BG887" s="786">
        <f t="shared" si="2548"/>
        <v>0</v>
      </c>
      <c r="BH887" s="786">
        <f t="shared" si="2548"/>
        <v>0</v>
      </c>
      <c r="BI887" s="786">
        <f t="shared" si="2548"/>
        <v>0</v>
      </c>
      <c r="BJ887" s="786">
        <f t="shared" si="2548"/>
        <v>0</v>
      </c>
      <c r="BK887" s="786">
        <f t="shared" si="2548"/>
        <v>0</v>
      </c>
      <c r="BL887" s="786">
        <f t="shared" si="2548"/>
        <v>0</v>
      </c>
      <c r="BM887" s="786">
        <f t="shared" si="2548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>SUM(BV640)</f>
        <v>5.3025848069738479E-2</v>
      </c>
      <c r="BW887" s="786">
        <f>SUM(BW640)</f>
        <v>2.4303513698630135E-2</v>
      </c>
      <c r="BX887" s="786">
        <f>SUM(BX640)</f>
        <v>2.651292403486924E-2</v>
      </c>
      <c r="BY887" s="786">
        <f>SUM(BY640)</f>
        <v>0</v>
      </c>
      <c r="BZ887" s="607">
        <f t="shared" si="2423"/>
        <v>0</v>
      </c>
      <c r="CA887" s="607">
        <f t="shared" si="2424"/>
        <v>0</v>
      </c>
      <c r="CB887" s="607">
        <f t="shared" si="2425"/>
        <v>0</v>
      </c>
      <c r="CC887" s="673">
        <f t="shared" si="2426"/>
        <v>0</v>
      </c>
      <c r="CD887" s="991">
        <f t="shared" si="2499"/>
        <v>0</v>
      </c>
      <c r="CE887" s="992">
        <f t="shared" si="2499"/>
        <v>0</v>
      </c>
      <c r="CF887" s="992">
        <f t="shared" si="2499"/>
        <v>0</v>
      </c>
      <c r="CG887" s="992">
        <f t="shared" si="2499"/>
        <v>0</v>
      </c>
      <c r="CH887" s="993">
        <f t="shared" si="2499"/>
        <v>0</v>
      </c>
      <c r="CI887" s="993">
        <f t="shared" si="2499"/>
        <v>0</v>
      </c>
      <c r="CJ887" s="992">
        <f t="shared" si="2499"/>
        <v>0</v>
      </c>
      <c r="CK887" s="992">
        <f t="shared" si="2499"/>
        <v>0</v>
      </c>
      <c r="CL887" s="992">
        <f t="shared" si="2499"/>
        <v>0</v>
      </c>
      <c r="CM887" s="991">
        <f t="shared" si="2499"/>
        <v>0</v>
      </c>
      <c r="CN887" s="1036" t="str">
        <f t="shared" si="2500"/>
        <v/>
      </c>
      <c r="CO887" s="1001" t="str">
        <f t="shared" si="2500"/>
        <v/>
      </c>
      <c r="CP887" s="1002" t="str">
        <f t="shared" si="2500"/>
        <v/>
      </c>
      <c r="CQ887" s="1002" t="str">
        <f t="shared" si="2500"/>
        <v/>
      </c>
      <c r="CR887" s="1002">
        <f t="shared" si="2500"/>
        <v>0</v>
      </c>
      <c r="CS887" s="1002">
        <f t="shared" si="2500"/>
        <v>0</v>
      </c>
      <c r="CT887" s="1002">
        <f t="shared" si="2500"/>
        <v>0</v>
      </c>
      <c r="CU887" s="1003">
        <f t="shared" si="2500"/>
        <v>0</v>
      </c>
      <c r="CV887" s="1003">
        <f t="shared" si="2500"/>
        <v>0</v>
      </c>
      <c r="CW887" s="1003">
        <f t="shared" si="2500"/>
        <v>0</v>
      </c>
      <c r="CX887" s="1002">
        <f t="shared" si="2500"/>
        <v>0</v>
      </c>
      <c r="CY887" s="1002">
        <f t="shared" si="2500"/>
        <v>0</v>
      </c>
      <c r="CZ887" s="1002">
        <f t="shared" si="2500"/>
        <v>0</v>
      </c>
      <c r="DA887" s="1002">
        <f t="shared" si="2500"/>
        <v>0</v>
      </c>
      <c r="DB887" s="1002" t="str">
        <f t="shared" si="2500"/>
        <v/>
      </c>
      <c r="DC887" s="1001" t="str">
        <f t="shared" si="2494"/>
        <v/>
      </c>
      <c r="DD887" s="1036" t="str">
        <f t="shared" si="2429"/>
        <v/>
      </c>
      <c r="DE887" s="635">
        <f t="shared" si="2430"/>
        <v>10</v>
      </c>
      <c r="DF887" s="95">
        <f t="shared" si="2431"/>
        <v>10</v>
      </c>
      <c r="DG887" s="95">
        <f t="shared" si="2432"/>
        <v>10</v>
      </c>
      <c r="DH887" s="95">
        <f t="shared" si="243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2549">SUM(B667)</f>
        <v>0</v>
      </c>
      <c r="C889" s="786">
        <f t="shared" si="2549"/>
        <v>0</v>
      </c>
      <c r="D889" s="786">
        <f t="shared" si="2549"/>
        <v>0</v>
      </c>
      <c r="E889" s="786">
        <f t="shared" si="2549"/>
        <v>0</v>
      </c>
      <c r="F889" s="786">
        <f t="shared" si="2549"/>
        <v>0</v>
      </c>
      <c r="G889" s="786">
        <f t="shared" si="2549"/>
        <v>0</v>
      </c>
      <c r="H889" s="786">
        <f t="shared" si="2549"/>
        <v>0</v>
      </c>
      <c r="I889" s="786">
        <f t="shared" si="2549"/>
        <v>0</v>
      </c>
      <c r="J889" s="786">
        <f t="shared" si="2549"/>
        <v>0</v>
      </c>
      <c r="K889" s="786">
        <f t="shared" si="2549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2550">SUM(T667)</f>
        <v>0</v>
      </c>
      <c r="U889" s="786">
        <f t="shared" si="2550"/>
        <v>0</v>
      </c>
      <c r="V889" s="786">
        <f t="shared" si="2550"/>
        <v>0</v>
      </c>
      <c r="W889" s="786">
        <f t="shared" si="2550"/>
        <v>0</v>
      </c>
      <c r="X889" s="786">
        <f t="shared" si="2550"/>
        <v>0</v>
      </c>
      <c r="Y889" s="786">
        <f t="shared" si="2550"/>
        <v>0</v>
      </c>
      <c r="Z889" s="786">
        <f t="shared" si="2550"/>
        <v>0</v>
      </c>
      <c r="AA889" s="786">
        <f t="shared" si="2550"/>
        <v>0</v>
      </c>
      <c r="AB889" s="786">
        <f t="shared" si="2550"/>
        <v>0</v>
      </c>
      <c r="AC889" s="786">
        <f t="shared" si="2550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2551">SUM(AL667)</f>
        <v>0</v>
      </c>
      <c r="AM889" s="786">
        <f t="shared" si="2551"/>
        <v>0</v>
      </c>
      <c r="AN889" s="786">
        <f t="shared" si="2551"/>
        <v>0</v>
      </c>
      <c r="AO889" s="786">
        <f t="shared" si="2551"/>
        <v>0</v>
      </c>
      <c r="AP889" s="786">
        <f t="shared" si="2551"/>
        <v>0</v>
      </c>
      <c r="AQ889" s="786">
        <f t="shared" si="2551"/>
        <v>0</v>
      </c>
      <c r="AR889" s="786">
        <f t="shared" si="2551"/>
        <v>0</v>
      </c>
      <c r="AS889" s="786">
        <f t="shared" si="2551"/>
        <v>0</v>
      </c>
      <c r="AT889" s="786">
        <f t="shared" si="2551"/>
        <v>0</v>
      </c>
      <c r="AU889" s="786">
        <f t="shared" si="2551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2552">SUM(BD667)</f>
        <v>0</v>
      </c>
      <c r="BE889" s="786">
        <f t="shared" si="2552"/>
        <v>0</v>
      </c>
      <c r="BF889" s="786">
        <f t="shared" si="2552"/>
        <v>0</v>
      </c>
      <c r="BG889" s="786">
        <f t="shared" si="2552"/>
        <v>0</v>
      </c>
      <c r="BH889" s="786">
        <f t="shared" si="2552"/>
        <v>0</v>
      </c>
      <c r="BI889" s="786">
        <f t="shared" si="2552"/>
        <v>0</v>
      </c>
      <c r="BJ889" s="786">
        <f t="shared" si="2552"/>
        <v>0</v>
      </c>
      <c r="BK889" s="786">
        <f t="shared" si="2552"/>
        <v>0</v>
      </c>
      <c r="BL889" s="786">
        <f t="shared" si="2552"/>
        <v>0</v>
      </c>
      <c r="BM889" s="786">
        <f t="shared" si="2552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2553">IF(DE889&lt;3,"",(SUM(B889:R889)-MIN(B889:R889)-MAX(B889:R889))/(DE889-2))</f>
        <v>0</v>
      </c>
      <c r="CA889" s="607">
        <f t="shared" ref="CA889:CA894" si="2554">IF(DF889&lt;3,"",(SUM(T889:AJ889)-MIN(T889:AJ889)-MAX(T889:AJ889))/(DF889-2))</f>
        <v>0</v>
      </c>
      <c r="CB889" s="607">
        <f t="shared" ref="CB889:CB894" si="2555">IF(DG889&lt;3,"",(SUM(AL889:BB889)-MIN(AL889:BB889)-MAX(AL889:BB889))/(DG889-2))</f>
        <v>0</v>
      </c>
      <c r="CC889" s="673">
        <f t="shared" ref="CC889:CC894" si="2556">IF(DH889&lt;3,"",(SUM(BD889:BT889)-MIN(BD889:BT889)-MAX(BD889:BT889))/(DH889-2))</f>
        <v>0</v>
      </c>
      <c r="CD889" s="991">
        <f t="shared" ref="CD889:CM889" si="255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2557"/>
        <v>0</v>
      </c>
      <c r="CF889" s="992">
        <f t="shared" si="2557"/>
        <v>0</v>
      </c>
      <c r="CG889" s="992">
        <f t="shared" si="2557"/>
        <v>0</v>
      </c>
      <c r="CH889" s="993">
        <f t="shared" si="2557"/>
        <v>0</v>
      </c>
      <c r="CI889" s="993">
        <f t="shared" si="2557"/>
        <v>0</v>
      </c>
      <c r="CJ889" s="992">
        <f t="shared" si="2557"/>
        <v>0</v>
      </c>
      <c r="CK889" s="992">
        <f t="shared" si="2557"/>
        <v>0</v>
      </c>
      <c r="CL889" s="992">
        <f t="shared" si="2557"/>
        <v>0</v>
      </c>
      <c r="CM889" s="991">
        <f t="shared" si="2557"/>
        <v>0</v>
      </c>
      <c r="CN889" s="521" t="str">
        <f t="shared" ref="CN889:CN894" si="255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255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256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256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256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256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256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256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256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256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56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56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257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257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257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257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257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2575">COUNT(B889:R889)</f>
        <v>10</v>
      </c>
      <c r="DF889" s="95">
        <f t="shared" ref="DF889:DF894" si="2576">COUNT(T889:AJ889)</f>
        <v>10</v>
      </c>
      <c r="DG889" s="95">
        <f t="shared" ref="DG889:DG894" si="2577">COUNT(AL889:BB889)</f>
        <v>10</v>
      </c>
      <c r="DH889" s="95">
        <f t="shared" ref="DH889:DH894" si="2578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2579">SUM(B670)</f>
        <v>0</v>
      </c>
      <c r="C890" s="786">
        <f t="shared" si="2579"/>
        <v>0</v>
      </c>
      <c r="D890" s="786">
        <f t="shared" si="2579"/>
        <v>0</v>
      </c>
      <c r="E890" s="786">
        <f t="shared" si="2579"/>
        <v>0</v>
      </c>
      <c r="F890" s="786">
        <f t="shared" si="2579"/>
        <v>0</v>
      </c>
      <c r="G890" s="786">
        <f t="shared" si="2579"/>
        <v>0</v>
      </c>
      <c r="H890" s="786">
        <f t="shared" si="2579"/>
        <v>0</v>
      </c>
      <c r="I890" s="786">
        <f t="shared" si="2579"/>
        <v>0</v>
      </c>
      <c r="J890" s="786">
        <f t="shared" si="2579"/>
        <v>0</v>
      </c>
      <c r="K890" s="786">
        <f t="shared" si="2579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2580">SUM(T670)</f>
        <v>0</v>
      </c>
      <c r="U890" s="786">
        <f t="shared" si="2580"/>
        <v>0</v>
      </c>
      <c r="V890" s="786">
        <f t="shared" si="2580"/>
        <v>0</v>
      </c>
      <c r="W890" s="786">
        <f t="shared" si="2580"/>
        <v>0</v>
      </c>
      <c r="X890" s="786">
        <f t="shared" si="2580"/>
        <v>0</v>
      </c>
      <c r="Y890" s="786">
        <f t="shared" si="2580"/>
        <v>0</v>
      </c>
      <c r="Z890" s="786">
        <f t="shared" si="2580"/>
        <v>0</v>
      </c>
      <c r="AA890" s="786">
        <f t="shared" si="2580"/>
        <v>0</v>
      </c>
      <c r="AB890" s="786">
        <f t="shared" si="2580"/>
        <v>0</v>
      </c>
      <c r="AC890" s="786">
        <f t="shared" si="2580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2581">SUM(AL670)</f>
        <v>0</v>
      </c>
      <c r="AM890" s="786">
        <f t="shared" si="2581"/>
        <v>0</v>
      </c>
      <c r="AN890" s="786">
        <f t="shared" si="2581"/>
        <v>0</v>
      </c>
      <c r="AO890" s="786">
        <f t="shared" si="2581"/>
        <v>0</v>
      </c>
      <c r="AP890" s="786">
        <f t="shared" si="2581"/>
        <v>0</v>
      </c>
      <c r="AQ890" s="786">
        <f t="shared" si="2581"/>
        <v>0</v>
      </c>
      <c r="AR890" s="786">
        <f t="shared" si="2581"/>
        <v>0</v>
      </c>
      <c r="AS890" s="786">
        <f t="shared" si="2581"/>
        <v>0</v>
      </c>
      <c r="AT890" s="786">
        <f t="shared" si="2581"/>
        <v>0</v>
      </c>
      <c r="AU890" s="786">
        <f t="shared" si="2581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2582">SUM(BD670)</f>
        <v>0</v>
      </c>
      <c r="BE890" s="786">
        <f t="shared" si="2582"/>
        <v>0</v>
      </c>
      <c r="BF890" s="786">
        <f t="shared" si="2582"/>
        <v>0</v>
      </c>
      <c r="BG890" s="786">
        <f t="shared" si="2582"/>
        <v>0</v>
      </c>
      <c r="BH890" s="786">
        <f t="shared" si="2582"/>
        <v>0</v>
      </c>
      <c r="BI890" s="786">
        <f t="shared" si="2582"/>
        <v>0</v>
      </c>
      <c r="BJ890" s="786">
        <f t="shared" si="2582"/>
        <v>0</v>
      </c>
      <c r="BK890" s="786">
        <f t="shared" si="2582"/>
        <v>0</v>
      </c>
      <c r="BL890" s="786">
        <f t="shared" si="2582"/>
        <v>0</v>
      </c>
      <c r="BM890" s="786">
        <f t="shared" si="2582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2553"/>
        <v>0</v>
      </c>
      <c r="CA890" s="607">
        <f t="shared" si="2554"/>
        <v>0</v>
      </c>
      <c r="CB890" s="607">
        <f t="shared" si="2555"/>
        <v>0</v>
      </c>
      <c r="CC890" s="673">
        <f t="shared" si="2556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258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2583"/>
        <v>0</v>
      </c>
      <c r="CG890" s="992">
        <f t="shared" si="2583"/>
        <v>0</v>
      </c>
      <c r="CH890" s="993">
        <f t="shared" si="2583"/>
        <v>0</v>
      </c>
      <c r="CI890" s="993">
        <f t="shared" si="2583"/>
        <v>0</v>
      </c>
      <c r="CJ890" s="992">
        <f t="shared" si="2583"/>
        <v>0</v>
      </c>
      <c r="CK890" s="992">
        <f t="shared" si="2583"/>
        <v>0</v>
      </c>
      <c r="CL890" s="992">
        <f t="shared" si="2583"/>
        <v>0</v>
      </c>
      <c r="CM890" s="991">
        <f t="shared" si="2583"/>
        <v>0</v>
      </c>
      <c r="CN890" s="521" t="str">
        <f t="shared" si="2558"/>
        <v/>
      </c>
      <c r="CO890" s="522" t="str">
        <f t="shared" si="2559"/>
        <v/>
      </c>
      <c r="CP890" s="523" t="str">
        <f t="shared" si="2560"/>
        <v/>
      </c>
      <c r="CQ890" s="523" t="str">
        <f t="shared" si="2561"/>
        <v/>
      </c>
      <c r="CR890" s="523">
        <f t="shared" si="2562"/>
        <v>0</v>
      </c>
      <c r="CS890" s="523">
        <f t="shared" si="2563"/>
        <v>0</v>
      </c>
      <c r="CT890" s="523">
        <f t="shared" si="2564"/>
        <v>0</v>
      </c>
      <c r="CU890" s="524">
        <f t="shared" si="2565"/>
        <v>0</v>
      </c>
      <c r="CV890" s="524">
        <f t="shared" si="2566"/>
        <v>0</v>
      </c>
      <c r="CW890" s="524">
        <f t="shared" si="2567"/>
        <v>0</v>
      </c>
      <c r="CX890" s="523">
        <f t="shared" si="2568"/>
        <v>0</v>
      </c>
      <c r="CY890" s="523">
        <f t="shared" si="2569"/>
        <v>0</v>
      </c>
      <c r="CZ890" s="523">
        <f t="shared" si="2570"/>
        <v>0</v>
      </c>
      <c r="DA890" s="523">
        <f t="shared" si="2571"/>
        <v>0</v>
      </c>
      <c r="DB890" s="523" t="str">
        <f t="shared" si="2572"/>
        <v/>
      </c>
      <c r="DC890" s="522" t="str">
        <f t="shared" si="2573"/>
        <v/>
      </c>
      <c r="DD890" s="521" t="str">
        <f t="shared" si="2574"/>
        <v/>
      </c>
      <c r="DE890" s="635">
        <f t="shared" si="2575"/>
        <v>10</v>
      </c>
      <c r="DF890" s="95">
        <f t="shared" si="2576"/>
        <v>10</v>
      </c>
      <c r="DG890" s="95">
        <f t="shared" si="2577"/>
        <v>10</v>
      </c>
      <c r="DH890" s="95">
        <f t="shared" si="2578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2584">SUM(B673)</f>
        <v>0</v>
      </c>
      <c r="C891" s="786">
        <f t="shared" si="2584"/>
        <v>0</v>
      </c>
      <c r="D891" s="786">
        <f t="shared" si="2584"/>
        <v>0</v>
      </c>
      <c r="E891" s="786">
        <f t="shared" si="2584"/>
        <v>0</v>
      </c>
      <c r="F891" s="786">
        <f t="shared" si="2584"/>
        <v>0</v>
      </c>
      <c r="G891" s="786">
        <f t="shared" si="2584"/>
        <v>0</v>
      </c>
      <c r="H891" s="786">
        <f t="shared" si="2584"/>
        <v>0</v>
      </c>
      <c r="I891" s="786">
        <f t="shared" si="2584"/>
        <v>0</v>
      </c>
      <c r="J891" s="786">
        <f t="shared" si="2584"/>
        <v>0</v>
      </c>
      <c r="K891" s="786">
        <f t="shared" si="2584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2585">SUM(T673)</f>
        <v>0</v>
      </c>
      <c r="U891" s="786">
        <f t="shared" si="2585"/>
        <v>0</v>
      </c>
      <c r="V891" s="786">
        <f t="shared" si="2585"/>
        <v>0</v>
      </c>
      <c r="W891" s="786">
        <f t="shared" si="2585"/>
        <v>0</v>
      </c>
      <c r="X891" s="786">
        <f t="shared" si="2585"/>
        <v>0</v>
      </c>
      <c r="Y891" s="786">
        <f t="shared" si="2585"/>
        <v>0</v>
      </c>
      <c r="Z891" s="786">
        <f t="shared" si="2585"/>
        <v>0</v>
      </c>
      <c r="AA891" s="786">
        <f t="shared" si="2585"/>
        <v>0</v>
      </c>
      <c r="AB891" s="786">
        <f t="shared" si="2585"/>
        <v>0</v>
      </c>
      <c r="AC891" s="786">
        <f t="shared" si="2585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2586">SUM(AL673)</f>
        <v>0</v>
      </c>
      <c r="AM891" s="786">
        <f t="shared" si="2586"/>
        <v>0</v>
      </c>
      <c r="AN891" s="786">
        <f t="shared" si="2586"/>
        <v>0</v>
      </c>
      <c r="AO891" s="786">
        <f t="shared" si="2586"/>
        <v>0</v>
      </c>
      <c r="AP891" s="786">
        <f t="shared" si="2586"/>
        <v>0</v>
      </c>
      <c r="AQ891" s="786">
        <f t="shared" si="2586"/>
        <v>0</v>
      </c>
      <c r="AR891" s="786">
        <f t="shared" si="2586"/>
        <v>0</v>
      </c>
      <c r="AS891" s="786">
        <f t="shared" si="2586"/>
        <v>0</v>
      </c>
      <c r="AT891" s="786">
        <f t="shared" si="2586"/>
        <v>0</v>
      </c>
      <c r="AU891" s="786">
        <f t="shared" si="2586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2587">SUM(BD673)</f>
        <v>0</v>
      </c>
      <c r="BE891" s="786">
        <f t="shared" si="2587"/>
        <v>0</v>
      </c>
      <c r="BF891" s="786">
        <f t="shared" si="2587"/>
        <v>0</v>
      </c>
      <c r="BG891" s="786">
        <f t="shared" si="2587"/>
        <v>0</v>
      </c>
      <c r="BH891" s="786">
        <f t="shared" si="2587"/>
        <v>0</v>
      </c>
      <c r="BI891" s="786">
        <f t="shared" si="2587"/>
        <v>0</v>
      </c>
      <c r="BJ891" s="786">
        <f t="shared" si="2587"/>
        <v>0</v>
      </c>
      <c r="BK891" s="786">
        <f t="shared" si="2587"/>
        <v>0</v>
      </c>
      <c r="BL891" s="786">
        <f t="shared" si="2587"/>
        <v>0</v>
      </c>
      <c r="BM891" s="786">
        <f t="shared" si="2587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2553"/>
        <v>0</v>
      </c>
      <c r="CA891" s="607">
        <f t="shared" si="2554"/>
        <v>0</v>
      </c>
      <c r="CB891" s="607">
        <f t="shared" si="2555"/>
        <v>0</v>
      </c>
      <c r="CC891" s="673">
        <f t="shared" si="2556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2583"/>
        <v>0</v>
      </c>
      <c r="CF891" s="992">
        <f t="shared" si="2583"/>
        <v>0</v>
      </c>
      <c r="CG891" s="992">
        <f t="shared" si="2583"/>
        <v>0</v>
      </c>
      <c r="CH891" s="993">
        <f t="shared" si="2583"/>
        <v>0</v>
      </c>
      <c r="CI891" s="993">
        <f t="shared" si="2583"/>
        <v>0</v>
      </c>
      <c r="CJ891" s="992">
        <f t="shared" si="2583"/>
        <v>0</v>
      </c>
      <c r="CK891" s="992">
        <f t="shared" si="2583"/>
        <v>0</v>
      </c>
      <c r="CL891" s="992">
        <f t="shared" si="2583"/>
        <v>0</v>
      </c>
      <c r="CM891" s="991">
        <f t="shared" si="2583"/>
        <v>0</v>
      </c>
      <c r="CN891" s="521" t="str">
        <f t="shared" si="2558"/>
        <v/>
      </c>
      <c r="CO891" s="522" t="str">
        <f t="shared" si="2559"/>
        <v/>
      </c>
      <c r="CP891" s="523" t="str">
        <f t="shared" si="2560"/>
        <v/>
      </c>
      <c r="CQ891" s="523" t="str">
        <f t="shared" si="2561"/>
        <v/>
      </c>
      <c r="CR891" s="523">
        <f t="shared" si="2562"/>
        <v>0</v>
      </c>
      <c r="CS891" s="523">
        <f t="shared" si="2563"/>
        <v>0</v>
      </c>
      <c r="CT891" s="523">
        <f t="shared" si="2564"/>
        <v>0</v>
      </c>
      <c r="CU891" s="524">
        <f t="shared" si="2565"/>
        <v>0</v>
      </c>
      <c r="CV891" s="524">
        <f t="shared" si="2566"/>
        <v>0</v>
      </c>
      <c r="CW891" s="524">
        <f t="shared" si="2567"/>
        <v>0</v>
      </c>
      <c r="CX891" s="523">
        <f t="shared" si="2568"/>
        <v>0</v>
      </c>
      <c r="CY891" s="523">
        <f t="shared" si="2569"/>
        <v>0</v>
      </c>
      <c r="CZ891" s="523">
        <f t="shared" si="2570"/>
        <v>0</v>
      </c>
      <c r="DA891" s="523">
        <f t="shared" si="2571"/>
        <v>0</v>
      </c>
      <c r="DB891" s="523" t="str">
        <f t="shared" si="2572"/>
        <v/>
      </c>
      <c r="DC891" s="522" t="str">
        <f t="shared" si="2573"/>
        <v/>
      </c>
      <c r="DD891" s="521" t="str">
        <f t="shared" si="2574"/>
        <v/>
      </c>
      <c r="DE891" s="635">
        <f t="shared" si="2575"/>
        <v>10</v>
      </c>
      <c r="DF891" s="95">
        <f t="shared" si="2576"/>
        <v>10</v>
      </c>
      <c r="DG891" s="95">
        <f t="shared" si="2577"/>
        <v>10</v>
      </c>
      <c r="DH891" s="95">
        <f t="shared" si="2578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2588">SUM(B676)</f>
        <v>0</v>
      </c>
      <c r="C892" s="786">
        <f t="shared" si="2588"/>
        <v>0</v>
      </c>
      <c r="D892" s="786">
        <f t="shared" si="2588"/>
        <v>0</v>
      </c>
      <c r="E892" s="786">
        <f t="shared" si="2588"/>
        <v>0</v>
      </c>
      <c r="F892" s="786">
        <f t="shared" si="2588"/>
        <v>0</v>
      </c>
      <c r="G892" s="786">
        <f t="shared" si="2588"/>
        <v>0</v>
      </c>
      <c r="H892" s="786">
        <f t="shared" si="2588"/>
        <v>0</v>
      </c>
      <c r="I892" s="786">
        <f t="shared" si="2588"/>
        <v>0</v>
      </c>
      <c r="J892" s="786">
        <f t="shared" si="2588"/>
        <v>0</v>
      </c>
      <c r="K892" s="786">
        <f t="shared" si="2588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2589">SUM(T676)</f>
        <v>0</v>
      </c>
      <c r="U892" s="786">
        <f t="shared" si="2589"/>
        <v>0</v>
      </c>
      <c r="V892" s="786">
        <f t="shared" si="2589"/>
        <v>0</v>
      </c>
      <c r="W892" s="786">
        <f t="shared" si="2589"/>
        <v>0</v>
      </c>
      <c r="X892" s="786">
        <f t="shared" si="2589"/>
        <v>0</v>
      </c>
      <c r="Y892" s="786">
        <f t="shared" si="2589"/>
        <v>0</v>
      </c>
      <c r="Z892" s="786">
        <f t="shared" si="2589"/>
        <v>0</v>
      </c>
      <c r="AA892" s="786">
        <f t="shared" si="2589"/>
        <v>0</v>
      </c>
      <c r="AB892" s="786">
        <f t="shared" si="2589"/>
        <v>0</v>
      </c>
      <c r="AC892" s="786">
        <f t="shared" si="2589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2590">SUM(AL676)</f>
        <v>0</v>
      </c>
      <c r="AM892" s="786">
        <f t="shared" si="2590"/>
        <v>0</v>
      </c>
      <c r="AN892" s="786">
        <f t="shared" si="2590"/>
        <v>0</v>
      </c>
      <c r="AO892" s="786">
        <f t="shared" si="2590"/>
        <v>0</v>
      </c>
      <c r="AP892" s="786">
        <f t="shared" si="2590"/>
        <v>0</v>
      </c>
      <c r="AQ892" s="786">
        <f t="shared" si="2590"/>
        <v>0</v>
      </c>
      <c r="AR892" s="786">
        <f t="shared" si="2590"/>
        <v>0</v>
      </c>
      <c r="AS892" s="786">
        <f t="shared" si="2590"/>
        <v>0</v>
      </c>
      <c r="AT892" s="786">
        <f t="shared" si="2590"/>
        <v>0</v>
      </c>
      <c r="AU892" s="786">
        <f t="shared" si="2590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2591">SUM(BD676)</f>
        <v>0</v>
      </c>
      <c r="BE892" s="786">
        <f t="shared" si="2591"/>
        <v>0</v>
      </c>
      <c r="BF892" s="786">
        <f t="shared" si="2591"/>
        <v>0</v>
      </c>
      <c r="BG892" s="786">
        <f t="shared" si="2591"/>
        <v>0</v>
      </c>
      <c r="BH892" s="786">
        <f t="shared" si="2591"/>
        <v>0</v>
      </c>
      <c r="BI892" s="786">
        <f t="shared" si="2591"/>
        <v>0</v>
      </c>
      <c r="BJ892" s="786">
        <f t="shared" si="2591"/>
        <v>0</v>
      </c>
      <c r="BK892" s="786">
        <f t="shared" si="2591"/>
        <v>0</v>
      </c>
      <c r="BL892" s="786">
        <f t="shared" si="2591"/>
        <v>0</v>
      </c>
      <c r="BM892" s="786">
        <f t="shared" si="2591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2553"/>
        <v>0</v>
      </c>
      <c r="CA892" s="607">
        <f t="shared" si="2554"/>
        <v>0</v>
      </c>
      <c r="CB892" s="607">
        <f t="shared" si="2555"/>
        <v>0</v>
      </c>
      <c r="CC892" s="673">
        <f t="shared" si="2556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2583"/>
        <v>0</v>
      </c>
      <c r="CF892" s="992">
        <f t="shared" si="2583"/>
        <v>0</v>
      </c>
      <c r="CG892" s="992">
        <f t="shared" si="2583"/>
        <v>0</v>
      </c>
      <c r="CH892" s="993">
        <f t="shared" si="2583"/>
        <v>0</v>
      </c>
      <c r="CI892" s="993">
        <f t="shared" si="2583"/>
        <v>0</v>
      </c>
      <c r="CJ892" s="992">
        <f t="shared" si="2583"/>
        <v>0</v>
      </c>
      <c r="CK892" s="992">
        <f t="shared" si="2583"/>
        <v>0</v>
      </c>
      <c r="CL892" s="992">
        <f t="shared" si="2583"/>
        <v>0</v>
      </c>
      <c r="CM892" s="991">
        <f t="shared" si="2583"/>
        <v>0</v>
      </c>
      <c r="CN892" s="521" t="str">
        <f t="shared" si="2558"/>
        <v/>
      </c>
      <c r="CO892" s="522" t="str">
        <f t="shared" si="2559"/>
        <v/>
      </c>
      <c r="CP892" s="523" t="str">
        <f t="shared" si="2560"/>
        <v/>
      </c>
      <c r="CQ892" s="523" t="str">
        <f t="shared" si="2561"/>
        <v/>
      </c>
      <c r="CR892" s="523">
        <f t="shared" si="2562"/>
        <v>0</v>
      </c>
      <c r="CS892" s="523">
        <f t="shared" si="2563"/>
        <v>0</v>
      </c>
      <c r="CT892" s="523">
        <f t="shared" si="2564"/>
        <v>0</v>
      </c>
      <c r="CU892" s="524">
        <f t="shared" si="2565"/>
        <v>0</v>
      </c>
      <c r="CV892" s="524">
        <f t="shared" si="2566"/>
        <v>0</v>
      </c>
      <c r="CW892" s="524">
        <f t="shared" si="2567"/>
        <v>0</v>
      </c>
      <c r="CX892" s="523">
        <f t="shared" si="2568"/>
        <v>0</v>
      </c>
      <c r="CY892" s="523">
        <f t="shared" si="2569"/>
        <v>0</v>
      </c>
      <c r="CZ892" s="523">
        <f t="shared" si="2570"/>
        <v>0</v>
      </c>
      <c r="DA892" s="523">
        <f t="shared" si="2571"/>
        <v>0</v>
      </c>
      <c r="DB892" s="523" t="str">
        <f t="shared" si="2572"/>
        <v/>
      </c>
      <c r="DC892" s="522" t="str">
        <f t="shared" si="2573"/>
        <v/>
      </c>
      <c r="DD892" s="521" t="str">
        <f t="shared" si="2574"/>
        <v/>
      </c>
      <c r="DE892" s="635">
        <f t="shared" si="2575"/>
        <v>10</v>
      </c>
      <c r="DF892" s="95">
        <f t="shared" si="2576"/>
        <v>10</v>
      </c>
      <c r="DG892" s="95">
        <f t="shared" si="2577"/>
        <v>10</v>
      </c>
      <c r="DH892" s="95">
        <f t="shared" si="2578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2592">SUM(B681)</f>
        <v>0</v>
      </c>
      <c r="C893" s="786">
        <f t="shared" si="2592"/>
        <v>0</v>
      </c>
      <c r="D893" s="786">
        <f t="shared" si="2592"/>
        <v>0</v>
      </c>
      <c r="E893" s="786">
        <f t="shared" si="2592"/>
        <v>0</v>
      </c>
      <c r="F893" s="786">
        <f t="shared" si="2592"/>
        <v>0</v>
      </c>
      <c r="G893" s="786">
        <f t="shared" si="2592"/>
        <v>0</v>
      </c>
      <c r="H893" s="786">
        <f t="shared" si="2592"/>
        <v>0</v>
      </c>
      <c r="I893" s="786">
        <f t="shared" si="2592"/>
        <v>0</v>
      </c>
      <c r="J893" s="786">
        <f t="shared" si="2592"/>
        <v>0</v>
      </c>
      <c r="K893" s="786">
        <f t="shared" si="2592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2593">SUM(T681)</f>
        <v>0</v>
      </c>
      <c r="U893" s="786">
        <f t="shared" si="2593"/>
        <v>0</v>
      </c>
      <c r="V893" s="786">
        <f t="shared" si="2593"/>
        <v>0</v>
      </c>
      <c r="W893" s="786">
        <f t="shared" si="2593"/>
        <v>0</v>
      </c>
      <c r="X893" s="786">
        <f t="shared" si="2593"/>
        <v>0</v>
      </c>
      <c r="Y893" s="786">
        <f t="shared" si="2593"/>
        <v>0</v>
      </c>
      <c r="Z893" s="786">
        <f t="shared" si="2593"/>
        <v>0</v>
      </c>
      <c r="AA893" s="786">
        <f t="shared" si="2593"/>
        <v>0</v>
      </c>
      <c r="AB893" s="786">
        <f t="shared" si="2593"/>
        <v>0</v>
      </c>
      <c r="AC893" s="786">
        <f t="shared" si="2593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2594">SUM(AL681)</f>
        <v>0</v>
      </c>
      <c r="AM893" s="786">
        <f t="shared" si="2594"/>
        <v>0</v>
      </c>
      <c r="AN893" s="786">
        <f t="shared" si="2594"/>
        <v>0</v>
      </c>
      <c r="AO893" s="786">
        <f t="shared" si="2594"/>
        <v>0</v>
      </c>
      <c r="AP893" s="786">
        <f t="shared" si="2594"/>
        <v>0</v>
      </c>
      <c r="AQ893" s="786">
        <f t="shared" si="2594"/>
        <v>0</v>
      </c>
      <c r="AR893" s="786">
        <f t="shared" si="2594"/>
        <v>0</v>
      </c>
      <c r="AS893" s="786">
        <f t="shared" si="2594"/>
        <v>0</v>
      </c>
      <c r="AT893" s="786">
        <f t="shared" si="2594"/>
        <v>0</v>
      </c>
      <c r="AU893" s="786">
        <f t="shared" si="2594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2595">SUM(BD681)</f>
        <v>0</v>
      </c>
      <c r="BE893" s="786">
        <f t="shared" si="2595"/>
        <v>0</v>
      </c>
      <c r="BF893" s="786">
        <f t="shared" si="2595"/>
        <v>0</v>
      </c>
      <c r="BG893" s="786">
        <f t="shared" si="2595"/>
        <v>0</v>
      </c>
      <c r="BH893" s="786">
        <f t="shared" si="2595"/>
        <v>0</v>
      </c>
      <c r="BI893" s="786">
        <f t="shared" si="2595"/>
        <v>0</v>
      </c>
      <c r="BJ893" s="786">
        <f t="shared" si="2595"/>
        <v>0</v>
      </c>
      <c r="BK893" s="786">
        <f t="shared" si="2595"/>
        <v>0</v>
      </c>
      <c r="BL893" s="786">
        <f t="shared" si="2595"/>
        <v>0</v>
      </c>
      <c r="BM893" s="786">
        <f t="shared" si="2595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2553"/>
        <v>0</v>
      </c>
      <c r="CA893" s="607">
        <f t="shared" si="2554"/>
        <v>0</v>
      </c>
      <c r="CB893" s="607">
        <f t="shared" si="2555"/>
        <v>0</v>
      </c>
      <c r="CC893" s="673">
        <f t="shared" si="2556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2583"/>
        <v>0</v>
      </c>
      <c r="CF893" s="992">
        <f t="shared" si="2583"/>
        <v>0</v>
      </c>
      <c r="CG893" s="992">
        <f t="shared" si="2583"/>
        <v>0</v>
      </c>
      <c r="CH893" s="993">
        <f t="shared" si="2583"/>
        <v>0</v>
      </c>
      <c r="CI893" s="993">
        <f t="shared" si="2583"/>
        <v>0</v>
      </c>
      <c r="CJ893" s="992">
        <f t="shared" si="2583"/>
        <v>0</v>
      </c>
      <c r="CK893" s="992">
        <f t="shared" si="2583"/>
        <v>0</v>
      </c>
      <c r="CL893" s="992">
        <f t="shared" si="2583"/>
        <v>0</v>
      </c>
      <c r="CM893" s="991">
        <f t="shared" si="2583"/>
        <v>0</v>
      </c>
      <c r="CN893" s="521" t="str">
        <f t="shared" si="2558"/>
        <v/>
      </c>
      <c r="CO893" s="522" t="str">
        <f t="shared" si="2559"/>
        <v/>
      </c>
      <c r="CP893" s="523" t="str">
        <f t="shared" si="2560"/>
        <v/>
      </c>
      <c r="CQ893" s="523" t="str">
        <f t="shared" si="2561"/>
        <v/>
      </c>
      <c r="CR893" s="523">
        <f t="shared" si="2562"/>
        <v>0</v>
      </c>
      <c r="CS893" s="523">
        <f t="shared" si="2563"/>
        <v>0</v>
      </c>
      <c r="CT893" s="523">
        <f t="shared" si="2564"/>
        <v>0</v>
      </c>
      <c r="CU893" s="524">
        <f t="shared" si="2565"/>
        <v>0</v>
      </c>
      <c r="CV893" s="524">
        <f t="shared" si="2566"/>
        <v>0</v>
      </c>
      <c r="CW893" s="524">
        <f t="shared" si="2567"/>
        <v>0</v>
      </c>
      <c r="CX893" s="523">
        <f t="shared" si="2568"/>
        <v>0</v>
      </c>
      <c r="CY893" s="523">
        <f t="shared" si="2569"/>
        <v>0</v>
      </c>
      <c r="CZ893" s="523">
        <f t="shared" si="2570"/>
        <v>0</v>
      </c>
      <c r="DA893" s="523">
        <f t="shared" si="2571"/>
        <v>0</v>
      </c>
      <c r="DB893" s="523" t="str">
        <f t="shared" si="2572"/>
        <v/>
      </c>
      <c r="DC893" s="522" t="str">
        <f t="shared" si="2573"/>
        <v/>
      </c>
      <c r="DD893" s="521" t="str">
        <f t="shared" si="2574"/>
        <v/>
      </c>
      <c r="DE893" s="635">
        <f t="shared" si="2575"/>
        <v>10</v>
      </c>
      <c r="DF893" s="95">
        <f t="shared" si="2576"/>
        <v>10</v>
      </c>
      <c r="DG893" s="95">
        <f t="shared" si="2577"/>
        <v>10</v>
      </c>
      <c r="DH893" s="95">
        <f t="shared" si="2578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2596">SUM(B686)</f>
        <v>0</v>
      </c>
      <c r="C894" s="786">
        <f t="shared" si="2596"/>
        <v>0</v>
      </c>
      <c r="D894" s="786">
        <f t="shared" si="2596"/>
        <v>0</v>
      </c>
      <c r="E894" s="786">
        <f t="shared" si="2596"/>
        <v>0</v>
      </c>
      <c r="F894" s="786">
        <f t="shared" si="2596"/>
        <v>0</v>
      </c>
      <c r="G894" s="786">
        <f t="shared" si="2596"/>
        <v>0</v>
      </c>
      <c r="H894" s="786">
        <f t="shared" si="2596"/>
        <v>0</v>
      </c>
      <c r="I894" s="786">
        <f t="shared" si="2596"/>
        <v>0</v>
      </c>
      <c r="J894" s="786">
        <f t="shared" si="2596"/>
        <v>0</v>
      </c>
      <c r="K894" s="786">
        <f t="shared" si="2596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2597">SUM(T686)</f>
        <v>0</v>
      </c>
      <c r="U894" s="786">
        <f t="shared" si="2597"/>
        <v>0</v>
      </c>
      <c r="V894" s="786">
        <f t="shared" si="2597"/>
        <v>0</v>
      </c>
      <c r="W894" s="786">
        <f t="shared" si="2597"/>
        <v>0</v>
      </c>
      <c r="X894" s="786">
        <f t="shared" si="2597"/>
        <v>0</v>
      </c>
      <c r="Y894" s="786">
        <f t="shared" si="2597"/>
        <v>0</v>
      </c>
      <c r="Z894" s="786">
        <f t="shared" si="2597"/>
        <v>0</v>
      </c>
      <c r="AA894" s="786">
        <f t="shared" si="2597"/>
        <v>0</v>
      </c>
      <c r="AB894" s="786">
        <f t="shared" si="2597"/>
        <v>0</v>
      </c>
      <c r="AC894" s="786">
        <f t="shared" si="2597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2598">SUM(AL686)</f>
        <v>0</v>
      </c>
      <c r="AM894" s="786">
        <f t="shared" si="2598"/>
        <v>0</v>
      </c>
      <c r="AN894" s="786">
        <f t="shared" si="2598"/>
        <v>0</v>
      </c>
      <c r="AO894" s="786">
        <f t="shared" si="2598"/>
        <v>0</v>
      </c>
      <c r="AP894" s="786">
        <f t="shared" si="2598"/>
        <v>0</v>
      </c>
      <c r="AQ894" s="786">
        <f t="shared" si="2598"/>
        <v>0</v>
      </c>
      <c r="AR894" s="786">
        <f t="shared" si="2598"/>
        <v>0</v>
      </c>
      <c r="AS894" s="786">
        <f t="shared" si="2598"/>
        <v>0</v>
      </c>
      <c r="AT894" s="786">
        <f t="shared" si="2598"/>
        <v>0</v>
      </c>
      <c r="AU894" s="786">
        <f t="shared" si="2598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2599">SUM(BD686)</f>
        <v>0</v>
      </c>
      <c r="BE894" s="786">
        <f t="shared" si="2599"/>
        <v>0</v>
      </c>
      <c r="BF894" s="786">
        <f t="shared" si="2599"/>
        <v>0</v>
      </c>
      <c r="BG894" s="786">
        <f t="shared" si="2599"/>
        <v>0</v>
      </c>
      <c r="BH894" s="786">
        <f t="shared" si="2599"/>
        <v>0</v>
      </c>
      <c r="BI894" s="786">
        <f t="shared" si="2599"/>
        <v>0</v>
      </c>
      <c r="BJ894" s="786">
        <f t="shared" si="2599"/>
        <v>0</v>
      </c>
      <c r="BK894" s="786">
        <f t="shared" si="2599"/>
        <v>0</v>
      </c>
      <c r="BL894" s="786">
        <f t="shared" si="2599"/>
        <v>0</v>
      </c>
      <c r="BM894" s="786">
        <f t="shared" si="2599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2553"/>
        <v>0</v>
      </c>
      <c r="CA894" s="607">
        <f t="shared" si="2554"/>
        <v>0</v>
      </c>
      <c r="CB894" s="607">
        <f t="shared" si="2555"/>
        <v>0</v>
      </c>
      <c r="CC894" s="673">
        <f t="shared" si="2556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2583"/>
        <v>0</v>
      </c>
      <c r="CF894" s="992">
        <f t="shared" si="2583"/>
        <v>0</v>
      </c>
      <c r="CG894" s="992">
        <f t="shared" si="2583"/>
        <v>0</v>
      </c>
      <c r="CH894" s="993">
        <f t="shared" si="2583"/>
        <v>0</v>
      </c>
      <c r="CI894" s="993">
        <f t="shared" si="2583"/>
        <v>0</v>
      </c>
      <c r="CJ894" s="992">
        <f t="shared" si="2583"/>
        <v>0</v>
      </c>
      <c r="CK894" s="992">
        <f t="shared" si="2583"/>
        <v>0</v>
      </c>
      <c r="CL894" s="992">
        <f t="shared" si="2583"/>
        <v>0</v>
      </c>
      <c r="CM894" s="991">
        <f t="shared" si="2583"/>
        <v>0</v>
      </c>
      <c r="CN894" s="521" t="str">
        <f t="shared" si="2558"/>
        <v/>
      </c>
      <c r="CO894" s="522" t="str">
        <f t="shared" si="2559"/>
        <v/>
      </c>
      <c r="CP894" s="523" t="str">
        <f t="shared" si="2560"/>
        <v/>
      </c>
      <c r="CQ894" s="523" t="str">
        <f t="shared" si="2561"/>
        <v/>
      </c>
      <c r="CR894" s="523">
        <f t="shared" si="2562"/>
        <v>0</v>
      </c>
      <c r="CS894" s="523">
        <f t="shared" si="2563"/>
        <v>0</v>
      </c>
      <c r="CT894" s="523">
        <f t="shared" si="2564"/>
        <v>0</v>
      </c>
      <c r="CU894" s="524">
        <f t="shared" si="2565"/>
        <v>0</v>
      </c>
      <c r="CV894" s="524">
        <f t="shared" si="2566"/>
        <v>0</v>
      </c>
      <c r="CW894" s="524">
        <f t="shared" si="2567"/>
        <v>0</v>
      </c>
      <c r="CX894" s="523">
        <f t="shared" si="2568"/>
        <v>0</v>
      </c>
      <c r="CY894" s="523">
        <f t="shared" si="2569"/>
        <v>0</v>
      </c>
      <c r="CZ894" s="523">
        <f t="shared" si="2570"/>
        <v>0</v>
      </c>
      <c r="DA894" s="523">
        <f t="shared" si="2571"/>
        <v>0</v>
      </c>
      <c r="DB894" s="523" t="str">
        <f t="shared" si="2572"/>
        <v/>
      </c>
      <c r="DC894" s="522" t="str">
        <f t="shared" si="2573"/>
        <v/>
      </c>
      <c r="DD894" s="521" t="str">
        <f t="shared" si="2574"/>
        <v/>
      </c>
      <c r="DE894" s="635">
        <f t="shared" si="2575"/>
        <v>10</v>
      </c>
      <c r="DF894" s="95">
        <f t="shared" si="2576"/>
        <v>10</v>
      </c>
      <c r="DG894" s="95">
        <f t="shared" si="2577"/>
        <v>10</v>
      </c>
      <c r="DH894" s="95">
        <f t="shared" si="2578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2600">SUM(B691)</f>
        <v>0</v>
      </c>
      <c r="C896" s="786">
        <f t="shared" si="2600"/>
        <v>0</v>
      </c>
      <c r="D896" s="786">
        <f t="shared" si="2600"/>
        <v>0</v>
      </c>
      <c r="E896" s="786">
        <f t="shared" si="2600"/>
        <v>0</v>
      </c>
      <c r="F896" s="786">
        <f t="shared" si="2600"/>
        <v>0</v>
      </c>
      <c r="G896" s="786">
        <f t="shared" si="2600"/>
        <v>0</v>
      </c>
      <c r="H896" s="786">
        <f t="shared" si="2600"/>
        <v>0</v>
      </c>
      <c r="I896" s="786">
        <f t="shared" si="2600"/>
        <v>0</v>
      </c>
      <c r="J896" s="786">
        <f t="shared" si="2600"/>
        <v>0</v>
      </c>
      <c r="K896" s="786">
        <f t="shared" si="2600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2601">SUM(T691)</f>
        <v>0</v>
      </c>
      <c r="U896" s="786">
        <f t="shared" si="2601"/>
        <v>0</v>
      </c>
      <c r="V896" s="786">
        <f t="shared" si="2601"/>
        <v>0</v>
      </c>
      <c r="W896" s="786">
        <f t="shared" si="2601"/>
        <v>0</v>
      </c>
      <c r="X896" s="786">
        <f t="shared" si="2601"/>
        <v>0</v>
      </c>
      <c r="Y896" s="786">
        <f t="shared" si="2601"/>
        <v>0</v>
      </c>
      <c r="Z896" s="786">
        <f t="shared" si="2601"/>
        <v>0</v>
      </c>
      <c r="AA896" s="786">
        <f t="shared" si="2601"/>
        <v>0</v>
      </c>
      <c r="AB896" s="786">
        <f t="shared" si="2601"/>
        <v>0</v>
      </c>
      <c r="AC896" s="786">
        <f t="shared" si="2601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2602">SUM(AL691)</f>
        <v>0</v>
      </c>
      <c r="AM896" s="786">
        <f t="shared" si="2602"/>
        <v>0</v>
      </c>
      <c r="AN896" s="786">
        <f t="shared" si="2602"/>
        <v>0</v>
      </c>
      <c r="AO896" s="786">
        <f t="shared" si="2602"/>
        <v>0</v>
      </c>
      <c r="AP896" s="786">
        <f t="shared" si="2602"/>
        <v>0</v>
      </c>
      <c r="AQ896" s="786">
        <f t="shared" si="2602"/>
        <v>0</v>
      </c>
      <c r="AR896" s="786">
        <f t="shared" si="2602"/>
        <v>0</v>
      </c>
      <c r="AS896" s="786">
        <f t="shared" si="2602"/>
        <v>0</v>
      </c>
      <c r="AT896" s="786">
        <f t="shared" si="2602"/>
        <v>0</v>
      </c>
      <c r="AU896" s="786">
        <f t="shared" si="2602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2603">SUM(BD691)</f>
        <v>0</v>
      </c>
      <c r="BE896" s="786">
        <f t="shared" si="2603"/>
        <v>0</v>
      </c>
      <c r="BF896" s="786">
        <f t="shared" si="2603"/>
        <v>0</v>
      </c>
      <c r="BG896" s="786">
        <f t="shared" si="2603"/>
        <v>0</v>
      </c>
      <c r="BH896" s="786">
        <f t="shared" si="2603"/>
        <v>0</v>
      </c>
      <c r="BI896" s="786">
        <f t="shared" si="2603"/>
        <v>0</v>
      </c>
      <c r="BJ896" s="786">
        <f t="shared" si="2603"/>
        <v>0</v>
      </c>
      <c r="BK896" s="786">
        <f t="shared" si="2603"/>
        <v>0</v>
      </c>
      <c r="BL896" s="786">
        <f t="shared" si="2603"/>
        <v>0</v>
      </c>
      <c r="BM896" s="786">
        <f t="shared" si="2603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260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2604"/>
        <v>0</v>
      </c>
      <c r="CF896" s="992">
        <f t="shared" si="2604"/>
        <v>0</v>
      </c>
      <c r="CG896" s="992">
        <f t="shared" si="2604"/>
        <v>0</v>
      </c>
      <c r="CH896" s="993">
        <f t="shared" si="2604"/>
        <v>0</v>
      </c>
      <c r="CI896" s="993">
        <f t="shared" si="2604"/>
        <v>0</v>
      </c>
      <c r="CJ896" s="992">
        <f t="shared" si="2604"/>
        <v>0</v>
      </c>
      <c r="CK896" s="992">
        <f t="shared" si="2604"/>
        <v>0</v>
      </c>
      <c r="CL896" s="992">
        <f t="shared" si="2604"/>
        <v>0</v>
      </c>
      <c r="CM896" s="991">
        <f t="shared" si="2604"/>
        <v>0</v>
      </c>
      <c r="CN896" s="521" t="str">
        <f t="shared" ref="CN896:CW898" si="260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2605"/>
        <v/>
      </c>
      <c r="CP896" s="523" t="str">
        <f t="shared" si="2605"/>
        <v/>
      </c>
      <c r="CQ896" s="523" t="str">
        <f t="shared" si="2605"/>
        <v/>
      </c>
      <c r="CR896" s="523">
        <f t="shared" si="2605"/>
        <v>0</v>
      </c>
      <c r="CS896" s="523">
        <f t="shared" si="2605"/>
        <v>0</v>
      </c>
      <c r="CT896" s="523">
        <f t="shared" si="2605"/>
        <v>0</v>
      </c>
      <c r="CU896" s="524">
        <f t="shared" si="2605"/>
        <v>0</v>
      </c>
      <c r="CV896" s="524">
        <f t="shared" si="2605"/>
        <v>0</v>
      </c>
      <c r="CW896" s="524">
        <f t="shared" si="2605"/>
        <v>0</v>
      </c>
      <c r="CX896" s="523">
        <f t="shared" ref="CX896:DD898" si="260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2606"/>
        <v>0</v>
      </c>
      <c r="CZ896" s="523">
        <f t="shared" si="2606"/>
        <v>0</v>
      </c>
      <c r="DA896" s="523">
        <f t="shared" si="2606"/>
        <v>0</v>
      </c>
      <c r="DB896" s="523" t="str">
        <f t="shared" si="2606"/>
        <v/>
      </c>
      <c r="DC896" s="522" t="str">
        <f t="shared" si="2606"/>
        <v/>
      </c>
      <c r="DD896" s="521" t="str">
        <f t="shared" si="2606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2607">SUM(B696)</f>
        <v>0</v>
      </c>
      <c r="C897" s="786">
        <f t="shared" si="2607"/>
        <v>0</v>
      </c>
      <c r="D897" s="786">
        <f t="shared" si="2607"/>
        <v>0</v>
      </c>
      <c r="E897" s="786">
        <f t="shared" si="2607"/>
        <v>0</v>
      </c>
      <c r="F897" s="786">
        <f t="shared" si="2607"/>
        <v>0</v>
      </c>
      <c r="G897" s="786">
        <f t="shared" si="2607"/>
        <v>0</v>
      </c>
      <c r="H897" s="786">
        <f t="shared" si="2607"/>
        <v>0</v>
      </c>
      <c r="I897" s="786">
        <f t="shared" si="2607"/>
        <v>0</v>
      </c>
      <c r="J897" s="786">
        <f t="shared" si="2607"/>
        <v>0</v>
      </c>
      <c r="K897" s="786">
        <f t="shared" si="2607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2608">SUM(T696)</f>
        <v>0</v>
      </c>
      <c r="U897" s="786">
        <f t="shared" si="2608"/>
        <v>0</v>
      </c>
      <c r="V897" s="786">
        <f t="shared" si="2608"/>
        <v>0</v>
      </c>
      <c r="W897" s="786">
        <f t="shared" si="2608"/>
        <v>0</v>
      </c>
      <c r="X897" s="786">
        <f t="shared" si="2608"/>
        <v>0</v>
      </c>
      <c r="Y897" s="786">
        <f t="shared" si="2608"/>
        <v>0</v>
      </c>
      <c r="Z897" s="786">
        <f t="shared" si="2608"/>
        <v>0</v>
      </c>
      <c r="AA897" s="786">
        <f t="shared" si="2608"/>
        <v>0</v>
      </c>
      <c r="AB897" s="786">
        <f t="shared" si="2608"/>
        <v>0</v>
      </c>
      <c r="AC897" s="786">
        <f t="shared" si="2608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2609">SUM(AL696)</f>
        <v>0</v>
      </c>
      <c r="AM897" s="786">
        <f t="shared" si="2609"/>
        <v>0</v>
      </c>
      <c r="AN897" s="786">
        <f t="shared" si="2609"/>
        <v>0</v>
      </c>
      <c r="AO897" s="786">
        <f t="shared" si="2609"/>
        <v>0</v>
      </c>
      <c r="AP897" s="786">
        <f t="shared" si="2609"/>
        <v>0</v>
      </c>
      <c r="AQ897" s="786">
        <f t="shared" si="2609"/>
        <v>0</v>
      </c>
      <c r="AR897" s="786">
        <f t="shared" si="2609"/>
        <v>0</v>
      </c>
      <c r="AS897" s="786">
        <f t="shared" si="2609"/>
        <v>0</v>
      </c>
      <c r="AT897" s="786">
        <f t="shared" si="2609"/>
        <v>0</v>
      </c>
      <c r="AU897" s="786">
        <f t="shared" si="2609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2610">SUM(BD696)</f>
        <v>0</v>
      </c>
      <c r="BE897" s="786">
        <f t="shared" si="2610"/>
        <v>0</v>
      </c>
      <c r="BF897" s="786">
        <f t="shared" si="2610"/>
        <v>0</v>
      </c>
      <c r="BG897" s="786">
        <f t="shared" si="2610"/>
        <v>0</v>
      </c>
      <c r="BH897" s="786">
        <f t="shared" si="2610"/>
        <v>0</v>
      </c>
      <c r="BI897" s="786">
        <f t="shared" si="2610"/>
        <v>0</v>
      </c>
      <c r="BJ897" s="786">
        <f t="shared" si="2610"/>
        <v>0</v>
      </c>
      <c r="BK897" s="786">
        <f t="shared" si="2610"/>
        <v>0</v>
      </c>
      <c r="BL897" s="786">
        <f t="shared" si="2610"/>
        <v>0</v>
      </c>
      <c r="BM897" s="786">
        <f t="shared" si="2610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261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2611"/>
        <v>0</v>
      </c>
      <c r="CG897" s="992">
        <f t="shared" si="2611"/>
        <v>0</v>
      </c>
      <c r="CH897" s="993">
        <f t="shared" si="2611"/>
        <v>0</v>
      </c>
      <c r="CI897" s="993">
        <f t="shared" si="2611"/>
        <v>0</v>
      </c>
      <c r="CJ897" s="992">
        <f t="shared" si="2611"/>
        <v>0</v>
      </c>
      <c r="CK897" s="992">
        <f t="shared" si="2611"/>
        <v>0</v>
      </c>
      <c r="CL897" s="992">
        <f t="shared" si="2611"/>
        <v>0</v>
      </c>
      <c r="CM897" s="991">
        <f t="shared" si="2611"/>
        <v>0</v>
      </c>
      <c r="CN897" s="521" t="str">
        <f t="shared" si="2605"/>
        <v/>
      </c>
      <c r="CO897" s="522" t="str">
        <f t="shared" si="2605"/>
        <v/>
      </c>
      <c r="CP897" s="523" t="str">
        <f t="shared" si="2605"/>
        <v/>
      </c>
      <c r="CQ897" s="523" t="str">
        <f t="shared" si="2605"/>
        <v/>
      </c>
      <c r="CR897" s="523">
        <f t="shared" si="2605"/>
        <v>0</v>
      </c>
      <c r="CS897" s="523">
        <f t="shared" si="2605"/>
        <v>0</v>
      </c>
      <c r="CT897" s="523">
        <f t="shared" si="2605"/>
        <v>0</v>
      </c>
      <c r="CU897" s="524">
        <f t="shared" si="2605"/>
        <v>0</v>
      </c>
      <c r="CV897" s="524">
        <f t="shared" si="2605"/>
        <v>0</v>
      </c>
      <c r="CW897" s="524">
        <f t="shared" si="2605"/>
        <v>0</v>
      </c>
      <c r="CX897" s="523">
        <f t="shared" si="2606"/>
        <v>0</v>
      </c>
      <c r="CY897" s="523">
        <f t="shared" si="2606"/>
        <v>0</v>
      </c>
      <c r="CZ897" s="523">
        <f t="shared" si="2606"/>
        <v>0</v>
      </c>
      <c r="DA897" s="523">
        <f t="shared" si="2606"/>
        <v>0</v>
      </c>
      <c r="DB897" s="523" t="str">
        <f t="shared" si="2606"/>
        <v/>
      </c>
      <c r="DC897" s="522" t="str">
        <f t="shared" si="2606"/>
        <v/>
      </c>
      <c r="DD897" s="521" t="str">
        <f t="shared" si="2606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2612">SUM(B701)</f>
        <v>0</v>
      </c>
      <c r="C898" s="786">
        <f t="shared" si="2612"/>
        <v>0</v>
      </c>
      <c r="D898" s="786">
        <f t="shared" si="2612"/>
        <v>0</v>
      </c>
      <c r="E898" s="786">
        <f t="shared" si="2612"/>
        <v>0</v>
      </c>
      <c r="F898" s="786">
        <f t="shared" si="2612"/>
        <v>0</v>
      </c>
      <c r="G898" s="786">
        <f t="shared" si="2612"/>
        <v>0</v>
      </c>
      <c r="H898" s="786">
        <f t="shared" si="2612"/>
        <v>0</v>
      </c>
      <c r="I898" s="786">
        <f t="shared" si="2612"/>
        <v>0</v>
      </c>
      <c r="J898" s="786">
        <f t="shared" si="2612"/>
        <v>0</v>
      </c>
      <c r="K898" s="786">
        <f t="shared" si="2612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2613">SUM(T701)</f>
        <v>0</v>
      </c>
      <c r="U898" s="786">
        <f t="shared" si="2613"/>
        <v>0</v>
      </c>
      <c r="V898" s="786">
        <f t="shared" si="2613"/>
        <v>0</v>
      </c>
      <c r="W898" s="786">
        <f t="shared" si="2613"/>
        <v>0</v>
      </c>
      <c r="X898" s="786">
        <f t="shared" si="2613"/>
        <v>0</v>
      </c>
      <c r="Y898" s="786">
        <f t="shared" si="2613"/>
        <v>0</v>
      </c>
      <c r="Z898" s="786">
        <f t="shared" si="2613"/>
        <v>0</v>
      </c>
      <c r="AA898" s="786">
        <f t="shared" si="2613"/>
        <v>0</v>
      </c>
      <c r="AB898" s="786">
        <f t="shared" si="2613"/>
        <v>0</v>
      </c>
      <c r="AC898" s="786">
        <f t="shared" si="2613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2614">SUM(AL701)</f>
        <v>0</v>
      </c>
      <c r="AM898" s="786">
        <f t="shared" si="2614"/>
        <v>0</v>
      </c>
      <c r="AN898" s="786">
        <f t="shared" si="2614"/>
        <v>0</v>
      </c>
      <c r="AO898" s="786">
        <f t="shared" si="2614"/>
        <v>0</v>
      </c>
      <c r="AP898" s="786">
        <f t="shared" si="2614"/>
        <v>0</v>
      </c>
      <c r="AQ898" s="786">
        <f t="shared" si="2614"/>
        <v>0</v>
      </c>
      <c r="AR898" s="786">
        <f t="shared" si="2614"/>
        <v>0</v>
      </c>
      <c r="AS898" s="786">
        <f t="shared" si="2614"/>
        <v>0</v>
      </c>
      <c r="AT898" s="786">
        <f t="shared" si="2614"/>
        <v>0</v>
      </c>
      <c r="AU898" s="786">
        <f t="shared" si="2614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2615">SUM(BD701)</f>
        <v>0</v>
      </c>
      <c r="BE898" s="786">
        <f t="shared" si="2615"/>
        <v>0</v>
      </c>
      <c r="BF898" s="786">
        <f t="shared" si="2615"/>
        <v>0</v>
      </c>
      <c r="BG898" s="786">
        <f t="shared" si="2615"/>
        <v>0</v>
      </c>
      <c r="BH898" s="786">
        <f t="shared" si="2615"/>
        <v>0</v>
      </c>
      <c r="BI898" s="786">
        <f t="shared" si="2615"/>
        <v>0</v>
      </c>
      <c r="BJ898" s="786">
        <f t="shared" si="2615"/>
        <v>0</v>
      </c>
      <c r="BK898" s="786">
        <f t="shared" si="2615"/>
        <v>0</v>
      </c>
      <c r="BL898" s="786">
        <f t="shared" si="2615"/>
        <v>0</v>
      </c>
      <c r="BM898" s="786">
        <f t="shared" si="2615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2611"/>
        <v>0</v>
      </c>
      <c r="CF898" s="992">
        <f t="shared" si="2611"/>
        <v>0</v>
      </c>
      <c r="CG898" s="992">
        <f t="shared" si="2611"/>
        <v>0</v>
      </c>
      <c r="CH898" s="993">
        <f t="shared" si="2611"/>
        <v>0</v>
      </c>
      <c r="CI898" s="993">
        <f t="shared" si="2611"/>
        <v>0</v>
      </c>
      <c r="CJ898" s="992">
        <f t="shared" si="2611"/>
        <v>0</v>
      </c>
      <c r="CK898" s="992">
        <f t="shared" si="2611"/>
        <v>0</v>
      </c>
      <c r="CL898" s="992">
        <f t="shared" si="2611"/>
        <v>0</v>
      </c>
      <c r="CM898" s="991">
        <f t="shared" si="2611"/>
        <v>0</v>
      </c>
      <c r="CN898" s="521" t="str">
        <f t="shared" si="2605"/>
        <v/>
      </c>
      <c r="CO898" s="522" t="str">
        <f t="shared" si="2605"/>
        <v/>
      </c>
      <c r="CP898" s="523" t="str">
        <f t="shared" si="2605"/>
        <v/>
      </c>
      <c r="CQ898" s="523" t="str">
        <f t="shared" si="2605"/>
        <v/>
      </c>
      <c r="CR898" s="523">
        <f t="shared" si="2605"/>
        <v>0</v>
      </c>
      <c r="CS898" s="523">
        <f t="shared" si="2605"/>
        <v>0</v>
      </c>
      <c r="CT898" s="523">
        <f t="shared" si="2605"/>
        <v>0</v>
      </c>
      <c r="CU898" s="524">
        <f t="shared" si="2605"/>
        <v>0</v>
      </c>
      <c r="CV898" s="524">
        <f t="shared" si="2605"/>
        <v>0</v>
      </c>
      <c r="CW898" s="524">
        <f t="shared" si="2605"/>
        <v>0</v>
      </c>
      <c r="CX898" s="523">
        <f t="shared" si="2606"/>
        <v>0</v>
      </c>
      <c r="CY898" s="523">
        <f t="shared" si="2606"/>
        <v>0</v>
      </c>
      <c r="CZ898" s="523">
        <f t="shared" si="2606"/>
        <v>0</v>
      </c>
      <c r="DA898" s="523">
        <f t="shared" si="2606"/>
        <v>0</v>
      </c>
      <c r="DB898" s="523" t="str">
        <f t="shared" si="2606"/>
        <v/>
      </c>
      <c r="DC898" s="522" t="str">
        <f t="shared" si="2606"/>
        <v/>
      </c>
      <c r="DD898" s="521" t="str">
        <f t="shared" si="2606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2616">SUM(B820:B899)</f>
        <v>#VALUE!</v>
      </c>
      <c r="C900" s="786" t="e">
        <f t="shared" si="2616"/>
        <v>#VALUE!</v>
      </c>
      <c r="D900" s="786" t="e">
        <f t="shared" si="2616"/>
        <v>#VALUE!</v>
      </c>
      <c r="E900" s="786" t="e">
        <f t="shared" si="2616"/>
        <v>#VALUE!</v>
      </c>
      <c r="F900" s="786" t="e">
        <f t="shared" si="2616"/>
        <v>#VALUE!</v>
      </c>
      <c r="G900" s="786" t="e">
        <f t="shared" si="2616"/>
        <v>#VALUE!</v>
      </c>
      <c r="H900" s="786" t="e">
        <f t="shared" si="2616"/>
        <v>#VALUE!</v>
      </c>
      <c r="I900" s="786" t="e">
        <f t="shared" si="2616"/>
        <v>#VALUE!</v>
      </c>
      <c r="J900" s="786" t="e">
        <f t="shared" si="2616"/>
        <v>#VALUE!</v>
      </c>
      <c r="K900" s="786" t="e">
        <f t="shared" si="2616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2617">SUM(T820:T899)</f>
        <v>#VALUE!</v>
      </c>
      <c r="U900" s="786" t="e">
        <f t="shared" si="2617"/>
        <v>#VALUE!</v>
      </c>
      <c r="V900" s="786" t="e">
        <f t="shared" si="2617"/>
        <v>#VALUE!</v>
      </c>
      <c r="W900" s="786" t="e">
        <f t="shared" si="2617"/>
        <v>#VALUE!</v>
      </c>
      <c r="X900" s="786" t="e">
        <f t="shared" si="2617"/>
        <v>#VALUE!</v>
      </c>
      <c r="Y900" s="786" t="e">
        <f t="shared" si="2617"/>
        <v>#VALUE!</v>
      </c>
      <c r="Z900" s="786" t="e">
        <f t="shared" si="2617"/>
        <v>#VALUE!</v>
      </c>
      <c r="AA900" s="786" t="e">
        <f t="shared" si="2617"/>
        <v>#VALUE!</v>
      </c>
      <c r="AB900" s="786" t="e">
        <f t="shared" si="2617"/>
        <v>#VALUE!</v>
      </c>
      <c r="AC900" s="786" t="e">
        <f t="shared" si="2617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2618">SUM(AL820:AL899)</f>
        <v>#VALUE!</v>
      </c>
      <c r="AM900" s="786" t="e">
        <f t="shared" si="2618"/>
        <v>#VALUE!</v>
      </c>
      <c r="AN900" s="786" t="e">
        <f t="shared" si="2618"/>
        <v>#VALUE!</v>
      </c>
      <c r="AO900" s="786" t="e">
        <f t="shared" si="2618"/>
        <v>#VALUE!</v>
      </c>
      <c r="AP900" s="786" t="e">
        <f t="shared" si="2618"/>
        <v>#VALUE!</v>
      </c>
      <c r="AQ900" s="786" t="e">
        <f t="shared" si="2618"/>
        <v>#VALUE!</v>
      </c>
      <c r="AR900" s="786" t="e">
        <f t="shared" si="2618"/>
        <v>#VALUE!</v>
      </c>
      <c r="AS900" s="786" t="e">
        <f t="shared" si="2618"/>
        <v>#VALUE!</v>
      </c>
      <c r="AT900" s="786" t="e">
        <f t="shared" si="2618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>SUM(BJ820:BJ899)</f>
        <v>#VALUE!</v>
      </c>
      <c r="BK900" s="786" t="e">
        <f>SUM(BK820:BK899)</f>
        <v>#VALUE!</v>
      </c>
      <c r="BL900" s="786" t="e">
        <f>SUM(BL820:BL899)</f>
        <v>#VALUE!</v>
      </c>
      <c r="BM900" s="786" t="e">
        <f>SUM(BM820:BM899)</f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0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2619">SUM(B72)</f>
        <v>0</v>
      </c>
      <c r="C904" s="775">
        <f t="shared" si="2619"/>
        <v>0</v>
      </c>
      <c r="D904" s="775">
        <f t="shared" si="2619"/>
        <v>0</v>
      </c>
      <c r="E904" s="775">
        <f t="shared" si="2619"/>
        <v>0</v>
      </c>
      <c r="F904" s="775">
        <f t="shared" si="2619"/>
        <v>0</v>
      </c>
      <c r="G904" s="775">
        <f t="shared" si="2619"/>
        <v>0</v>
      </c>
      <c r="H904" s="775">
        <f t="shared" si="2619"/>
        <v>0</v>
      </c>
      <c r="I904" s="775">
        <f t="shared" si="2619"/>
        <v>0</v>
      </c>
      <c r="J904" s="775">
        <f t="shared" si="2619"/>
        <v>0</v>
      </c>
      <c r="K904" s="775">
        <f t="shared" si="2619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2620">SUM(T72)</f>
        <v>0</v>
      </c>
      <c r="U904" s="775">
        <f t="shared" si="2620"/>
        <v>0</v>
      </c>
      <c r="V904" s="775">
        <f t="shared" si="2620"/>
        <v>0</v>
      </c>
      <c r="W904" s="775">
        <f t="shared" si="2620"/>
        <v>0</v>
      </c>
      <c r="X904" s="775">
        <f t="shared" si="2620"/>
        <v>0</v>
      </c>
      <c r="Y904" s="775">
        <f t="shared" si="2620"/>
        <v>0</v>
      </c>
      <c r="Z904" s="775">
        <f t="shared" si="2620"/>
        <v>0</v>
      </c>
      <c r="AA904" s="775">
        <f t="shared" si="2620"/>
        <v>0</v>
      </c>
      <c r="AB904" s="775">
        <f t="shared" si="2620"/>
        <v>0</v>
      </c>
      <c r="AC904" s="775">
        <f t="shared" si="2620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2621">SUM(AL72)</f>
        <v>0</v>
      </c>
      <c r="AM904" s="775">
        <f t="shared" si="2621"/>
        <v>0</v>
      </c>
      <c r="AN904" s="775">
        <f t="shared" si="2621"/>
        <v>0</v>
      </c>
      <c r="AO904" s="775">
        <f t="shared" si="2621"/>
        <v>0</v>
      </c>
      <c r="AP904" s="775">
        <f t="shared" si="2621"/>
        <v>0</v>
      </c>
      <c r="AQ904" s="775">
        <f t="shared" si="2621"/>
        <v>0</v>
      </c>
      <c r="AR904" s="775">
        <f t="shared" si="2621"/>
        <v>0</v>
      </c>
      <c r="AS904" s="775">
        <f t="shared" si="2621"/>
        <v>0</v>
      </c>
      <c r="AT904" s="775">
        <f t="shared" si="2621"/>
        <v>0</v>
      </c>
      <c r="AU904" s="775">
        <f t="shared" si="2621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2622">SUM(BD72)</f>
        <v>0</v>
      </c>
      <c r="BE904" s="775">
        <f t="shared" si="2622"/>
        <v>0</v>
      </c>
      <c r="BF904" s="775">
        <f t="shared" si="2622"/>
        <v>0</v>
      </c>
      <c r="BG904" s="775">
        <f t="shared" si="2622"/>
        <v>0</v>
      </c>
      <c r="BH904" s="775">
        <f t="shared" si="2622"/>
        <v>0</v>
      </c>
      <c r="BI904" s="775">
        <f t="shared" si="2622"/>
        <v>0</v>
      </c>
      <c r="BJ904" s="775">
        <f t="shared" si="2622"/>
        <v>0</v>
      </c>
      <c r="BK904" s="775">
        <f t="shared" si="2622"/>
        <v>0</v>
      </c>
      <c r="BL904" s="775">
        <f t="shared" si="2622"/>
        <v>0</v>
      </c>
      <c r="BM904" s="775">
        <f t="shared" si="2622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2623">IF(DE904&lt;3,"",(SUM(B904:R904)-MIN(B904:R904)-MAX(B904:R904))/(DE904-2))</f>
        <v>0</v>
      </c>
      <c r="CA904" s="582">
        <f t="shared" ref="CA904:CA918" si="2624">IF(DF904&lt;3,"",(SUM(T904:AJ904)-MIN(T904:AJ904)-MAX(T904:AJ904))/(DF904-2))</f>
        <v>0</v>
      </c>
      <c r="CB904" s="582">
        <f t="shared" ref="CB904:CB918" si="2625">IF(DG904&lt;3,"",(SUM(AL904:BB904)-MIN(AL904:BB904)-MAX(AL904:BB904))/(DG904-2))</f>
        <v>0</v>
      </c>
      <c r="CC904" s="582">
        <f t="shared" ref="CC904:CC918" si="2626">IF(DH904&lt;3,"",(SUM(BD904:BT904)-MIN(BD904:BT904)-MAX(BD904:BT904))/(DH904-2))</f>
        <v>0</v>
      </c>
      <c r="CD904" s="988">
        <f t="shared" ref="CD904:CM904" si="262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2627"/>
        <v>0</v>
      </c>
      <c r="CF904" s="989">
        <f t="shared" si="2627"/>
        <v>0</v>
      </c>
      <c r="CG904" s="989">
        <f t="shared" si="2627"/>
        <v>0</v>
      </c>
      <c r="CH904" s="990">
        <f t="shared" si="2627"/>
        <v>0</v>
      </c>
      <c r="CI904" s="990">
        <f t="shared" si="2627"/>
        <v>0</v>
      </c>
      <c r="CJ904" s="989">
        <f t="shared" si="2627"/>
        <v>0</v>
      </c>
      <c r="CK904" s="989">
        <f t="shared" si="2627"/>
        <v>0</v>
      </c>
      <c r="CL904" s="989">
        <f t="shared" si="2627"/>
        <v>0</v>
      </c>
      <c r="CM904" s="988">
        <f t="shared" si="2627"/>
        <v>0</v>
      </c>
      <c r="CN904" s="533" t="str">
        <f t="shared" ref="CN904:CN918" si="2628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2629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2630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2631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2632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2633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2634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2635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2636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2637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638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639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2640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2641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2642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2643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2644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2645">COUNT(B904:R904)</f>
        <v>10</v>
      </c>
      <c r="DF904" s="95">
        <f t="shared" ref="DF904:DF918" si="2646">COUNT(T904:AJ904)</f>
        <v>10</v>
      </c>
      <c r="DG904" s="95">
        <f t="shared" ref="DG904:DG918" si="2647">COUNT(AL904:BB904)</f>
        <v>10</v>
      </c>
      <c r="DH904" s="95">
        <f t="shared" ref="DH904:DH918" si="2648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2649">SUM(B80)</f>
        <v>0</v>
      </c>
      <c r="C905" s="775">
        <f t="shared" si="2649"/>
        <v>0</v>
      </c>
      <c r="D905" s="775">
        <f t="shared" si="2649"/>
        <v>0</v>
      </c>
      <c r="E905" s="775">
        <f t="shared" si="2649"/>
        <v>0</v>
      </c>
      <c r="F905" s="775">
        <f t="shared" si="2649"/>
        <v>0</v>
      </c>
      <c r="G905" s="775">
        <f t="shared" si="2649"/>
        <v>0</v>
      </c>
      <c r="H905" s="775">
        <f t="shared" si="2649"/>
        <v>0</v>
      </c>
      <c r="I905" s="775">
        <f t="shared" si="2649"/>
        <v>0</v>
      </c>
      <c r="J905" s="775">
        <f t="shared" si="2649"/>
        <v>0</v>
      </c>
      <c r="K905" s="775">
        <f t="shared" si="2649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2650">SUM(T80)</f>
        <v>0</v>
      </c>
      <c r="U905" s="775">
        <f t="shared" si="2650"/>
        <v>0</v>
      </c>
      <c r="V905" s="775">
        <f t="shared" si="2650"/>
        <v>0</v>
      </c>
      <c r="W905" s="775">
        <f t="shared" si="2650"/>
        <v>0</v>
      </c>
      <c r="X905" s="775">
        <f t="shared" si="2650"/>
        <v>0</v>
      </c>
      <c r="Y905" s="775">
        <f t="shared" si="2650"/>
        <v>0</v>
      </c>
      <c r="Z905" s="775">
        <f t="shared" si="2650"/>
        <v>0</v>
      </c>
      <c r="AA905" s="775">
        <f t="shared" si="2650"/>
        <v>0</v>
      </c>
      <c r="AB905" s="775">
        <f t="shared" si="2650"/>
        <v>0</v>
      </c>
      <c r="AC905" s="775">
        <f t="shared" si="2650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2651">SUM(AL80)</f>
        <v>0</v>
      </c>
      <c r="AM905" s="775">
        <f t="shared" si="2651"/>
        <v>0</v>
      </c>
      <c r="AN905" s="775">
        <f t="shared" si="2651"/>
        <v>0</v>
      </c>
      <c r="AO905" s="775">
        <f t="shared" si="2651"/>
        <v>0</v>
      </c>
      <c r="AP905" s="775">
        <f t="shared" si="2651"/>
        <v>0</v>
      </c>
      <c r="AQ905" s="775">
        <f t="shared" si="2651"/>
        <v>0</v>
      </c>
      <c r="AR905" s="775">
        <f t="shared" si="2651"/>
        <v>0</v>
      </c>
      <c r="AS905" s="775">
        <f t="shared" si="2651"/>
        <v>0</v>
      </c>
      <c r="AT905" s="775">
        <f t="shared" si="2651"/>
        <v>0</v>
      </c>
      <c r="AU905" s="775">
        <f t="shared" si="2651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2652">SUM(BD80)</f>
        <v>0</v>
      </c>
      <c r="BE905" s="775">
        <f t="shared" si="2652"/>
        <v>0</v>
      </c>
      <c r="BF905" s="775">
        <f t="shared" si="2652"/>
        <v>0</v>
      </c>
      <c r="BG905" s="775">
        <f t="shared" si="2652"/>
        <v>0</v>
      </c>
      <c r="BH905" s="775">
        <f t="shared" si="2652"/>
        <v>0</v>
      </c>
      <c r="BI905" s="775">
        <f t="shared" si="2652"/>
        <v>0</v>
      </c>
      <c r="BJ905" s="775">
        <f t="shared" si="2652"/>
        <v>0</v>
      </c>
      <c r="BK905" s="775">
        <f t="shared" si="2652"/>
        <v>0</v>
      </c>
      <c r="BL905" s="775">
        <f t="shared" si="2652"/>
        <v>0</v>
      </c>
      <c r="BM905" s="775">
        <f t="shared" si="2652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2623"/>
        <v>0</v>
      </c>
      <c r="CA905" s="582">
        <f t="shared" si="2624"/>
        <v>0</v>
      </c>
      <c r="CB905" s="582">
        <f t="shared" si="2625"/>
        <v>0</v>
      </c>
      <c r="CC905" s="582">
        <f t="shared" si="2626"/>
        <v>0</v>
      </c>
      <c r="CD905" s="988">
        <f t="shared" ref="CD905:CD918" si="265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265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2654"/>
        <v>0</v>
      </c>
      <c r="CG905" s="989">
        <f t="shared" si="2654"/>
        <v>0</v>
      </c>
      <c r="CH905" s="990">
        <f t="shared" si="2654"/>
        <v>0</v>
      </c>
      <c r="CI905" s="990">
        <f t="shared" si="2654"/>
        <v>0</v>
      </c>
      <c r="CJ905" s="989">
        <f t="shared" si="2654"/>
        <v>0</v>
      </c>
      <c r="CK905" s="989">
        <f t="shared" si="2654"/>
        <v>0</v>
      </c>
      <c r="CL905" s="989">
        <f t="shared" si="2654"/>
        <v>0</v>
      </c>
      <c r="CM905" s="988">
        <f t="shared" si="2654"/>
        <v>0</v>
      </c>
      <c r="CN905" s="533" t="str">
        <f t="shared" si="2628"/>
        <v/>
      </c>
      <c r="CO905" s="534" t="str">
        <f t="shared" si="2629"/>
        <v/>
      </c>
      <c r="CP905" s="535" t="str">
        <f t="shared" si="2630"/>
        <v/>
      </c>
      <c r="CQ905" s="535" t="str">
        <f t="shared" si="2631"/>
        <v/>
      </c>
      <c r="CR905" s="535">
        <f t="shared" si="2632"/>
        <v>0</v>
      </c>
      <c r="CS905" s="535">
        <f t="shared" si="2633"/>
        <v>0</v>
      </c>
      <c r="CT905" s="535">
        <f t="shared" si="2634"/>
        <v>0</v>
      </c>
      <c r="CU905" s="536">
        <f t="shared" si="2635"/>
        <v>0</v>
      </c>
      <c r="CV905" s="536">
        <f t="shared" si="2636"/>
        <v>0</v>
      </c>
      <c r="CW905" s="536">
        <f t="shared" si="2637"/>
        <v>0</v>
      </c>
      <c r="CX905" s="535">
        <f t="shared" si="2638"/>
        <v>0</v>
      </c>
      <c r="CY905" s="535">
        <f t="shared" si="2639"/>
        <v>0</v>
      </c>
      <c r="CZ905" s="535">
        <f t="shared" si="2640"/>
        <v>0</v>
      </c>
      <c r="DA905" s="535">
        <f t="shared" si="2641"/>
        <v>0</v>
      </c>
      <c r="DB905" s="535" t="str">
        <f t="shared" si="2642"/>
        <v/>
      </c>
      <c r="DC905" s="534" t="str">
        <f t="shared" si="2643"/>
        <v/>
      </c>
      <c r="DD905" s="533" t="str">
        <f t="shared" si="2644"/>
        <v/>
      </c>
      <c r="DE905" s="635">
        <f t="shared" si="2645"/>
        <v>10</v>
      </c>
      <c r="DF905" s="95">
        <f t="shared" si="2646"/>
        <v>10</v>
      </c>
      <c r="DG905" s="95">
        <f t="shared" si="2647"/>
        <v>10</v>
      </c>
      <c r="DH905" s="95">
        <f t="shared" si="2648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2655">SUM(B88)</f>
        <v>0</v>
      </c>
      <c r="C906" s="775">
        <f t="shared" si="2655"/>
        <v>0</v>
      </c>
      <c r="D906" s="775">
        <f t="shared" si="2655"/>
        <v>0</v>
      </c>
      <c r="E906" s="775">
        <f t="shared" si="2655"/>
        <v>0</v>
      </c>
      <c r="F906" s="775">
        <f t="shared" si="2655"/>
        <v>0</v>
      </c>
      <c r="G906" s="775">
        <f t="shared" si="2655"/>
        <v>0</v>
      </c>
      <c r="H906" s="775">
        <f t="shared" si="2655"/>
        <v>0</v>
      </c>
      <c r="I906" s="775">
        <f t="shared" si="2655"/>
        <v>0</v>
      </c>
      <c r="J906" s="775">
        <f t="shared" si="2655"/>
        <v>0</v>
      </c>
      <c r="K906" s="775">
        <f t="shared" si="2655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2656">SUM(T88)</f>
        <v>0</v>
      </c>
      <c r="U906" s="775">
        <f t="shared" si="2656"/>
        <v>0</v>
      </c>
      <c r="V906" s="775">
        <f t="shared" si="2656"/>
        <v>0</v>
      </c>
      <c r="W906" s="775">
        <f t="shared" si="2656"/>
        <v>0</v>
      </c>
      <c r="X906" s="775">
        <f t="shared" si="2656"/>
        <v>0</v>
      </c>
      <c r="Y906" s="775">
        <f t="shared" si="2656"/>
        <v>0</v>
      </c>
      <c r="Z906" s="775">
        <f t="shared" si="2656"/>
        <v>0</v>
      </c>
      <c r="AA906" s="775">
        <f t="shared" si="2656"/>
        <v>0</v>
      </c>
      <c r="AB906" s="775">
        <f t="shared" si="2656"/>
        <v>0</v>
      </c>
      <c r="AC906" s="775">
        <f t="shared" si="2656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2657">SUM(AL88)</f>
        <v>0</v>
      </c>
      <c r="AM906" s="775">
        <f t="shared" si="2657"/>
        <v>0</v>
      </c>
      <c r="AN906" s="775">
        <f t="shared" si="2657"/>
        <v>0</v>
      </c>
      <c r="AO906" s="775">
        <f t="shared" si="2657"/>
        <v>0</v>
      </c>
      <c r="AP906" s="775">
        <f t="shared" si="2657"/>
        <v>0</v>
      </c>
      <c r="AQ906" s="775">
        <f t="shared" si="2657"/>
        <v>0</v>
      </c>
      <c r="AR906" s="775">
        <f t="shared" si="2657"/>
        <v>0</v>
      </c>
      <c r="AS906" s="775">
        <f t="shared" si="2657"/>
        <v>0</v>
      </c>
      <c r="AT906" s="775">
        <f t="shared" si="2657"/>
        <v>0</v>
      </c>
      <c r="AU906" s="775">
        <f t="shared" si="2657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2658">SUM(BD88)</f>
        <v>0</v>
      </c>
      <c r="BE906" s="775">
        <f t="shared" si="2658"/>
        <v>0</v>
      </c>
      <c r="BF906" s="775">
        <f t="shared" si="2658"/>
        <v>0</v>
      </c>
      <c r="BG906" s="775">
        <f t="shared" si="2658"/>
        <v>0</v>
      </c>
      <c r="BH906" s="775">
        <f t="shared" si="2658"/>
        <v>0</v>
      </c>
      <c r="BI906" s="775">
        <f t="shared" si="2658"/>
        <v>0</v>
      </c>
      <c r="BJ906" s="775">
        <f t="shared" si="2658"/>
        <v>0</v>
      </c>
      <c r="BK906" s="775">
        <f t="shared" si="2658"/>
        <v>0</v>
      </c>
      <c r="BL906" s="775">
        <f t="shared" si="2658"/>
        <v>0</v>
      </c>
      <c r="BM906" s="775">
        <f t="shared" si="2658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2623"/>
        <v>0</v>
      </c>
      <c r="CA906" s="582">
        <f t="shared" si="2624"/>
        <v>0</v>
      </c>
      <c r="CB906" s="582">
        <f t="shared" si="2625"/>
        <v>0</v>
      </c>
      <c r="CC906" s="582">
        <f t="shared" si="2626"/>
        <v>0</v>
      </c>
      <c r="CD906" s="988">
        <f t="shared" si="2653"/>
        <v>0</v>
      </c>
      <c r="CE906" s="989">
        <f t="shared" si="2654"/>
        <v>0</v>
      </c>
      <c r="CF906" s="989">
        <f t="shared" si="2654"/>
        <v>0</v>
      </c>
      <c r="CG906" s="989">
        <f t="shared" si="2654"/>
        <v>0</v>
      </c>
      <c r="CH906" s="990">
        <f t="shared" si="2654"/>
        <v>0</v>
      </c>
      <c r="CI906" s="990">
        <f t="shared" si="2654"/>
        <v>0</v>
      </c>
      <c r="CJ906" s="989">
        <f t="shared" si="2654"/>
        <v>0</v>
      </c>
      <c r="CK906" s="989">
        <f t="shared" si="2654"/>
        <v>0</v>
      </c>
      <c r="CL906" s="989">
        <f t="shared" si="2654"/>
        <v>0</v>
      </c>
      <c r="CM906" s="988">
        <f t="shared" si="2654"/>
        <v>0</v>
      </c>
      <c r="CN906" s="533" t="str">
        <f t="shared" si="2628"/>
        <v/>
      </c>
      <c r="CO906" s="534" t="str">
        <f t="shared" si="2629"/>
        <v/>
      </c>
      <c r="CP906" s="535" t="str">
        <f t="shared" si="2630"/>
        <v/>
      </c>
      <c r="CQ906" s="535" t="str">
        <f t="shared" si="2631"/>
        <v/>
      </c>
      <c r="CR906" s="535">
        <f t="shared" si="2632"/>
        <v>0</v>
      </c>
      <c r="CS906" s="535">
        <f t="shared" si="2633"/>
        <v>0</v>
      </c>
      <c r="CT906" s="535">
        <f t="shared" si="2634"/>
        <v>0</v>
      </c>
      <c r="CU906" s="536">
        <f t="shared" si="2635"/>
        <v>0</v>
      </c>
      <c r="CV906" s="536">
        <f t="shared" si="2636"/>
        <v>0</v>
      </c>
      <c r="CW906" s="536">
        <f t="shared" si="2637"/>
        <v>0</v>
      </c>
      <c r="CX906" s="535">
        <f t="shared" si="2638"/>
        <v>0</v>
      </c>
      <c r="CY906" s="535">
        <f t="shared" si="2639"/>
        <v>0</v>
      </c>
      <c r="CZ906" s="535">
        <f t="shared" si="2640"/>
        <v>0</v>
      </c>
      <c r="DA906" s="535">
        <f t="shared" si="2641"/>
        <v>0</v>
      </c>
      <c r="DB906" s="535" t="str">
        <f t="shared" si="2642"/>
        <v/>
      </c>
      <c r="DC906" s="534" t="str">
        <f t="shared" si="2643"/>
        <v/>
      </c>
      <c r="DD906" s="533" t="str">
        <f t="shared" si="2644"/>
        <v/>
      </c>
      <c r="DE906" s="635">
        <f t="shared" si="2645"/>
        <v>10</v>
      </c>
      <c r="DF906" s="95">
        <f t="shared" si="2646"/>
        <v>10</v>
      </c>
      <c r="DG906" s="95">
        <f t="shared" si="2647"/>
        <v>10</v>
      </c>
      <c r="DH906" s="95">
        <f t="shared" si="2648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2659">SUM(B99)</f>
        <v>0</v>
      </c>
      <c r="C907" s="775">
        <f t="shared" si="2659"/>
        <v>0</v>
      </c>
      <c r="D907" s="775">
        <f t="shared" si="2659"/>
        <v>0</v>
      </c>
      <c r="E907" s="775">
        <f t="shared" si="2659"/>
        <v>0</v>
      </c>
      <c r="F907" s="775">
        <f t="shared" si="2659"/>
        <v>0</v>
      </c>
      <c r="G907" s="775">
        <f t="shared" si="2659"/>
        <v>0</v>
      </c>
      <c r="H907" s="775">
        <f t="shared" si="2659"/>
        <v>0</v>
      </c>
      <c r="I907" s="775">
        <f t="shared" si="2659"/>
        <v>0</v>
      </c>
      <c r="J907" s="775">
        <f t="shared" si="2659"/>
        <v>0</v>
      </c>
      <c r="K907" s="775">
        <f t="shared" si="2659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2660">SUM(T99)</f>
        <v>0</v>
      </c>
      <c r="U907" s="775">
        <f t="shared" si="2660"/>
        <v>0</v>
      </c>
      <c r="V907" s="775">
        <f t="shared" si="2660"/>
        <v>0</v>
      </c>
      <c r="W907" s="775">
        <f t="shared" si="2660"/>
        <v>0</v>
      </c>
      <c r="X907" s="775">
        <f t="shared" si="2660"/>
        <v>0</v>
      </c>
      <c r="Y907" s="775">
        <f t="shared" si="2660"/>
        <v>0</v>
      </c>
      <c r="Z907" s="775">
        <f t="shared" si="2660"/>
        <v>0</v>
      </c>
      <c r="AA907" s="775">
        <f t="shared" si="2660"/>
        <v>0</v>
      </c>
      <c r="AB907" s="775">
        <f t="shared" si="2660"/>
        <v>0</v>
      </c>
      <c r="AC907" s="775">
        <f t="shared" si="2660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2661">SUM(AL99)</f>
        <v>0</v>
      </c>
      <c r="AM907" s="775">
        <f t="shared" si="2661"/>
        <v>0</v>
      </c>
      <c r="AN907" s="775">
        <f t="shared" si="2661"/>
        <v>0</v>
      </c>
      <c r="AO907" s="775">
        <f t="shared" si="2661"/>
        <v>0</v>
      </c>
      <c r="AP907" s="775">
        <f t="shared" si="2661"/>
        <v>0</v>
      </c>
      <c r="AQ907" s="775">
        <f t="shared" si="2661"/>
        <v>0</v>
      </c>
      <c r="AR907" s="775">
        <f t="shared" si="2661"/>
        <v>0</v>
      </c>
      <c r="AS907" s="775">
        <f t="shared" si="2661"/>
        <v>0</v>
      </c>
      <c r="AT907" s="775">
        <f t="shared" si="2661"/>
        <v>0</v>
      </c>
      <c r="AU907" s="775">
        <f t="shared" si="2661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2662">SUM(BD99)</f>
        <v>0</v>
      </c>
      <c r="BE907" s="775">
        <f t="shared" si="2662"/>
        <v>0</v>
      </c>
      <c r="BF907" s="775">
        <f t="shared" si="2662"/>
        <v>0</v>
      </c>
      <c r="BG907" s="775">
        <f t="shared" si="2662"/>
        <v>0</v>
      </c>
      <c r="BH907" s="775">
        <f t="shared" si="2662"/>
        <v>0</v>
      </c>
      <c r="BI907" s="775">
        <f t="shared" si="2662"/>
        <v>0</v>
      </c>
      <c r="BJ907" s="775">
        <f t="shared" si="2662"/>
        <v>0</v>
      </c>
      <c r="BK907" s="775">
        <f t="shared" si="2662"/>
        <v>0</v>
      </c>
      <c r="BL907" s="775">
        <f t="shared" si="2662"/>
        <v>0</v>
      </c>
      <c r="BM907" s="775">
        <f t="shared" si="2662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2623"/>
        <v>0</v>
      </c>
      <c r="CA907" s="582">
        <f t="shared" si="2624"/>
        <v>0</v>
      </c>
      <c r="CB907" s="582">
        <f t="shared" si="2625"/>
        <v>0</v>
      </c>
      <c r="CC907" s="582">
        <f t="shared" si="2626"/>
        <v>0</v>
      </c>
      <c r="CD907" s="988">
        <f t="shared" si="2653"/>
        <v>0</v>
      </c>
      <c r="CE907" s="989">
        <f t="shared" si="2654"/>
        <v>0</v>
      </c>
      <c r="CF907" s="989">
        <f t="shared" si="2654"/>
        <v>0</v>
      </c>
      <c r="CG907" s="989">
        <f t="shared" si="2654"/>
        <v>0</v>
      </c>
      <c r="CH907" s="990">
        <f t="shared" si="2654"/>
        <v>0</v>
      </c>
      <c r="CI907" s="990">
        <f t="shared" si="2654"/>
        <v>0</v>
      </c>
      <c r="CJ907" s="989">
        <f t="shared" si="2654"/>
        <v>0</v>
      </c>
      <c r="CK907" s="989">
        <f t="shared" si="2654"/>
        <v>0</v>
      </c>
      <c r="CL907" s="989">
        <f t="shared" si="2654"/>
        <v>0</v>
      </c>
      <c r="CM907" s="988">
        <f t="shared" si="2654"/>
        <v>0</v>
      </c>
      <c r="CN907" s="533" t="str">
        <f t="shared" si="2628"/>
        <v/>
      </c>
      <c r="CO907" s="534" t="str">
        <f t="shared" si="2629"/>
        <v/>
      </c>
      <c r="CP907" s="535" t="str">
        <f t="shared" si="2630"/>
        <v/>
      </c>
      <c r="CQ907" s="535" t="str">
        <f t="shared" si="2631"/>
        <v/>
      </c>
      <c r="CR907" s="535">
        <f t="shared" si="2632"/>
        <v>0</v>
      </c>
      <c r="CS907" s="535">
        <f t="shared" si="2633"/>
        <v>0</v>
      </c>
      <c r="CT907" s="535">
        <f t="shared" si="2634"/>
        <v>0</v>
      </c>
      <c r="CU907" s="536">
        <f t="shared" si="2635"/>
        <v>0</v>
      </c>
      <c r="CV907" s="536">
        <f t="shared" si="2636"/>
        <v>0</v>
      </c>
      <c r="CW907" s="536">
        <f t="shared" si="2637"/>
        <v>0</v>
      </c>
      <c r="CX907" s="535">
        <f t="shared" si="2638"/>
        <v>0</v>
      </c>
      <c r="CY907" s="535">
        <f t="shared" si="2639"/>
        <v>0</v>
      </c>
      <c r="CZ907" s="535">
        <f t="shared" si="2640"/>
        <v>0</v>
      </c>
      <c r="DA907" s="535">
        <f t="shared" si="2641"/>
        <v>0</v>
      </c>
      <c r="DB907" s="535" t="str">
        <f t="shared" si="2642"/>
        <v/>
      </c>
      <c r="DC907" s="534" t="str">
        <f t="shared" si="2643"/>
        <v/>
      </c>
      <c r="DD907" s="533" t="str">
        <f t="shared" si="2644"/>
        <v/>
      </c>
      <c r="DE907" s="635">
        <f t="shared" si="2645"/>
        <v>10</v>
      </c>
      <c r="DF907" s="95">
        <f t="shared" si="2646"/>
        <v>10</v>
      </c>
      <c r="DG907" s="95">
        <f t="shared" si="2647"/>
        <v>10</v>
      </c>
      <c r="DH907" s="95">
        <f t="shared" si="2648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2663">SUM(B107)</f>
        <v>0</v>
      </c>
      <c r="C908" s="775">
        <f t="shared" si="2663"/>
        <v>0</v>
      </c>
      <c r="D908" s="775">
        <f t="shared" si="2663"/>
        <v>0</v>
      </c>
      <c r="E908" s="775">
        <f t="shared" si="2663"/>
        <v>0</v>
      </c>
      <c r="F908" s="775">
        <f t="shared" si="2663"/>
        <v>0</v>
      </c>
      <c r="G908" s="775">
        <f t="shared" si="2663"/>
        <v>0</v>
      </c>
      <c r="H908" s="775">
        <f t="shared" si="2663"/>
        <v>0</v>
      </c>
      <c r="I908" s="775">
        <f t="shared" si="2663"/>
        <v>0</v>
      </c>
      <c r="J908" s="775">
        <f t="shared" si="2663"/>
        <v>0</v>
      </c>
      <c r="K908" s="775">
        <f t="shared" si="2663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2664">SUM(T107)</f>
        <v>0</v>
      </c>
      <c r="U908" s="775">
        <f t="shared" si="2664"/>
        <v>0</v>
      </c>
      <c r="V908" s="775">
        <f t="shared" si="2664"/>
        <v>0</v>
      </c>
      <c r="W908" s="775">
        <f t="shared" si="2664"/>
        <v>0</v>
      </c>
      <c r="X908" s="775">
        <f t="shared" si="2664"/>
        <v>0</v>
      </c>
      <c r="Y908" s="775">
        <f t="shared" si="2664"/>
        <v>0</v>
      </c>
      <c r="Z908" s="775">
        <f t="shared" si="2664"/>
        <v>0</v>
      </c>
      <c r="AA908" s="775">
        <f t="shared" si="2664"/>
        <v>0</v>
      </c>
      <c r="AB908" s="775">
        <f t="shared" si="2664"/>
        <v>0</v>
      </c>
      <c r="AC908" s="775">
        <f t="shared" si="2664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2665">SUM(AL107)</f>
        <v>0</v>
      </c>
      <c r="AM908" s="775">
        <f t="shared" si="2665"/>
        <v>0</v>
      </c>
      <c r="AN908" s="775">
        <f t="shared" si="2665"/>
        <v>0</v>
      </c>
      <c r="AO908" s="775">
        <f t="shared" si="2665"/>
        <v>0</v>
      </c>
      <c r="AP908" s="775">
        <f t="shared" si="2665"/>
        <v>0</v>
      </c>
      <c r="AQ908" s="775">
        <f t="shared" si="2665"/>
        <v>0</v>
      </c>
      <c r="AR908" s="775">
        <f t="shared" si="2665"/>
        <v>0</v>
      </c>
      <c r="AS908" s="775">
        <f t="shared" si="2665"/>
        <v>0</v>
      </c>
      <c r="AT908" s="775">
        <f t="shared" si="2665"/>
        <v>0</v>
      </c>
      <c r="AU908" s="775">
        <f t="shared" si="2665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2666">SUM(BD107)</f>
        <v>0</v>
      </c>
      <c r="BE908" s="775">
        <f t="shared" si="2666"/>
        <v>0</v>
      </c>
      <c r="BF908" s="775">
        <f t="shared" si="2666"/>
        <v>0</v>
      </c>
      <c r="BG908" s="775">
        <f t="shared" si="2666"/>
        <v>0</v>
      </c>
      <c r="BH908" s="775">
        <f t="shared" si="2666"/>
        <v>0</v>
      </c>
      <c r="BI908" s="775">
        <f t="shared" si="2666"/>
        <v>0</v>
      </c>
      <c r="BJ908" s="775">
        <f t="shared" si="2666"/>
        <v>0</v>
      </c>
      <c r="BK908" s="775">
        <f t="shared" si="2666"/>
        <v>0</v>
      </c>
      <c r="BL908" s="775">
        <f t="shared" si="2666"/>
        <v>0</v>
      </c>
      <c r="BM908" s="775">
        <f t="shared" si="2666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2623"/>
        <v>0</v>
      </c>
      <c r="CA908" s="582">
        <f t="shared" si="2624"/>
        <v>0</v>
      </c>
      <c r="CB908" s="582">
        <f t="shared" si="2625"/>
        <v>0</v>
      </c>
      <c r="CC908" s="582">
        <f t="shared" si="2626"/>
        <v>0</v>
      </c>
      <c r="CD908" s="988">
        <f t="shared" si="2653"/>
        <v>0</v>
      </c>
      <c r="CE908" s="989">
        <f t="shared" si="2654"/>
        <v>0</v>
      </c>
      <c r="CF908" s="989">
        <f t="shared" si="2654"/>
        <v>0</v>
      </c>
      <c r="CG908" s="989">
        <f t="shared" si="2654"/>
        <v>0</v>
      </c>
      <c r="CH908" s="990">
        <f t="shared" si="2654"/>
        <v>0</v>
      </c>
      <c r="CI908" s="990">
        <f t="shared" si="2654"/>
        <v>0</v>
      </c>
      <c r="CJ908" s="989">
        <f t="shared" si="2654"/>
        <v>0</v>
      </c>
      <c r="CK908" s="989">
        <f t="shared" si="2654"/>
        <v>0</v>
      </c>
      <c r="CL908" s="989">
        <f t="shared" si="2654"/>
        <v>0</v>
      </c>
      <c r="CM908" s="988">
        <f t="shared" si="2654"/>
        <v>0</v>
      </c>
      <c r="CN908" s="533" t="str">
        <f t="shared" si="2628"/>
        <v/>
      </c>
      <c r="CO908" s="534" t="str">
        <f t="shared" si="2629"/>
        <v/>
      </c>
      <c r="CP908" s="535" t="str">
        <f t="shared" si="2630"/>
        <v/>
      </c>
      <c r="CQ908" s="535" t="str">
        <f t="shared" si="2631"/>
        <v/>
      </c>
      <c r="CR908" s="535">
        <f t="shared" si="2632"/>
        <v>0</v>
      </c>
      <c r="CS908" s="535">
        <f t="shared" si="2633"/>
        <v>0</v>
      </c>
      <c r="CT908" s="535">
        <f t="shared" si="2634"/>
        <v>0</v>
      </c>
      <c r="CU908" s="536">
        <f t="shared" si="2635"/>
        <v>0</v>
      </c>
      <c r="CV908" s="536">
        <f t="shared" si="2636"/>
        <v>0</v>
      </c>
      <c r="CW908" s="536">
        <f t="shared" si="2637"/>
        <v>0</v>
      </c>
      <c r="CX908" s="535">
        <f t="shared" si="2638"/>
        <v>0</v>
      </c>
      <c r="CY908" s="535">
        <f t="shared" si="2639"/>
        <v>0</v>
      </c>
      <c r="CZ908" s="535">
        <f t="shared" si="2640"/>
        <v>0</v>
      </c>
      <c r="DA908" s="535">
        <f t="shared" si="2641"/>
        <v>0</v>
      </c>
      <c r="DB908" s="535" t="str">
        <f t="shared" si="2642"/>
        <v/>
      </c>
      <c r="DC908" s="534" t="str">
        <f t="shared" si="2643"/>
        <v/>
      </c>
      <c r="DD908" s="533" t="str">
        <f t="shared" si="2644"/>
        <v/>
      </c>
      <c r="DE908" s="635">
        <f t="shared" si="2645"/>
        <v>10</v>
      </c>
      <c r="DF908" s="95">
        <f t="shared" si="2646"/>
        <v>10</v>
      </c>
      <c r="DG908" s="95">
        <f t="shared" si="2647"/>
        <v>10</v>
      </c>
      <c r="DH908" s="95">
        <f t="shared" si="2648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2667">SUM(B115)</f>
        <v>0</v>
      </c>
      <c r="C909" s="775">
        <f t="shared" si="2667"/>
        <v>0</v>
      </c>
      <c r="D909" s="775">
        <f t="shared" si="2667"/>
        <v>0</v>
      </c>
      <c r="E909" s="775">
        <f t="shared" si="2667"/>
        <v>0</v>
      </c>
      <c r="F909" s="775">
        <f t="shared" si="2667"/>
        <v>0</v>
      </c>
      <c r="G909" s="775">
        <f t="shared" si="2667"/>
        <v>0</v>
      </c>
      <c r="H909" s="775">
        <f t="shared" si="2667"/>
        <v>0</v>
      </c>
      <c r="I909" s="775">
        <f t="shared" si="2667"/>
        <v>0</v>
      </c>
      <c r="J909" s="775">
        <f t="shared" si="2667"/>
        <v>0</v>
      </c>
      <c r="K909" s="775">
        <f t="shared" si="2667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2668">SUM(T115)</f>
        <v>0</v>
      </c>
      <c r="U909" s="775">
        <f t="shared" si="2668"/>
        <v>0</v>
      </c>
      <c r="V909" s="775">
        <f t="shared" si="2668"/>
        <v>0</v>
      </c>
      <c r="W909" s="775">
        <f t="shared" si="2668"/>
        <v>0</v>
      </c>
      <c r="X909" s="775">
        <f t="shared" si="2668"/>
        <v>0</v>
      </c>
      <c r="Y909" s="775">
        <f t="shared" si="2668"/>
        <v>0</v>
      </c>
      <c r="Z909" s="775">
        <f t="shared" si="2668"/>
        <v>0</v>
      </c>
      <c r="AA909" s="775">
        <f t="shared" si="2668"/>
        <v>0</v>
      </c>
      <c r="AB909" s="775">
        <f t="shared" si="2668"/>
        <v>0</v>
      </c>
      <c r="AC909" s="775">
        <f t="shared" si="2668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2669">SUM(AL115)</f>
        <v>0</v>
      </c>
      <c r="AM909" s="775">
        <f t="shared" si="2669"/>
        <v>0</v>
      </c>
      <c r="AN909" s="775">
        <f t="shared" si="2669"/>
        <v>0</v>
      </c>
      <c r="AO909" s="775">
        <f t="shared" si="2669"/>
        <v>0</v>
      </c>
      <c r="AP909" s="775">
        <f t="shared" si="2669"/>
        <v>0</v>
      </c>
      <c r="AQ909" s="775">
        <f t="shared" si="2669"/>
        <v>0</v>
      </c>
      <c r="AR909" s="775">
        <f t="shared" si="2669"/>
        <v>0</v>
      </c>
      <c r="AS909" s="775">
        <f t="shared" si="2669"/>
        <v>0</v>
      </c>
      <c r="AT909" s="775">
        <f t="shared" si="2669"/>
        <v>0</v>
      </c>
      <c r="AU909" s="775">
        <f t="shared" si="2669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2670">SUM(BD115)</f>
        <v>0</v>
      </c>
      <c r="BE909" s="775">
        <f t="shared" si="2670"/>
        <v>0</v>
      </c>
      <c r="BF909" s="775">
        <f t="shared" si="2670"/>
        <v>0</v>
      </c>
      <c r="BG909" s="775">
        <f t="shared" si="2670"/>
        <v>0</v>
      </c>
      <c r="BH909" s="775">
        <f t="shared" si="2670"/>
        <v>0</v>
      </c>
      <c r="BI909" s="775">
        <f t="shared" si="2670"/>
        <v>0</v>
      </c>
      <c r="BJ909" s="775">
        <f t="shared" si="2670"/>
        <v>0</v>
      </c>
      <c r="BK909" s="775">
        <f t="shared" si="2670"/>
        <v>0</v>
      </c>
      <c r="BL909" s="775">
        <f t="shared" si="2670"/>
        <v>0</v>
      </c>
      <c r="BM909" s="775">
        <f t="shared" si="2670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2623"/>
        <v>0</v>
      </c>
      <c r="CA909" s="582">
        <f t="shared" si="2624"/>
        <v>0</v>
      </c>
      <c r="CB909" s="582">
        <f t="shared" si="2625"/>
        <v>0</v>
      </c>
      <c r="CC909" s="582">
        <f t="shared" si="2626"/>
        <v>0</v>
      </c>
      <c r="CD909" s="988">
        <f t="shared" si="2653"/>
        <v>0</v>
      </c>
      <c r="CE909" s="989">
        <f t="shared" si="2654"/>
        <v>0</v>
      </c>
      <c r="CF909" s="989">
        <f t="shared" si="2654"/>
        <v>0</v>
      </c>
      <c r="CG909" s="989">
        <f t="shared" si="2654"/>
        <v>0</v>
      </c>
      <c r="CH909" s="990">
        <f t="shared" si="2654"/>
        <v>0</v>
      </c>
      <c r="CI909" s="990">
        <f t="shared" si="2654"/>
        <v>0</v>
      </c>
      <c r="CJ909" s="989">
        <f t="shared" si="2654"/>
        <v>0</v>
      </c>
      <c r="CK909" s="989">
        <f t="shared" si="2654"/>
        <v>0</v>
      </c>
      <c r="CL909" s="989">
        <f t="shared" si="2654"/>
        <v>0</v>
      </c>
      <c r="CM909" s="988">
        <f t="shared" si="2654"/>
        <v>0</v>
      </c>
      <c r="CN909" s="533" t="str">
        <f t="shared" si="2628"/>
        <v/>
      </c>
      <c r="CO909" s="534" t="str">
        <f t="shared" si="2629"/>
        <v/>
      </c>
      <c r="CP909" s="535" t="str">
        <f t="shared" si="2630"/>
        <v/>
      </c>
      <c r="CQ909" s="535" t="str">
        <f t="shared" si="2631"/>
        <v/>
      </c>
      <c r="CR909" s="535">
        <f t="shared" si="2632"/>
        <v>0</v>
      </c>
      <c r="CS909" s="535">
        <f t="shared" si="2633"/>
        <v>0</v>
      </c>
      <c r="CT909" s="535">
        <f t="shared" si="2634"/>
        <v>0</v>
      </c>
      <c r="CU909" s="536">
        <f t="shared" si="2635"/>
        <v>0</v>
      </c>
      <c r="CV909" s="536">
        <f t="shared" si="2636"/>
        <v>0</v>
      </c>
      <c r="CW909" s="536">
        <f t="shared" si="2637"/>
        <v>0</v>
      </c>
      <c r="CX909" s="535">
        <f t="shared" si="2638"/>
        <v>0</v>
      </c>
      <c r="CY909" s="535">
        <f t="shared" si="2639"/>
        <v>0</v>
      </c>
      <c r="CZ909" s="535">
        <f t="shared" si="2640"/>
        <v>0</v>
      </c>
      <c r="DA909" s="535">
        <f t="shared" si="2641"/>
        <v>0</v>
      </c>
      <c r="DB909" s="535" t="str">
        <f t="shared" si="2642"/>
        <v/>
      </c>
      <c r="DC909" s="534" t="str">
        <f t="shared" si="2643"/>
        <v/>
      </c>
      <c r="DD909" s="533" t="str">
        <f t="shared" si="2644"/>
        <v/>
      </c>
      <c r="DE909" s="635">
        <f t="shared" si="2645"/>
        <v>10</v>
      </c>
      <c r="DF909" s="95">
        <f t="shared" si="2646"/>
        <v>10</v>
      </c>
      <c r="DG909" s="95">
        <f t="shared" si="2647"/>
        <v>10</v>
      </c>
      <c r="DH909" s="95">
        <f t="shared" si="2648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2671">SUM(B126)</f>
        <v>0</v>
      </c>
      <c r="C910" s="775">
        <f t="shared" si="2671"/>
        <v>0</v>
      </c>
      <c r="D910" s="775">
        <f t="shared" si="2671"/>
        <v>0</v>
      </c>
      <c r="E910" s="775">
        <f t="shared" si="2671"/>
        <v>0</v>
      </c>
      <c r="F910" s="775">
        <f t="shared" si="2671"/>
        <v>0</v>
      </c>
      <c r="G910" s="775">
        <f t="shared" si="2671"/>
        <v>0</v>
      </c>
      <c r="H910" s="775">
        <f t="shared" si="2671"/>
        <v>0</v>
      </c>
      <c r="I910" s="775">
        <f t="shared" si="2671"/>
        <v>0</v>
      </c>
      <c r="J910" s="775">
        <f t="shared" si="2671"/>
        <v>0</v>
      </c>
      <c r="K910" s="775">
        <f t="shared" si="2671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2672">SUM(T126)</f>
        <v>0</v>
      </c>
      <c r="U910" s="775">
        <f t="shared" si="2672"/>
        <v>0</v>
      </c>
      <c r="V910" s="775">
        <f t="shared" si="2672"/>
        <v>0</v>
      </c>
      <c r="W910" s="775">
        <f t="shared" si="2672"/>
        <v>0</v>
      </c>
      <c r="X910" s="775">
        <f t="shared" si="2672"/>
        <v>0</v>
      </c>
      <c r="Y910" s="775">
        <f t="shared" si="2672"/>
        <v>0</v>
      </c>
      <c r="Z910" s="775">
        <f t="shared" si="2672"/>
        <v>0</v>
      </c>
      <c r="AA910" s="775">
        <f t="shared" si="2672"/>
        <v>0</v>
      </c>
      <c r="AB910" s="775">
        <f t="shared" si="2672"/>
        <v>0</v>
      </c>
      <c r="AC910" s="775">
        <f t="shared" si="2672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2673">SUM(AL126)</f>
        <v>0</v>
      </c>
      <c r="AM910" s="775">
        <f t="shared" si="2673"/>
        <v>0</v>
      </c>
      <c r="AN910" s="775">
        <f t="shared" si="2673"/>
        <v>0</v>
      </c>
      <c r="AO910" s="775">
        <f t="shared" si="2673"/>
        <v>0</v>
      </c>
      <c r="AP910" s="775">
        <f t="shared" si="2673"/>
        <v>0</v>
      </c>
      <c r="AQ910" s="775">
        <f t="shared" si="2673"/>
        <v>0</v>
      </c>
      <c r="AR910" s="775">
        <f t="shared" si="2673"/>
        <v>0</v>
      </c>
      <c r="AS910" s="775">
        <f t="shared" si="2673"/>
        <v>0</v>
      </c>
      <c r="AT910" s="775">
        <f t="shared" si="2673"/>
        <v>0</v>
      </c>
      <c r="AU910" s="775">
        <f t="shared" si="2673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2674">SUM(BD126)</f>
        <v>0</v>
      </c>
      <c r="BE910" s="775">
        <f t="shared" si="2674"/>
        <v>0</v>
      </c>
      <c r="BF910" s="775">
        <f t="shared" si="2674"/>
        <v>0</v>
      </c>
      <c r="BG910" s="775">
        <f t="shared" si="2674"/>
        <v>0</v>
      </c>
      <c r="BH910" s="775">
        <f t="shared" si="2674"/>
        <v>0</v>
      </c>
      <c r="BI910" s="775">
        <f t="shared" si="2674"/>
        <v>0</v>
      </c>
      <c r="BJ910" s="775">
        <f t="shared" si="2674"/>
        <v>0</v>
      </c>
      <c r="BK910" s="775">
        <f t="shared" si="2674"/>
        <v>0</v>
      </c>
      <c r="BL910" s="775">
        <f t="shared" si="2674"/>
        <v>0</v>
      </c>
      <c r="BM910" s="775">
        <f t="shared" si="2674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2623"/>
        <v>0</v>
      </c>
      <c r="CA910" s="582">
        <f t="shared" si="2624"/>
        <v>0</v>
      </c>
      <c r="CB910" s="582">
        <f t="shared" si="2625"/>
        <v>0</v>
      </c>
      <c r="CC910" s="582">
        <f t="shared" si="2626"/>
        <v>0</v>
      </c>
      <c r="CD910" s="988">
        <f t="shared" si="2653"/>
        <v>0</v>
      </c>
      <c r="CE910" s="989">
        <f t="shared" si="2654"/>
        <v>0</v>
      </c>
      <c r="CF910" s="989">
        <f t="shared" si="2654"/>
        <v>0</v>
      </c>
      <c r="CG910" s="989">
        <f t="shared" si="2654"/>
        <v>0</v>
      </c>
      <c r="CH910" s="990">
        <f t="shared" si="2654"/>
        <v>0</v>
      </c>
      <c r="CI910" s="990">
        <f t="shared" si="2654"/>
        <v>0</v>
      </c>
      <c r="CJ910" s="989">
        <f t="shared" si="2654"/>
        <v>0</v>
      </c>
      <c r="CK910" s="989">
        <f t="shared" si="2654"/>
        <v>0</v>
      </c>
      <c r="CL910" s="989">
        <f t="shared" si="2654"/>
        <v>0</v>
      </c>
      <c r="CM910" s="988">
        <f t="shared" si="2654"/>
        <v>0</v>
      </c>
      <c r="CN910" s="533" t="str">
        <f t="shared" si="2628"/>
        <v/>
      </c>
      <c r="CO910" s="534" t="str">
        <f t="shared" si="2629"/>
        <v/>
      </c>
      <c r="CP910" s="535" t="str">
        <f t="shared" si="2630"/>
        <v/>
      </c>
      <c r="CQ910" s="535" t="str">
        <f t="shared" si="2631"/>
        <v/>
      </c>
      <c r="CR910" s="535">
        <f t="shared" si="2632"/>
        <v>0</v>
      </c>
      <c r="CS910" s="535">
        <f t="shared" si="2633"/>
        <v>0</v>
      </c>
      <c r="CT910" s="535">
        <f t="shared" si="2634"/>
        <v>0</v>
      </c>
      <c r="CU910" s="536">
        <f t="shared" si="2635"/>
        <v>0</v>
      </c>
      <c r="CV910" s="536">
        <f t="shared" si="2636"/>
        <v>0</v>
      </c>
      <c r="CW910" s="536">
        <f t="shared" si="2637"/>
        <v>0</v>
      </c>
      <c r="CX910" s="535">
        <f t="shared" si="2638"/>
        <v>0</v>
      </c>
      <c r="CY910" s="535">
        <f t="shared" si="2639"/>
        <v>0</v>
      </c>
      <c r="CZ910" s="535">
        <f t="shared" si="2640"/>
        <v>0</v>
      </c>
      <c r="DA910" s="535">
        <f t="shared" si="2641"/>
        <v>0</v>
      </c>
      <c r="DB910" s="535" t="str">
        <f t="shared" si="2642"/>
        <v/>
      </c>
      <c r="DC910" s="534" t="str">
        <f t="shared" si="2643"/>
        <v/>
      </c>
      <c r="DD910" s="533" t="str">
        <f t="shared" si="2644"/>
        <v/>
      </c>
      <c r="DE910" s="635">
        <f t="shared" si="2645"/>
        <v>10</v>
      </c>
      <c r="DF910" s="95">
        <f t="shared" si="2646"/>
        <v>10</v>
      </c>
      <c r="DG910" s="95">
        <f t="shared" si="2647"/>
        <v>10</v>
      </c>
      <c r="DH910" s="95">
        <f t="shared" si="2648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2675">SUM(B135)</f>
        <v>0</v>
      </c>
      <c r="C911" s="775">
        <f t="shared" si="2675"/>
        <v>0</v>
      </c>
      <c r="D911" s="775">
        <f t="shared" si="2675"/>
        <v>0</v>
      </c>
      <c r="E911" s="775">
        <f t="shared" si="2675"/>
        <v>0</v>
      </c>
      <c r="F911" s="775">
        <f t="shared" si="2675"/>
        <v>0</v>
      </c>
      <c r="G911" s="775">
        <f t="shared" si="2675"/>
        <v>0</v>
      </c>
      <c r="H911" s="775">
        <f t="shared" si="2675"/>
        <v>0</v>
      </c>
      <c r="I911" s="775">
        <f t="shared" si="2675"/>
        <v>0</v>
      </c>
      <c r="J911" s="775">
        <f t="shared" si="2675"/>
        <v>0</v>
      </c>
      <c r="K911" s="775">
        <f t="shared" si="2675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2676">SUM(T135)</f>
        <v>0</v>
      </c>
      <c r="U911" s="775">
        <f t="shared" si="2676"/>
        <v>0</v>
      </c>
      <c r="V911" s="775">
        <f t="shared" si="2676"/>
        <v>0</v>
      </c>
      <c r="W911" s="775">
        <f t="shared" si="2676"/>
        <v>0</v>
      </c>
      <c r="X911" s="775">
        <f t="shared" si="2676"/>
        <v>0</v>
      </c>
      <c r="Y911" s="775">
        <f t="shared" si="2676"/>
        <v>0</v>
      </c>
      <c r="Z911" s="775">
        <f t="shared" si="2676"/>
        <v>0</v>
      </c>
      <c r="AA911" s="775">
        <f t="shared" si="2676"/>
        <v>0</v>
      </c>
      <c r="AB911" s="775">
        <f t="shared" si="2676"/>
        <v>0</v>
      </c>
      <c r="AC911" s="775">
        <f t="shared" si="2676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2677">SUM(AL135)</f>
        <v>0</v>
      </c>
      <c r="AM911" s="775">
        <f t="shared" si="2677"/>
        <v>0</v>
      </c>
      <c r="AN911" s="775">
        <f t="shared" si="2677"/>
        <v>0</v>
      </c>
      <c r="AO911" s="775">
        <f t="shared" si="2677"/>
        <v>0</v>
      </c>
      <c r="AP911" s="775">
        <f t="shared" si="2677"/>
        <v>0</v>
      </c>
      <c r="AQ911" s="775">
        <f t="shared" si="2677"/>
        <v>0</v>
      </c>
      <c r="AR911" s="775">
        <f t="shared" si="2677"/>
        <v>0</v>
      </c>
      <c r="AS911" s="775">
        <f t="shared" si="2677"/>
        <v>0</v>
      </c>
      <c r="AT911" s="775">
        <f t="shared" si="2677"/>
        <v>0</v>
      </c>
      <c r="AU911" s="775">
        <f t="shared" si="2677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2678">SUM(BD135)</f>
        <v>0</v>
      </c>
      <c r="BE911" s="775">
        <f t="shared" si="2678"/>
        <v>0</v>
      </c>
      <c r="BF911" s="775">
        <f t="shared" si="2678"/>
        <v>0</v>
      </c>
      <c r="BG911" s="775">
        <f t="shared" si="2678"/>
        <v>0</v>
      </c>
      <c r="BH911" s="775">
        <f t="shared" si="2678"/>
        <v>0</v>
      </c>
      <c r="BI911" s="775">
        <f t="shared" si="2678"/>
        <v>0</v>
      </c>
      <c r="BJ911" s="775">
        <f t="shared" si="2678"/>
        <v>0</v>
      </c>
      <c r="BK911" s="775">
        <f t="shared" si="2678"/>
        <v>0</v>
      </c>
      <c r="BL911" s="775">
        <f t="shared" si="2678"/>
        <v>0</v>
      </c>
      <c r="BM911" s="775">
        <f t="shared" si="2678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2623"/>
        <v>0</v>
      </c>
      <c r="CA911" s="582">
        <f t="shared" si="2624"/>
        <v>0</v>
      </c>
      <c r="CB911" s="582">
        <f t="shared" si="2625"/>
        <v>0</v>
      </c>
      <c r="CC911" s="582">
        <f t="shared" si="2626"/>
        <v>0</v>
      </c>
      <c r="CD911" s="988">
        <f t="shared" si="2653"/>
        <v>0</v>
      </c>
      <c r="CE911" s="989">
        <f t="shared" si="2654"/>
        <v>0</v>
      </c>
      <c r="CF911" s="989">
        <f t="shared" si="2654"/>
        <v>0</v>
      </c>
      <c r="CG911" s="989">
        <f t="shared" si="2654"/>
        <v>0</v>
      </c>
      <c r="CH911" s="990">
        <f t="shared" si="2654"/>
        <v>0</v>
      </c>
      <c r="CI911" s="990">
        <f t="shared" si="2654"/>
        <v>0</v>
      </c>
      <c r="CJ911" s="989">
        <f t="shared" si="2654"/>
        <v>0</v>
      </c>
      <c r="CK911" s="989">
        <f t="shared" si="2654"/>
        <v>0</v>
      </c>
      <c r="CL911" s="989">
        <f t="shared" si="2654"/>
        <v>0</v>
      </c>
      <c r="CM911" s="988">
        <f t="shared" si="2654"/>
        <v>0</v>
      </c>
      <c r="CN911" s="533" t="str">
        <f t="shared" si="2628"/>
        <v/>
      </c>
      <c r="CO911" s="534" t="str">
        <f t="shared" si="2629"/>
        <v/>
      </c>
      <c r="CP911" s="535" t="str">
        <f t="shared" si="2630"/>
        <v/>
      </c>
      <c r="CQ911" s="535" t="str">
        <f t="shared" si="2631"/>
        <v/>
      </c>
      <c r="CR911" s="535">
        <f t="shared" si="2632"/>
        <v>0</v>
      </c>
      <c r="CS911" s="535">
        <f t="shared" si="2633"/>
        <v>0</v>
      </c>
      <c r="CT911" s="535">
        <f t="shared" si="2634"/>
        <v>0</v>
      </c>
      <c r="CU911" s="536">
        <f t="shared" si="2635"/>
        <v>0</v>
      </c>
      <c r="CV911" s="536">
        <f t="shared" si="2636"/>
        <v>0</v>
      </c>
      <c r="CW911" s="536">
        <f t="shared" si="2637"/>
        <v>0</v>
      </c>
      <c r="CX911" s="535">
        <f t="shared" si="2638"/>
        <v>0</v>
      </c>
      <c r="CY911" s="535">
        <f t="shared" si="2639"/>
        <v>0</v>
      </c>
      <c r="CZ911" s="535">
        <f t="shared" si="2640"/>
        <v>0</v>
      </c>
      <c r="DA911" s="535">
        <f t="shared" si="2641"/>
        <v>0</v>
      </c>
      <c r="DB911" s="535" t="str">
        <f t="shared" si="2642"/>
        <v/>
      </c>
      <c r="DC911" s="534" t="str">
        <f t="shared" si="2643"/>
        <v/>
      </c>
      <c r="DD911" s="533" t="str">
        <f t="shared" si="2644"/>
        <v/>
      </c>
      <c r="DE911" s="635">
        <f t="shared" si="2645"/>
        <v>10</v>
      </c>
      <c r="DF911" s="95">
        <f t="shared" si="2646"/>
        <v>10</v>
      </c>
      <c r="DG911" s="95">
        <f t="shared" si="2647"/>
        <v>10</v>
      </c>
      <c r="DH911" s="95">
        <f t="shared" si="2648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2679">SUM(B143)</f>
        <v>0</v>
      </c>
      <c r="C912" s="775">
        <f t="shared" si="2679"/>
        <v>0</v>
      </c>
      <c r="D912" s="775">
        <f t="shared" si="2679"/>
        <v>0</v>
      </c>
      <c r="E912" s="775">
        <f t="shared" si="2679"/>
        <v>0</v>
      </c>
      <c r="F912" s="775">
        <f t="shared" si="2679"/>
        <v>0</v>
      </c>
      <c r="G912" s="775">
        <f t="shared" si="2679"/>
        <v>0</v>
      </c>
      <c r="H912" s="775">
        <f t="shared" si="2679"/>
        <v>0</v>
      </c>
      <c r="I912" s="775">
        <f t="shared" si="2679"/>
        <v>0</v>
      </c>
      <c r="J912" s="775">
        <f t="shared" si="2679"/>
        <v>0</v>
      </c>
      <c r="K912" s="775">
        <f t="shared" si="2679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2680">SUM(T143)</f>
        <v>0</v>
      </c>
      <c r="U912" s="775">
        <f t="shared" si="2680"/>
        <v>0</v>
      </c>
      <c r="V912" s="775">
        <f t="shared" si="2680"/>
        <v>0</v>
      </c>
      <c r="W912" s="775">
        <f t="shared" si="2680"/>
        <v>0</v>
      </c>
      <c r="X912" s="775">
        <f t="shared" si="2680"/>
        <v>0</v>
      </c>
      <c r="Y912" s="775">
        <f t="shared" si="2680"/>
        <v>0</v>
      </c>
      <c r="Z912" s="775">
        <f t="shared" si="2680"/>
        <v>0</v>
      </c>
      <c r="AA912" s="775">
        <f t="shared" si="2680"/>
        <v>0</v>
      </c>
      <c r="AB912" s="775">
        <f t="shared" si="2680"/>
        <v>0</v>
      </c>
      <c r="AC912" s="775">
        <f t="shared" si="2680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2681">SUM(AL143)</f>
        <v>0</v>
      </c>
      <c r="AM912" s="775">
        <f t="shared" si="2681"/>
        <v>0</v>
      </c>
      <c r="AN912" s="775">
        <f t="shared" si="2681"/>
        <v>0</v>
      </c>
      <c r="AO912" s="775">
        <f t="shared" si="2681"/>
        <v>0</v>
      </c>
      <c r="AP912" s="775">
        <f t="shared" si="2681"/>
        <v>0</v>
      </c>
      <c r="AQ912" s="775">
        <f t="shared" si="2681"/>
        <v>0</v>
      </c>
      <c r="AR912" s="775">
        <f t="shared" si="2681"/>
        <v>0</v>
      </c>
      <c r="AS912" s="775">
        <f t="shared" si="2681"/>
        <v>0</v>
      </c>
      <c r="AT912" s="775">
        <f t="shared" si="2681"/>
        <v>0</v>
      </c>
      <c r="AU912" s="775">
        <f t="shared" si="2681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2682">SUM(BD143)</f>
        <v>0</v>
      </c>
      <c r="BE912" s="775">
        <f t="shared" si="2682"/>
        <v>0</v>
      </c>
      <c r="BF912" s="775">
        <f t="shared" si="2682"/>
        <v>0</v>
      </c>
      <c r="BG912" s="775">
        <f t="shared" si="2682"/>
        <v>0</v>
      </c>
      <c r="BH912" s="775">
        <f t="shared" si="2682"/>
        <v>0</v>
      </c>
      <c r="BI912" s="775">
        <f t="shared" si="2682"/>
        <v>0</v>
      </c>
      <c r="BJ912" s="775">
        <f t="shared" si="2682"/>
        <v>0</v>
      </c>
      <c r="BK912" s="775">
        <f t="shared" si="2682"/>
        <v>0</v>
      </c>
      <c r="BL912" s="775">
        <f t="shared" si="2682"/>
        <v>0</v>
      </c>
      <c r="BM912" s="775">
        <f t="shared" si="2682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2623"/>
        <v>0</v>
      </c>
      <c r="CA912" s="582">
        <f t="shared" si="2624"/>
        <v>0</v>
      </c>
      <c r="CB912" s="582">
        <f t="shared" si="2625"/>
        <v>0</v>
      </c>
      <c r="CC912" s="582">
        <f t="shared" si="2626"/>
        <v>0</v>
      </c>
      <c r="CD912" s="988">
        <f t="shared" si="2653"/>
        <v>0</v>
      </c>
      <c r="CE912" s="989">
        <f t="shared" si="2654"/>
        <v>0</v>
      </c>
      <c r="CF912" s="989">
        <f t="shared" si="2654"/>
        <v>0</v>
      </c>
      <c r="CG912" s="989">
        <f t="shared" si="2654"/>
        <v>0</v>
      </c>
      <c r="CH912" s="990">
        <f t="shared" si="2654"/>
        <v>0</v>
      </c>
      <c r="CI912" s="990">
        <f t="shared" si="2654"/>
        <v>0</v>
      </c>
      <c r="CJ912" s="989">
        <f t="shared" si="2654"/>
        <v>0</v>
      </c>
      <c r="CK912" s="989">
        <f t="shared" si="2654"/>
        <v>0</v>
      </c>
      <c r="CL912" s="989">
        <f t="shared" si="2654"/>
        <v>0</v>
      </c>
      <c r="CM912" s="988">
        <f t="shared" si="2654"/>
        <v>0</v>
      </c>
      <c r="CN912" s="533" t="str">
        <f t="shared" si="2628"/>
        <v/>
      </c>
      <c r="CO912" s="534" t="str">
        <f t="shared" si="2629"/>
        <v/>
      </c>
      <c r="CP912" s="535" t="str">
        <f t="shared" si="2630"/>
        <v/>
      </c>
      <c r="CQ912" s="535" t="str">
        <f t="shared" si="2631"/>
        <v/>
      </c>
      <c r="CR912" s="535">
        <f t="shared" si="2632"/>
        <v>0</v>
      </c>
      <c r="CS912" s="535">
        <f t="shared" si="2633"/>
        <v>0</v>
      </c>
      <c r="CT912" s="535">
        <f t="shared" si="2634"/>
        <v>0</v>
      </c>
      <c r="CU912" s="536">
        <f t="shared" si="2635"/>
        <v>0</v>
      </c>
      <c r="CV912" s="536">
        <f t="shared" si="2636"/>
        <v>0</v>
      </c>
      <c r="CW912" s="536">
        <f t="shared" si="2637"/>
        <v>0</v>
      </c>
      <c r="CX912" s="535">
        <f t="shared" si="2638"/>
        <v>0</v>
      </c>
      <c r="CY912" s="535">
        <f t="shared" si="2639"/>
        <v>0</v>
      </c>
      <c r="CZ912" s="535">
        <f t="shared" si="2640"/>
        <v>0</v>
      </c>
      <c r="DA912" s="535">
        <f t="shared" si="2641"/>
        <v>0</v>
      </c>
      <c r="DB912" s="535" t="str">
        <f t="shared" si="2642"/>
        <v/>
      </c>
      <c r="DC912" s="534" t="str">
        <f t="shared" si="2643"/>
        <v/>
      </c>
      <c r="DD912" s="533" t="str">
        <f t="shared" si="2644"/>
        <v/>
      </c>
      <c r="DE912" s="635">
        <f t="shared" si="2645"/>
        <v>10</v>
      </c>
      <c r="DF912" s="95">
        <f t="shared" si="2646"/>
        <v>10</v>
      </c>
      <c r="DG912" s="95">
        <f t="shared" si="2647"/>
        <v>10</v>
      </c>
      <c r="DH912" s="95">
        <f t="shared" si="2648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2683">SUM(B154)</f>
        <v>0</v>
      </c>
      <c r="C913" s="775">
        <f t="shared" si="2683"/>
        <v>0</v>
      </c>
      <c r="D913" s="775">
        <f t="shared" si="2683"/>
        <v>0</v>
      </c>
      <c r="E913" s="775">
        <f t="shared" si="2683"/>
        <v>0</v>
      </c>
      <c r="F913" s="775">
        <f t="shared" si="2683"/>
        <v>0</v>
      </c>
      <c r="G913" s="775">
        <f t="shared" si="2683"/>
        <v>0</v>
      </c>
      <c r="H913" s="775">
        <f t="shared" si="2683"/>
        <v>0</v>
      </c>
      <c r="I913" s="775">
        <f t="shared" si="2683"/>
        <v>0</v>
      </c>
      <c r="J913" s="775">
        <f t="shared" si="2683"/>
        <v>0</v>
      </c>
      <c r="K913" s="775">
        <f t="shared" si="2683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2684">SUM(T154)</f>
        <v>0</v>
      </c>
      <c r="U913" s="775">
        <f t="shared" si="2684"/>
        <v>0</v>
      </c>
      <c r="V913" s="775">
        <f t="shared" si="2684"/>
        <v>0</v>
      </c>
      <c r="W913" s="775">
        <f t="shared" si="2684"/>
        <v>0</v>
      </c>
      <c r="X913" s="775">
        <f t="shared" si="2684"/>
        <v>0</v>
      </c>
      <c r="Y913" s="775">
        <f t="shared" si="2684"/>
        <v>0</v>
      </c>
      <c r="Z913" s="775">
        <f t="shared" si="2684"/>
        <v>0</v>
      </c>
      <c r="AA913" s="775">
        <f t="shared" si="2684"/>
        <v>0</v>
      </c>
      <c r="AB913" s="775">
        <f t="shared" si="2684"/>
        <v>0</v>
      </c>
      <c r="AC913" s="775">
        <f t="shared" si="2684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2685">SUM(AL154)</f>
        <v>0</v>
      </c>
      <c r="AM913" s="775">
        <f t="shared" si="2685"/>
        <v>0</v>
      </c>
      <c r="AN913" s="775">
        <f t="shared" si="2685"/>
        <v>0</v>
      </c>
      <c r="AO913" s="775">
        <f t="shared" si="2685"/>
        <v>0</v>
      </c>
      <c r="AP913" s="775">
        <f t="shared" si="2685"/>
        <v>0</v>
      </c>
      <c r="AQ913" s="775">
        <f t="shared" si="2685"/>
        <v>0</v>
      </c>
      <c r="AR913" s="775">
        <f t="shared" si="2685"/>
        <v>0</v>
      </c>
      <c r="AS913" s="775">
        <f t="shared" si="2685"/>
        <v>0</v>
      </c>
      <c r="AT913" s="775">
        <f t="shared" si="2685"/>
        <v>0</v>
      </c>
      <c r="AU913" s="775">
        <f t="shared" si="2685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2686">SUM(BD154)</f>
        <v>0</v>
      </c>
      <c r="BE913" s="775">
        <f t="shared" si="2686"/>
        <v>0</v>
      </c>
      <c r="BF913" s="775">
        <f t="shared" si="2686"/>
        <v>0</v>
      </c>
      <c r="BG913" s="775">
        <f t="shared" si="2686"/>
        <v>0</v>
      </c>
      <c r="BH913" s="775">
        <f t="shared" si="2686"/>
        <v>0</v>
      </c>
      <c r="BI913" s="775">
        <f t="shared" si="2686"/>
        <v>0</v>
      </c>
      <c r="BJ913" s="775">
        <f t="shared" si="2686"/>
        <v>0</v>
      </c>
      <c r="BK913" s="775">
        <f t="shared" si="2686"/>
        <v>0</v>
      </c>
      <c r="BL913" s="775">
        <f t="shared" si="2686"/>
        <v>0</v>
      </c>
      <c r="BM913" s="775">
        <f t="shared" si="2686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2623"/>
        <v>0</v>
      </c>
      <c r="CA913" s="582">
        <f t="shared" si="2624"/>
        <v>0</v>
      </c>
      <c r="CB913" s="582">
        <f t="shared" si="2625"/>
        <v>0</v>
      </c>
      <c r="CC913" s="582">
        <f t="shared" si="2626"/>
        <v>0</v>
      </c>
      <c r="CD913" s="988">
        <f t="shared" si="2653"/>
        <v>0</v>
      </c>
      <c r="CE913" s="989">
        <f t="shared" si="2654"/>
        <v>0</v>
      </c>
      <c r="CF913" s="989">
        <f t="shared" si="2654"/>
        <v>0</v>
      </c>
      <c r="CG913" s="989">
        <f t="shared" si="2654"/>
        <v>0</v>
      </c>
      <c r="CH913" s="990">
        <f t="shared" si="2654"/>
        <v>0</v>
      </c>
      <c r="CI913" s="990">
        <f t="shared" si="2654"/>
        <v>0</v>
      </c>
      <c r="CJ913" s="989">
        <f t="shared" si="2654"/>
        <v>0</v>
      </c>
      <c r="CK913" s="989">
        <f t="shared" si="2654"/>
        <v>0</v>
      </c>
      <c r="CL913" s="989">
        <f t="shared" si="2654"/>
        <v>0</v>
      </c>
      <c r="CM913" s="988">
        <f t="shared" si="2654"/>
        <v>0</v>
      </c>
      <c r="CN913" s="533" t="str">
        <f t="shared" si="2628"/>
        <v/>
      </c>
      <c r="CO913" s="534" t="str">
        <f t="shared" si="2629"/>
        <v/>
      </c>
      <c r="CP913" s="535" t="str">
        <f t="shared" si="2630"/>
        <v/>
      </c>
      <c r="CQ913" s="535" t="str">
        <f t="shared" si="2631"/>
        <v/>
      </c>
      <c r="CR913" s="535">
        <f t="shared" si="2632"/>
        <v>0</v>
      </c>
      <c r="CS913" s="535">
        <f t="shared" si="2633"/>
        <v>0</v>
      </c>
      <c r="CT913" s="535">
        <f t="shared" si="2634"/>
        <v>0</v>
      </c>
      <c r="CU913" s="536">
        <f t="shared" si="2635"/>
        <v>0</v>
      </c>
      <c r="CV913" s="536">
        <f t="shared" si="2636"/>
        <v>0</v>
      </c>
      <c r="CW913" s="536">
        <f t="shared" si="2637"/>
        <v>0</v>
      </c>
      <c r="CX913" s="535">
        <f t="shared" si="2638"/>
        <v>0</v>
      </c>
      <c r="CY913" s="535">
        <f t="shared" si="2639"/>
        <v>0</v>
      </c>
      <c r="CZ913" s="535">
        <f t="shared" si="2640"/>
        <v>0</v>
      </c>
      <c r="DA913" s="535">
        <f t="shared" si="2641"/>
        <v>0</v>
      </c>
      <c r="DB913" s="535" t="str">
        <f t="shared" si="2642"/>
        <v/>
      </c>
      <c r="DC913" s="534" t="str">
        <f t="shared" si="2643"/>
        <v/>
      </c>
      <c r="DD913" s="533" t="str">
        <f t="shared" si="2644"/>
        <v/>
      </c>
      <c r="DE913" s="635">
        <f t="shared" si="2645"/>
        <v>10</v>
      </c>
      <c r="DF913" s="95">
        <f t="shared" si="2646"/>
        <v>10</v>
      </c>
      <c r="DG913" s="95">
        <f t="shared" si="2647"/>
        <v>10</v>
      </c>
      <c r="DH913" s="95">
        <f t="shared" si="2648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2687">SUM(B163)</f>
        <v>0</v>
      </c>
      <c r="C914" s="775">
        <f t="shared" si="2687"/>
        <v>0</v>
      </c>
      <c r="D914" s="775">
        <f t="shared" si="2687"/>
        <v>0</v>
      </c>
      <c r="E914" s="775">
        <f t="shared" si="2687"/>
        <v>0</v>
      </c>
      <c r="F914" s="775">
        <f t="shared" si="2687"/>
        <v>0</v>
      </c>
      <c r="G914" s="775">
        <f t="shared" si="2687"/>
        <v>0</v>
      </c>
      <c r="H914" s="775">
        <f t="shared" si="2687"/>
        <v>0</v>
      </c>
      <c r="I914" s="775">
        <f t="shared" si="2687"/>
        <v>0</v>
      </c>
      <c r="J914" s="775">
        <f t="shared" si="2687"/>
        <v>0</v>
      </c>
      <c r="K914" s="775">
        <f t="shared" si="2687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2688">SUM(T163)</f>
        <v>0</v>
      </c>
      <c r="U914" s="775">
        <f t="shared" si="2688"/>
        <v>0</v>
      </c>
      <c r="V914" s="775">
        <f t="shared" si="2688"/>
        <v>0</v>
      </c>
      <c r="W914" s="775">
        <f t="shared" si="2688"/>
        <v>0</v>
      </c>
      <c r="X914" s="775">
        <f t="shared" si="2688"/>
        <v>0</v>
      </c>
      <c r="Y914" s="775">
        <f t="shared" si="2688"/>
        <v>0</v>
      </c>
      <c r="Z914" s="775">
        <f t="shared" si="2688"/>
        <v>0</v>
      </c>
      <c r="AA914" s="775">
        <f t="shared" si="2688"/>
        <v>0</v>
      </c>
      <c r="AB914" s="775">
        <f t="shared" si="2688"/>
        <v>0</v>
      </c>
      <c r="AC914" s="775">
        <f t="shared" si="2688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2689">SUM(AL163)</f>
        <v>0</v>
      </c>
      <c r="AM914" s="775">
        <f t="shared" si="2689"/>
        <v>0</v>
      </c>
      <c r="AN914" s="775">
        <f t="shared" si="2689"/>
        <v>0</v>
      </c>
      <c r="AO914" s="775">
        <f t="shared" si="2689"/>
        <v>0</v>
      </c>
      <c r="AP914" s="775">
        <f t="shared" si="2689"/>
        <v>0</v>
      </c>
      <c r="AQ914" s="775">
        <f t="shared" si="2689"/>
        <v>0</v>
      </c>
      <c r="AR914" s="775">
        <f t="shared" si="2689"/>
        <v>0</v>
      </c>
      <c r="AS914" s="775">
        <f t="shared" si="2689"/>
        <v>0</v>
      </c>
      <c r="AT914" s="775">
        <f t="shared" si="2689"/>
        <v>0</v>
      </c>
      <c r="AU914" s="775">
        <f t="shared" si="2689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2690">SUM(BD163)</f>
        <v>0</v>
      </c>
      <c r="BE914" s="775">
        <f t="shared" si="2690"/>
        <v>0</v>
      </c>
      <c r="BF914" s="775">
        <f t="shared" si="2690"/>
        <v>0</v>
      </c>
      <c r="BG914" s="775">
        <f t="shared" si="2690"/>
        <v>0</v>
      </c>
      <c r="BH914" s="775">
        <f t="shared" si="2690"/>
        <v>0</v>
      </c>
      <c r="BI914" s="775">
        <f t="shared" si="2690"/>
        <v>0</v>
      </c>
      <c r="BJ914" s="775">
        <f t="shared" si="2690"/>
        <v>0</v>
      </c>
      <c r="BK914" s="775">
        <f t="shared" si="2690"/>
        <v>0</v>
      </c>
      <c r="BL914" s="775">
        <f t="shared" si="2690"/>
        <v>0</v>
      </c>
      <c r="BM914" s="775">
        <f t="shared" si="2690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2623"/>
        <v>0</v>
      </c>
      <c r="CA914" s="582">
        <f t="shared" si="2624"/>
        <v>0</v>
      </c>
      <c r="CB914" s="582">
        <f t="shared" si="2625"/>
        <v>0</v>
      </c>
      <c r="CC914" s="582">
        <f t="shared" si="2626"/>
        <v>0</v>
      </c>
      <c r="CD914" s="988">
        <f t="shared" si="2653"/>
        <v>0</v>
      </c>
      <c r="CE914" s="989">
        <f t="shared" si="2654"/>
        <v>0</v>
      </c>
      <c r="CF914" s="989">
        <f t="shared" si="2654"/>
        <v>0</v>
      </c>
      <c r="CG914" s="989">
        <f t="shared" si="2654"/>
        <v>0</v>
      </c>
      <c r="CH914" s="990">
        <f t="shared" si="2654"/>
        <v>0</v>
      </c>
      <c r="CI914" s="990">
        <f t="shared" si="2654"/>
        <v>0</v>
      </c>
      <c r="CJ914" s="989">
        <f t="shared" si="2654"/>
        <v>0</v>
      </c>
      <c r="CK914" s="989">
        <f t="shared" si="2654"/>
        <v>0</v>
      </c>
      <c r="CL914" s="989">
        <f t="shared" si="2654"/>
        <v>0</v>
      </c>
      <c r="CM914" s="988">
        <f t="shared" si="2654"/>
        <v>0</v>
      </c>
      <c r="CN914" s="533" t="str">
        <f t="shared" si="2628"/>
        <v/>
      </c>
      <c r="CO914" s="534" t="str">
        <f t="shared" si="2629"/>
        <v/>
      </c>
      <c r="CP914" s="535" t="str">
        <f t="shared" si="2630"/>
        <v/>
      </c>
      <c r="CQ914" s="535" t="str">
        <f t="shared" si="2631"/>
        <v/>
      </c>
      <c r="CR914" s="535">
        <f t="shared" si="2632"/>
        <v>0</v>
      </c>
      <c r="CS914" s="535">
        <f t="shared" si="2633"/>
        <v>0</v>
      </c>
      <c r="CT914" s="535">
        <f t="shared" si="2634"/>
        <v>0</v>
      </c>
      <c r="CU914" s="536">
        <f t="shared" si="2635"/>
        <v>0</v>
      </c>
      <c r="CV914" s="536">
        <f t="shared" si="2636"/>
        <v>0</v>
      </c>
      <c r="CW914" s="536">
        <f t="shared" si="2637"/>
        <v>0</v>
      </c>
      <c r="CX914" s="535">
        <f t="shared" si="2638"/>
        <v>0</v>
      </c>
      <c r="CY914" s="535">
        <f t="shared" si="2639"/>
        <v>0</v>
      </c>
      <c r="CZ914" s="535">
        <f t="shared" si="2640"/>
        <v>0</v>
      </c>
      <c r="DA914" s="535">
        <f t="shared" si="2641"/>
        <v>0</v>
      </c>
      <c r="DB914" s="535" t="str">
        <f t="shared" si="2642"/>
        <v/>
      </c>
      <c r="DC914" s="534" t="str">
        <f t="shared" si="2643"/>
        <v/>
      </c>
      <c r="DD914" s="533" t="str">
        <f t="shared" si="2644"/>
        <v/>
      </c>
      <c r="DE914" s="635">
        <f t="shared" si="2645"/>
        <v>10</v>
      </c>
      <c r="DF914" s="95">
        <f t="shared" si="2646"/>
        <v>10</v>
      </c>
      <c r="DG914" s="95">
        <f t="shared" si="2647"/>
        <v>10</v>
      </c>
      <c r="DH914" s="95">
        <f t="shared" si="2648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2691">SUM(B171)</f>
        <v>0</v>
      </c>
      <c r="C915" s="775">
        <f t="shared" si="2691"/>
        <v>0</v>
      </c>
      <c r="D915" s="775">
        <f t="shared" si="2691"/>
        <v>0</v>
      </c>
      <c r="E915" s="775">
        <f t="shared" si="2691"/>
        <v>0</v>
      </c>
      <c r="F915" s="775">
        <f t="shared" si="2691"/>
        <v>0</v>
      </c>
      <c r="G915" s="775">
        <f t="shared" si="2691"/>
        <v>0</v>
      </c>
      <c r="H915" s="775">
        <f t="shared" si="2691"/>
        <v>0</v>
      </c>
      <c r="I915" s="775">
        <f t="shared" si="2691"/>
        <v>0</v>
      </c>
      <c r="J915" s="775">
        <f t="shared" si="2691"/>
        <v>0</v>
      </c>
      <c r="K915" s="775">
        <f t="shared" si="2691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2692">SUM(T171)</f>
        <v>0</v>
      </c>
      <c r="U915" s="775">
        <f t="shared" si="2692"/>
        <v>0</v>
      </c>
      <c r="V915" s="775">
        <f t="shared" si="2692"/>
        <v>0</v>
      </c>
      <c r="W915" s="775">
        <f t="shared" si="2692"/>
        <v>0</v>
      </c>
      <c r="X915" s="775">
        <f t="shared" si="2692"/>
        <v>0</v>
      </c>
      <c r="Y915" s="775">
        <f t="shared" si="2692"/>
        <v>0</v>
      </c>
      <c r="Z915" s="775">
        <f t="shared" si="2692"/>
        <v>0</v>
      </c>
      <c r="AA915" s="775">
        <f t="shared" si="2692"/>
        <v>0</v>
      </c>
      <c r="AB915" s="775">
        <f t="shared" si="2692"/>
        <v>0</v>
      </c>
      <c r="AC915" s="775">
        <f t="shared" si="2692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2693">SUM(AL171)</f>
        <v>0</v>
      </c>
      <c r="AM915" s="775">
        <f t="shared" si="2693"/>
        <v>0</v>
      </c>
      <c r="AN915" s="775">
        <f t="shared" si="2693"/>
        <v>0</v>
      </c>
      <c r="AO915" s="775">
        <f t="shared" si="2693"/>
        <v>0</v>
      </c>
      <c r="AP915" s="775">
        <f t="shared" si="2693"/>
        <v>0</v>
      </c>
      <c r="AQ915" s="775">
        <f t="shared" si="2693"/>
        <v>0</v>
      </c>
      <c r="AR915" s="775">
        <f t="shared" si="2693"/>
        <v>0</v>
      </c>
      <c r="AS915" s="775">
        <f t="shared" si="2693"/>
        <v>0</v>
      </c>
      <c r="AT915" s="775">
        <f t="shared" si="2693"/>
        <v>0</v>
      </c>
      <c r="AU915" s="775">
        <f t="shared" si="2693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2694">SUM(BD171)</f>
        <v>0</v>
      </c>
      <c r="BE915" s="775">
        <f t="shared" si="2694"/>
        <v>0</v>
      </c>
      <c r="BF915" s="775">
        <f t="shared" si="2694"/>
        <v>0</v>
      </c>
      <c r="BG915" s="775">
        <f t="shared" si="2694"/>
        <v>0</v>
      </c>
      <c r="BH915" s="775">
        <f t="shared" si="2694"/>
        <v>0</v>
      </c>
      <c r="BI915" s="775">
        <f t="shared" si="2694"/>
        <v>0</v>
      </c>
      <c r="BJ915" s="775">
        <f t="shared" si="2694"/>
        <v>0</v>
      </c>
      <c r="BK915" s="775">
        <f t="shared" si="2694"/>
        <v>0</v>
      </c>
      <c r="BL915" s="775">
        <f t="shared" si="2694"/>
        <v>0</v>
      </c>
      <c r="BM915" s="775">
        <f t="shared" si="2694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2623"/>
        <v>0</v>
      </c>
      <c r="CA915" s="582">
        <f t="shared" si="2624"/>
        <v>0</v>
      </c>
      <c r="CB915" s="582">
        <f t="shared" si="2625"/>
        <v>0</v>
      </c>
      <c r="CC915" s="582">
        <f t="shared" si="2626"/>
        <v>0</v>
      </c>
      <c r="CD915" s="988">
        <f t="shared" si="2653"/>
        <v>0</v>
      </c>
      <c r="CE915" s="989">
        <f t="shared" si="2654"/>
        <v>0</v>
      </c>
      <c r="CF915" s="989">
        <f t="shared" si="2654"/>
        <v>0</v>
      </c>
      <c r="CG915" s="989">
        <f t="shared" si="2654"/>
        <v>0</v>
      </c>
      <c r="CH915" s="990">
        <f t="shared" si="2654"/>
        <v>0</v>
      </c>
      <c r="CI915" s="990">
        <f t="shared" si="2654"/>
        <v>0</v>
      </c>
      <c r="CJ915" s="989">
        <f t="shared" si="2654"/>
        <v>0</v>
      </c>
      <c r="CK915" s="989">
        <f t="shared" si="2654"/>
        <v>0</v>
      </c>
      <c r="CL915" s="989">
        <f t="shared" si="2654"/>
        <v>0</v>
      </c>
      <c r="CM915" s="988">
        <f t="shared" si="2654"/>
        <v>0</v>
      </c>
      <c r="CN915" s="533" t="str">
        <f t="shared" si="2628"/>
        <v/>
      </c>
      <c r="CO915" s="534" t="str">
        <f t="shared" si="2629"/>
        <v/>
      </c>
      <c r="CP915" s="535" t="str">
        <f t="shared" si="2630"/>
        <v/>
      </c>
      <c r="CQ915" s="535" t="str">
        <f t="shared" si="2631"/>
        <v/>
      </c>
      <c r="CR915" s="535">
        <f t="shared" si="2632"/>
        <v>0</v>
      </c>
      <c r="CS915" s="535">
        <f t="shared" si="2633"/>
        <v>0</v>
      </c>
      <c r="CT915" s="535">
        <f t="shared" si="2634"/>
        <v>0</v>
      </c>
      <c r="CU915" s="536">
        <f t="shared" si="2635"/>
        <v>0</v>
      </c>
      <c r="CV915" s="536">
        <f t="shared" si="2636"/>
        <v>0</v>
      </c>
      <c r="CW915" s="536">
        <f t="shared" si="2637"/>
        <v>0</v>
      </c>
      <c r="CX915" s="535">
        <f t="shared" si="2638"/>
        <v>0</v>
      </c>
      <c r="CY915" s="535">
        <f t="shared" si="2639"/>
        <v>0</v>
      </c>
      <c r="CZ915" s="535">
        <f t="shared" si="2640"/>
        <v>0</v>
      </c>
      <c r="DA915" s="535">
        <f t="shared" si="2641"/>
        <v>0</v>
      </c>
      <c r="DB915" s="535" t="str">
        <f t="shared" si="2642"/>
        <v/>
      </c>
      <c r="DC915" s="534" t="str">
        <f t="shared" si="2643"/>
        <v/>
      </c>
      <c r="DD915" s="533" t="str">
        <f t="shared" si="2644"/>
        <v/>
      </c>
      <c r="DE915" s="635">
        <f t="shared" si="2645"/>
        <v>10</v>
      </c>
      <c r="DF915" s="95">
        <f t="shared" si="2646"/>
        <v>10</v>
      </c>
      <c r="DG915" s="95">
        <f t="shared" si="2647"/>
        <v>10</v>
      </c>
      <c r="DH915" s="95">
        <f t="shared" si="2648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2695">SUM(B220)</f>
        <v>0</v>
      </c>
      <c r="C916" s="775">
        <f t="shared" si="2695"/>
        <v>0</v>
      </c>
      <c r="D916" s="775">
        <f t="shared" si="2695"/>
        <v>0</v>
      </c>
      <c r="E916" s="775">
        <f t="shared" si="2695"/>
        <v>0</v>
      </c>
      <c r="F916" s="775">
        <f t="shared" si="2695"/>
        <v>0</v>
      </c>
      <c r="G916" s="775">
        <f t="shared" si="2695"/>
        <v>0</v>
      </c>
      <c r="H916" s="775">
        <f t="shared" si="2695"/>
        <v>0</v>
      </c>
      <c r="I916" s="775">
        <f t="shared" si="2695"/>
        <v>0</v>
      </c>
      <c r="J916" s="775">
        <f t="shared" si="2695"/>
        <v>0</v>
      </c>
      <c r="K916" s="775">
        <f t="shared" si="2695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2696">SUM(T220)</f>
        <v>0</v>
      </c>
      <c r="U916" s="775">
        <f t="shared" si="2696"/>
        <v>0</v>
      </c>
      <c r="V916" s="775">
        <f t="shared" si="2696"/>
        <v>0</v>
      </c>
      <c r="W916" s="775">
        <f t="shared" si="2696"/>
        <v>0</v>
      </c>
      <c r="X916" s="775">
        <f t="shared" si="2696"/>
        <v>0</v>
      </c>
      <c r="Y916" s="775">
        <f t="shared" si="2696"/>
        <v>0</v>
      </c>
      <c r="Z916" s="775">
        <f t="shared" si="2696"/>
        <v>0</v>
      </c>
      <c r="AA916" s="775">
        <f t="shared" si="2696"/>
        <v>0</v>
      </c>
      <c r="AB916" s="775">
        <f t="shared" si="2696"/>
        <v>0</v>
      </c>
      <c r="AC916" s="775">
        <f t="shared" si="2696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2697">SUM(AL220)</f>
        <v>0</v>
      </c>
      <c r="AM916" s="775">
        <f t="shared" si="2697"/>
        <v>0</v>
      </c>
      <c r="AN916" s="775">
        <f t="shared" si="2697"/>
        <v>0</v>
      </c>
      <c r="AO916" s="775">
        <f t="shared" si="2697"/>
        <v>0</v>
      </c>
      <c r="AP916" s="775">
        <f t="shared" si="2697"/>
        <v>0</v>
      </c>
      <c r="AQ916" s="775">
        <f t="shared" si="2697"/>
        <v>0</v>
      </c>
      <c r="AR916" s="775">
        <f t="shared" si="2697"/>
        <v>0</v>
      </c>
      <c r="AS916" s="775">
        <f t="shared" si="2697"/>
        <v>0</v>
      </c>
      <c r="AT916" s="775">
        <f t="shared" si="2697"/>
        <v>0</v>
      </c>
      <c r="AU916" s="775">
        <f t="shared" si="2697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2698">SUM(BD220)</f>
        <v>0</v>
      </c>
      <c r="BE916" s="775">
        <f t="shared" si="2698"/>
        <v>0</v>
      </c>
      <c r="BF916" s="775">
        <f t="shared" si="2698"/>
        <v>0</v>
      </c>
      <c r="BG916" s="775">
        <f t="shared" si="2698"/>
        <v>0</v>
      </c>
      <c r="BH916" s="775">
        <f t="shared" si="2698"/>
        <v>0</v>
      </c>
      <c r="BI916" s="775">
        <f t="shared" si="2698"/>
        <v>0</v>
      </c>
      <c r="BJ916" s="775">
        <f t="shared" si="2698"/>
        <v>0</v>
      </c>
      <c r="BK916" s="775">
        <f t="shared" si="2698"/>
        <v>0</v>
      </c>
      <c r="BL916" s="775">
        <f t="shared" si="2698"/>
        <v>0</v>
      </c>
      <c r="BM916" s="775">
        <f t="shared" si="2698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2623"/>
        <v>0</v>
      </c>
      <c r="CA916" s="582">
        <f t="shared" si="2624"/>
        <v>0</v>
      </c>
      <c r="CB916" s="582">
        <f t="shared" si="2625"/>
        <v>0</v>
      </c>
      <c r="CC916" s="582">
        <f t="shared" si="2626"/>
        <v>0</v>
      </c>
      <c r="CD916" s="988">
        <f t="shared" si="2653"/>
        <v>0</v>
      </c>
      <c r="CE916" s="989">
        <f t="shared" si="2654"/>
        <v>0</v>
      </c>
      <c r="CF916" s="989">
        <f t="shared" si="2654"/>
        <v>0</v>
      </c>
      <c r="CG916" s="989">
        <f t="shared" si="2654"/>
        <v>0</v>
      </c>
      <c r="CH916" s="990">
        <f t="shared" si="2654"/>
        <v>0</v>
      </c>
      <c r="CI916" s="990">
        <f t="shared" si="2654"/>
        <v>0</v>
      </c>
      <c r="CJ916" s="989">
        <f t="shared" si="2654"/>
        <v>0</v>
      </c>
      <c r="CK916" s="989">
        <f t="shared" si="2654"/>
        <v>0</v>
      </c>
      <c r="CL916" s="989">
        <f t="shared" si="2654"/>
        <v>0</v>
      </c>
      <c r="CM916" s="988">
        <f t="shared" si="2654"/>
        <v>0</v>
      </c>
      <c r="CN916" s="533" t="str">
        <f t="shared" si="2628"/>
        <v/>
      </c>
      <c r="CO916" s="534" t="str">
        <f t="shared" si="2629"/>
        <v/>
      </c>
      <c r="CP916" s="535" t="str">
        <f t="shared" si="2630"/>
        <v/>
      </c>
      <c r="CQ916" s="535" t="str">
        <f t="shared" si="2631"/>
        <v/>
      </c>
      <c r="CR916" s="535">
        <f t="shared" si="2632"/>
        <v>0</v>
      </c>
      <c r="CS916" s="535">
        <f t="shared" si="2633"/>
        <v>0</v>
      </c>
      <c r="CT916" s="535">
        <f t="shared" si="2634"/>
        <v>0</v>
      </c>
      <c r="CU916" s="536">
        <f t="shared" si="2635"/>
        <v>0</v>
      </c>
      <c r="CV916" s="536">
        <f t="shared" si="2636"/>
        <v>0</v>
      </c>
      <c r="CW916" s="536">
        <f t="shared" si="2637"/>
        <v>0</v>
      </c>
      <c r="CX916" s="535">
        <f t="shared" si="2638"/>
        <v>0</v>
      </c>
      <c r="CY916" s="535">
        <f t="shared" si="2639"/>
        <v>0</v>
      </c>
      <c r="CZ916" s="535">
        <f t="shared" si="2640"/>
        <v>0</v>
      </c>
      <c r="DA916" s="535">
        <f t="shared" si="2641"/>
        <v>0</v>
      </c>
      <c r="DB916" s="535" t="str">
        <f t="shared" si="2642"/>
        <v/>
      </c>
      <c r="DC916" s="534" t="str">
        <f t="shared" si="2643"/>
        <v/>
      </c>
      <c r="DD916" s="533" t="str">
        <f t="shared" si="2644"/>
        <v/>
      </c>
      <c r="DE916" s="635">
        <f t="shared" si="2645"/>
        <v>10</v>
      </c>
      <c r="DF916" s="95">
        <f t="shared" si="2646"/>
        <v>10</v>
      </c>
      <c r="DG916" s="95">
        <f t="shared" si="2647"/>
        <v>10</v>
      </c>
      <c r="DH916" s="95">
        <f t="shared" si="2648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2699">SUM(B223)</f>
        <v>0</v>
      </c>
      <c r="C917" s="775">
        <f t="shared" si="2699"/>
        <v>0</v>
      </c>
      <c r="D917" s="775">
        <f t="shared" si="2699"/>
        <v>0</v>
      </c>
      <c r="E917" s="775">
        <f t="shared" si="2699"/>
        <v>0</v>
      </c>
      <c r="F917" s="775">
        <f t="shared" si="2699"/>
        <v>0</v>
      </c>
      <c r="G917" s="775">
        <f t="shared" si="2699"/>
        <v>0</v>
      </c>
      <c r="H917" s="775">
        <f t="shared" si="2699"/>
        <v>0</v>
      </c>
      <c r="I917" s="775">
        <f t="shared" si="2699"/>
        <v>0</v>
      </c>
      <c r="J917" s="775">
        <f t="shared" si="2699"/>
        <v>0</v>
      </c>
      <c r="K917" s="775">
        <f t="shared" si="2699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2700">SUM(T223)</f>
        <v>0</v>
      </c>
      <c r="U917" s="775">
        <f t="shared" si="2700"/>
        <v>0</v>
      </c>
      <c r="V917" s="775">
        <f t="shared" si="2700"/>
        <v>0</v>
      </c>
      <c r="W917" s="775">
        <f t="shared" si="2700"/>
        <v>0</v>
      </c>
      <c r="X917" s="775">
        <f t="shared" si="2700"/>
        <v>0</v>
      </c>
      <c r="Y917" s="775">
        <f t="shared" si="2700"/>
        <v>0</v>
      </c>
      <c r="Z917" s="775">
        <f t="shared" si="2700"/>
        <v>0</v>
      </c>
      <c r="AA917" s="775">
        <f t="shared" si="2700"/>
        <v>0</v>
      </c>
      <c r="AB917" s="775">
        <f t="shared" si="2700"/>
        <v>0</v>
      </c>
      <c r="AC917" s="775">
        <f t="shared" si="2700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2701">SUM(AL223)</f>
        <v>0</v>
      </c>
      <c r="AM917" s="775">
        <f t="shared" si="2701"/>
        <v>0</v>
      </c>
      <c r="AN917" s="775">
        <f t="shared" si="2701"/>
        <v>0</v>
      </c>
      <c r="AO917" s="775">
        <f t="shared" si="2701"/>
        <v>0</v>
      </c>
      <c r="AP917" s="775">
        <f t="shared" si="2701"/>
        <v>0</v>
      </c>
      <c r="AQ917" s="775">
        <f t="shared" si="2701"/>
        <v>0</v>
      </c>
      <c r="AR917" s="775">
        <f t="shared" si="2701"/>
        <v>0</v>
      </c>
      <c r="AS917" s="775">
        <f t="shared" si="2701"/>
        <v>0</v>
      </c>
      <c r="AT917" s="775">
        <f t="shared" si="2701"/>
        <v>0</v>
      </c>
      <c r="AU917" s="775">
        <f t="shared" si="2701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2702">SUM(BD223)</f>
        <v>0</v>
      </c>
      <c r="BE917" s="775">
        <f t="shared" si="2702"/>
        <v>0</v>
      </c>
      <c r="BF917" s="775">
        <f t="shared" si="2702"/>
        <v>0</v>
      </c>
      <c r="BG917" s="775">
        <f t="shared" si="2702"/>
        <v>0</v>
      </c>
      <c r="BH917" s="775">
        <f t="shared" si="2702"/>
        <v>0</v>
      </c>
      <c r="BI917" s="775">
        <f t="shared" si="2702"/>
        <v>0</v>
      </c>
      <c r="BJ917" s="775">
        <f t="shared" si="2702"/>
        <v>0</v>
      </c>
      <c r="BK917" s="775">
        <f t="shared" si="2702"/>
        <v>0</v>
      </c>
      <c r="BL917" s="775">
        <f t="shared" si="2702"/>
        <v>0</v>
      </c>
      <c r="BM917" s="775">
        <f t="shared" si="2702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2623"/>
        <v>0</v>
      </c>
      <c r="CA917" s="582">
        <f t="shared" si="2624"/>
        <v>0</v>
      </c>
      <c r="CB917" s="582">
        <f t="shared" si="2625"/>
        <v>0</v>
      </c>
      <c r="CC917" s="582">
        <f t="shared" si="2626"/>
        <v>0</v>
      </c>
      <c r="CD917" s="988">
        <f t="shared" si="2653"/>
        <v>0</v>
      </c>
      <c r="CE917" s="989">
        <f t="shared" si="2654"/>
        <v>0</v>
      </c>
      <c r="CF917" s="989">
        <f t="shared" si="2654"/>
        <v>0</v>
      </c>
      <c r="CG917" s="989">
        <f t="shared" si="2654"/>
        <v>0</v>
      </c>
      <c r="CH917" s="990">
        <f t="shared" si="2654"/>
        <v>0</v>
      </c>
      <c r="CI917" s="990">
        <f t="shared" si="2654"/>
        <v>0</v>
      </c>
      <c r="CJ917" s="989">
        <f t="shared" si="2654"/>
        <v>0</v>
      </c>
      <c r="CK917" s="989">
        <f t="shared" si="2654"/>
        <v>0</v>
      </c>
      <c r="CL917" s="989">
        <f t="shared" si="2654"/>
        <v>0</v>
      </c>
      <c r="CM917" s="988">
        <f t="shared" si="2654"/>
        <v>0</v>
      </c>
      <c r="CN917" s="533" t="str">
        <f t="shared" si="2628"/>
        <v/>
      </c>
      <c r="CO917" s="534" t="str">
        <f t="shared" si="2629"/>
        <v/>
      </c>
      <c r="CP917" s="535" t="str">
        <f t="shared" si="2630"/>
        <v/>
      </c>
      <c r="CQ917" s="535" t="str">
        <f t="shared" si="2631"/>
        <v/>
      </c>
      <c r="CR917" s="535">
        <f t="shared" si="2632"/>
        <v>0</v>
      </c>
      <c r="CS917" s="535">
        <f t="shared" si="2633"/>
        <v>0</v>
      </c>
      <c r="CT917" s="535">
        <f t="shared" si="2634"/>
        <v>0</v>
      </c>
      <c r="CU917" s="536">
        <f t="shared" si="2635"/>
        <v>0</v>
      </c>
      <c r="CV917" s="536">
        <f t="shared" si="2636"/>
        <v>0</v>
      </c>
      <c r="CW917" s="536">
        <f t="shared" si="2637"/>
        <v>0</v>
      </c>
      <c r="CX917" s="535">
        <f t="shared" si="2638"/>
        <v>0</v>
      </c>
      <c r="CY917" s="535">
        <f t="shared" si="2639"/>
        <v>0</v>
      </c>
      <c r="CZ917" s="535">
        <f t="shared" si="2640"/>
        <v>0</v>
      </c>
      <c r="DA917" s="535">
        <f t="shared" si="2641"/>
        <v>0</v>
      </c>
      <c r="DB917" s="535" t="str">
        <f t="shared" si="2642"/>
        <v/>
      </c>
      <c r="DC917" s="534" t="str">
        <f t="shared" si="2643"/>
        <v/>
      </c>
      <c r="DD917" s="533" t="str">
        <f t="shared" si="2644"/>
        <v/>
      </c>
      <c r="DE917" s="635">
        <f t="shared" si="2645"/>
        <v>10</v>
      </c>
      <c r="DF917" s="95">
        <f t="shared" si="2646"/>
        <v>10</v>
      </c>
      <c r="DG917" s="95">
        <f t="shared" si="2647"/>
        <v>10</v>
      </c>
      <c r="DH917" s="95">
        <f t="shared" si="2648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2703">SUM(B226)</f>
        <v>0</v>
      </c>
      <c r="C918" s="775">
        <f t="shared" si="2703"/>
        <v>0</v>
      </c>
      <c r="D918" s="775">
        <f t="shared" si="2703"/>
        <v>0</v>
      </c>
      <c r="E918" s="775">
        <f t="shared" si="2703"/>
        <v>0</v>
      </c>
      <c r="F918" s="775">
        <f t="shared" si="2703"/>
        <v>0</v>
      </c>
      <c r="G918" s="775">
        <f t="shared" si="2703"/>
        <v>0</v>
      </c>
      <c r="H918" s="775">
        <f t="shared" si="2703"/>
        <v>0</v>
      </c>
      <c r="I918" s="775">
        <f t="shared" si="2703"/>
        <v>0</v>
      </c>
      <c r="J918" s="775">
        <f t="shared" si="2703"/>
        <v>0</v>
      </c>
      <c r="K918" s="775">
        <f t="shared" si="2703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2704">SUM(T226)</f>
        <v>0</v>
      </c>
      <c r="U918" s="775">
        <f t="shared" si="2704"/>
        <v>0</v>
      </c>
      <c r="V918" s="775">
        <f t="shared" si="2704"/>
        <v>0</v>
      </c>
      <c r="W918" s="775">
        <f t="shared" si="2704"/>
        <v>0</v>
      </c>
      <c r="X918" s="775">
        <f t="shared" si="2704"/>
        <v>0</v>
      </c>
      <c r="Y918" s="775">
        <f t="shared" si="2704"/>
        <v>0</v>
      </c>
      <c r="Z918" s="775">
        <f t="shared" si="2704"/>
        <v>0</v>
      </c>
      <c r="AA918" s="775">
        <f t="shared" si="2704"/>
        <v>0</v>
      </c>
      <c r="AB918" s="775">
        <f t="shared" si="2704"/>
        <v>0</v>
      </c>
      <c r="AC918" s="775">
        <f t="shared" si="2704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2705">SUM(AL226)</f>
        <v>0</v>
      </c>
      <c r="AM918" s="775">
        <f t="shared" si="2705"/>
        <v>0</v>
      </c>
      <c r="AN918" s="775">
        <f t="shared" si="2705"/>
        <v>0</v>
      </c>
      <c r="AO918" s="775">
        <f t="shared" si="2705"/>
        <v>0</v>
      </c>
      <c r="AP918" s="775">
        <f t="shared" si="2705"/>
        <v>0</v>
      </c>
      <c r="AQ918" s="775">
        <f t="shared" si="2705"/>
        <v>0</v>
      </c>
      <c r="AR918" s="775">
        <f t="shared" si="2705"/>
        <v>0</v>
      </c>
      <c r="AS918" s="775">
        <f t="shared" si="2705"/>
        <v>0</v>
      </c>
      <c r="AT918" s="775">
        <f t="shared" si="2705"/>
        <v>0</v>
      </c>
      <c r="AU918" s="775">
        <f t="shared" si="2705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2706">SUM(BD226)</f>
        <v>0</v>
      </c>
      <c r="BE918" s="775">
        <f t="shared" si="2706"/>
        <v>0</v>
      </c>
      <c r="BF918" s="775">
        <f t="shared" si="2706"/>
        <v>0</v>
      </c>
      <c r="BG918" s="775">
        <f t="shared" si="2706"/>
        <v>0</v>
      </c>
      <c r="BH918" s="775">
        <f t="shared" si="2706"/>
        <v>0</v>
      </c>
      <c r="BI918" s="775">
        <f t="shared" si="2706"/>
        <v>0</v>
      </c>
      <c r="BJ918" s="775">
        <f t="shared" si="2706"/>
        <v>0</v>
      </c>
      <c r="BK918" s="775">
        <f t="shared" si="2706"/>
        <v>0</v>
      </c>
      <c r="BL918" s="775">
        <f t="shared" si="2706"/>
        <v>0</v>
      </c>
      <c r="BM918" s="775">
        <f t="shared" si="2706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2623"/>
        <v>0</v>
      </c>
      <c r="CA918" s="582">
        <f t="shared" si="2624"/>
        <v>0</v>
      </c>
      <c r="CB918" s="582">
        <f t="shared" si="2625"/>
        <v>0</v>
      </c>
      <c r="CC918" s="582">
        <f t="shared" si="2626"/>
        <v>0</v>
      </c>
      <c r="CD918" s="988">
        <f t="shared" si="2653"/>
        <v>0</v>
      </c>
      <c r="CE918" s="989">
        <f t="shared" si="2654"/>
        <v>0</v>
      </c>
      <c r="CF918" s="989">
        <f t="shared" si="2654"/>
        <v>0</v>
      </c>
      <c r="CG918" s="989">
        <f t="shared" si="2654"/>
        <v>0</v>
      </c>
      <c r="CH918" s="990">
        <f t="shared" si="2654"/>
        <v>0</v>
      </c>
      <c r="CI918" s="990">
        <f t="shared" si="2654"/>
        <v>0</v>
      </c>
      <c r="CJ918" s="989">
        <f t="shared" si="2654"/>
        <v>0</v>
      </c>
      <c r="CK918" s="989">
        <f t="shared" si="2654"/>
        <v>0</v>
      </c>
      <c r="CL918" s="989">
        <f t="shared" si="2654"/>
        <v>0</v>
      </c>
      <c r="CM918" s="988">
        <f t="shared" si="2654"/>
        <v>0</v>
      </c>
      <c r="CN918" s="533" t="str">
        <f t="shared" si="2628"/>
        <v/>
      </c>
      <c r="CO918" s="534" t="str">
        <f t="shared" si="2629"/>
        <v/>
      </c>
      <c r="CP918" s="535" t="str">
        <f t="shared" si="2630"/>
        <v/>
      </c>
      <c r="CQ918" s="535" t="str">
        <f t="shared" si="2631"/>
        <v/>
      </c>
      <c r="CR918" s="535">
        <f t="shared" si="2632"/>
        <v>0</v>
      </c>
      <c r="CS918" s="535">
        <f t="shared" si="2633"/>
        <v>0</v>
      </c>
      <c r="CT918" s="535">
        <f t="shared" si="2634"/>
        <v>0</v>
      </c>
      <c r="CU918" s="536">
        <f t="shared" si="2635"/>
        <v>0</v>
      </c>
      <c r="CV918" s="536">
        <f t="shared" si="2636"/>
        <v>0</v>
      </c>
      <c r="CW918" s="536">
        <f t="shared" si="2637"/>
        <v>0</v>
      </c>
      <c r="CX918" s="535">
        <f t="shared" si="2638"/>
        <v>0</v>
      </c>
      <c r="CY918" s="535">
        <f t="shared" si="2639"/>
        <v>0</v>
      </c>
      <c r="CZ918" s="535">
        <f t="shared" si="2640"/>
        <v>0</v>
      </c>
      <c r="DA918" s="535">
        <f t="shared" si="2641"/>
        <v>0</v>
      </c>
      <c r="DB918" s="535" t="str">
        <f t="shared" si="2642"/>
        <v/>
      </c>
      <c r="DC918" s="534" t="str">
        <f t="shared" si="2643"/>
        <v/>
      </c>
      <c r="DD918" s="533" t="str">
        <f t="shared" si="2644"/>
        <v/>
      </c>
      <c r="DE918" s="635">
        <f t="shared" si="2645"/>
        <v>10</v>
      </c>
      <c r="DF918" s="95">
        <f t="shared" si="2646"/>
        <v>10</v>
      </c>
      <c r="DG918" s="95">
        <f t="shared" si="2647"/>
        <v>10</v>
      </c>
      <c r="DH918" s="95">
        <f t="shared" si="2648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2707">SUM(B186)</f>
        <v>0</v>
      </c>
      <c r="C920" s="775">
        <f t="shared" si="2707"/>
        <v>0</v>
      </c>
      <c r="D920" s="775">
        <f t="shared" si="2707"/>
        <v>0</v>
      </c>
      <c r="E920" s="775">
        <f t="shared" si="2707"/>
        <v>0</v>
      </c>
      <c r="F920" s="775">
        <f t="shared" si="2707"/>
        <v>0</v>
      </c>
      <c r="G920" s="775">
        <f t="shared" si="2707"/>
        <v>0</v>
      </c>
      <c r="H920" s="775">
        <f t="shared" si="2707"/>
        <v>0</v>
      </c>
      <c r="I920" s="775">
        <f t="shared" si="2707"/>
        <v>0</v>
      </c>
      <c r="J920" s="775">
        <f t="shared" si="2707"/>
        <v>0</v>
      </c>
      <c r="K920" s="775">
        <f t="shared" si="2707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2708">SUM(T186)</f>
        <v>0</v>
      </c>
      <c r="U920" s="775">
        <f t="shared" si="2708"/>
        <v>0</v>
      </c>
      <c r="V920" s="775">
        <f t="shared" si="2708"/>
        <v>0</v>
      </c>
      <c r="W920" s="775">
        <f t="shared" si="2708"/>
        <v>0</v>
      </c>
      <c r="X920" s="775">
        <f t="shared" si="2708"/>
        <v>0</v>
      </c>
      <c r="Y920" s="775">
        <f t="shared" si="2708"/>
        <v>0</v>
      </c>
      <c r="Z920" s="775">
        <f t="shared" si="2708"/>
        <v>0</v>
      </c>
      <c r="AA920" s="775">
        <f t="shared" si="2708"/>
        <v>0</v>
      </c>
      <c r="AB920" s="775">
        <f t="shared" si="2708"/>
        <v>0</v>
      </c>
      <c r="AC920" s="775">
        <f t="shared" si="2708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2709">SUM(AL186)</f>
        <v>0</v>
      </c>
      <c r="AM920" s="775">
        <f t="shared" si="2709"/>
        <v>0</v>
      </c>
      <c r="AN920" s="775">
        <f t="shared" si="2709"/>
        <v>0</v>
      </c>
      <c r="AO920" s="775">
        <f t="shared" si="2709"/>
        <v>0</v>
      </c>
      <c r="AP920" s="775">
        <f t="shared" si="2709"/>
        <v>0</v>
      </c>
      <c r="AQ920" s="775">
        <f t="shared" si="2709"/>
        <v>0</v>
      </c>
      <c r="AR920" s="775">
        <f t="shared" si="2709"/>
        <v>0</v>
      </c>
      <c r="AS920" s="775">
        <f t="shared" si="2709"/>
        <v>0</v>
      </c>
      <c r="AT920" s="775">
        <f t="shared" si="2709"/>
        <v>0</v>
      </c>
      <c r="AU920" s="775">
        <f t="shared" si="2709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2710">SUM(BD186)</f>
        <v>0</v>
      </c>
      <c r="BE920" s="775">
        <f t="shared" si="2710"/>
        <v>0</v>
      </c>
      <c r="BF920" s="775">
        <f t="shared" si="2710"/>
        <v>0</v>
      </c>
      <c r="BG920" s="775">
        <f t="shared" si="2710"/>
        <v>0</v>
      </c>
      <c r="BH920" s="775">
        <f t="shared" si="2710"/>
        <v>0</v>
      </c>
      <c r="BI920" s="775">
        <f t="shared" si="2710"/>
        <v>0</v>
      </c>
      <c r="BJ920" s="775">
        <f t="shared" si="2710"/>
        <v>0</v>
      </c>
      <c r="BK920" s="775">
        <f t="shared" si="2710"/>
        <v>0</v>
      </c>
      <c r="BL920" s="775">
        <f t="shared" si="2710"/>
        <v>0</v>
      </c>
      <c r="BM920" s="775">
        <f t="shared" si="2710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2711">IF(DE920&lt;3,"",(SUM(B920:R920)-MIN(B920:R920)-MAX(B920:R920))/(DE920-2))</f>
        <v>0</v>
      </c>
      <c r="CA920" s="582">
        <f t="shared" ref="CA920:CA929" si="2712">IF(DF920&lt;3,"",(SUM(T920:AJ920)-MIN(T920:AJ920)-MAX(T920:AJ920))/(DF920-2))</f>
        <v>0</v>
      </c>
      <c r="CB920" s="582">
        <f t="shared" ref="CB920:CB929" si="2713">IF(DG920&lt;3,"",(SUM(AL920:BB920)-MIN(AL920:BB920)-MAX(AL920:BB920))/(DG920-2))</f>
        <v>0</v>
      </c>
      <c r="CC920" s="582">
        <f t="shared" ref="CC920:CC929" si="2714">IF(DH920&lt;3,"",(SUM(BD920:BT920)-MIN(BD920:BT920)-MAX(BD920:BT920))/(DH920-2))</f>
        <v>0</v>
      </c>
      <c r="CD920" s="988">
        <f t="shared" ref="CD920:CM920" si="271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2715"/>
        <v>0</v>
      </c>
      <c r="CF920" s="989">
        <f t="shared" si="2715"/>
        <v>0</v>
      </c>
      <c r="CG920" s="989">
        <f t="shared" si="2715"/>
        <v>0</v>
      </c>
      <c r="CH920" s="990">
        <f t="shared" si="2715"/>
        <v>0</v>
      </c>
      <c r="CI920" s="990">
        <f t="shared" si="2715"/>
        <v>0</v>
      </c>
      <c r="CJ920" s="989">
        <f t="shared" si="2715"/>
        <v>0</v>
      </c>
      <c r="CK920" s="989">
        <f t="shared" si="2715"/>
        <v>0</v>
      </c>
      <c r="CL920" s="989">
        <f t="shared" si="2715"/>
        <v>0</v>
      </c>
      <c r="CM920" s="988">
        <f t="shared" si="2715"/>
        <v>0</v>
      </c>
      <c r="CN920" s="533" t="str">
        <f t="shared" ref="CN920:CN929" si="2716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2717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2718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2719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2720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2721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2722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272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272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272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72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72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272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272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273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273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273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2733">COUNT(B920:R920)</f>
        <v>10</v>
      </c>
      <c r="DF920" s="95">
        <f t="shared" ref="DF920:DF929" si="2734">COUNT(T920:AJ920)</f>
        <v>10</v>
      </c>
      <c r="DG920" s="95">
        <f t="shared" ref="DG920:DG929" si="2735">COUNT(AL920:BB920)</f>
        <v>10</v>
      </c>
      <c r="DH920" s="95">
        <f t="shared" ref="DH920:DH929" si="2736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2737">SUM(B189)</f>
        <v>0</v>
      </c>
      <c r="C921" s="775">
        <f t="shared" si="2737"/>
        <v>0</v>
      </c>
      <c r="D921" s="775">
        <f t="shared" si="2737"/>
        <v>0</v>
      </c>
      <c r="E921" s="775">
        <f t="shared" si="2737"/>
        <v>0</v>
      </c>
      <c r="F921" s="775">
        <f t="shared" si="2737"/>
        <v>0</v>
      </c>
      <c r="G921" s="775">
        <f t="shared" si="2737"/>
        <v>0</v>
      </c>
      <c r="H921" s="775">
        <f t="shared" si="2737"/>
        <v>0</v>
      </c>
      <c r="I921" s="775">
        <f t="shared" si="2737"/>
        <v>0</v>
      </c>
      <c r="J921" s="775">
        <f t="shared" si="2737"/>
        <v>0</v>
      </c>
      <c r="K921" s="775">
        <f t="shared" si="2737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2738">SUM(T189)</f>
        <v>0</v>
      </c>
      <c r="U921" s="775">
        <f t="shared" si="2738"/>
        <v>0</v>
      </c>
      <c r="V921" s="775">
        <f t="shared" si="2738"/>
        <v>0</v>
      </c>
      <c r="W921" s="775">
        <f t="shared" si="2738"/>
        <v>0</v>
      </c>
      <c r="X921" s="775">
        <f t="shared" si="2738"/>
        <v>0</v>
      </c>
      <c r="Y921" s="775">
        <f t="shared" si="2738"/>
        <v>0</v>
      </c>
      <c r="Z921" s="775">
        <f t="shared" si="2738"/>
        <v>0</v>
      </c>
      <c r="AA921" s="775">
        <f t="shared" si="2738"/>
        <v>0</v>
      </c>
      <c r="AB921" s="775">
        <f t="shared" si="2738"/>
        <v>0</v>
      </c>
      <c r="AC921" s="775">
        <f t="shared" si="2738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2739">SUM(AL189)</f>
        <v>0</v>
      </c>
      <c r="AM921" s="775">
        <f t="shared" si="2739"/>
        <v>0</v>
      </c>
      <c r="AN921" s="775">
        <f t="shared" si="2739"/>
        <v>0</v>
      </c>
      <c r="AO921" s="775">
        <f t="shared" si="2739"/>
        <v>0</v>
      </c>
      <c r="AP921" s="775">
        <f t="shared" si="2739"/>
        <v>0</v>
      </c>
      <c r="AQ921" s="775">
        <f t="shared" si="2739"/>
        <v>0</v>
      </c>
      <c r="AR921" s="775">
        <f t="shared" si="2739"/>
        <v>0</v>
      </c>
      <c r="AS921" s="775">
        <f t="shared" si="2739"/>
        <v>0</v>
      </c>
      <c r="AT921" s="775">
        <f t="shared" si="2739"/>
        <v>0</v>
      </c>
      <c r="AU921" s="775">
        <f t="shared" si="2739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2740">SUM(BD189)</f>
        <v>0</v>
      </c>
      <c r="BE921" s="775">
        <f t="shared" si="2740"/>
        <v>0</v>
      </c>
      <c r="BF921" s="775">
        <f t="shared" si="2740"/>
        <v>0</v>
      </c>
      <c r="BG921" s="775">
        <f t="shared" si="2740"/>
        <v>0</v>
      </c>
      <c r="BH921" s="775">
        <f t="shared" si="2740"/>
        <v>0</v>
      </c>
      <c r="BI921" s="775">
        <f t="shared" si="2740"/>
        <v>0</v>
      </c>
      <c r="BJ921" s="775">
        <f t="shared" si="2740"/>
        <v>0</v>
      </c>
      <c r="BK921" s="775">
        <f t="shared" si="2740"/>
        <v>0</v>
      </c>
      <c r="BL921" s="775">
        <f t="shared" si="2740"/>
        <v>0</v>
      </c>
      <c r="BM921" s="775">
        <f t="shared" si="2740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2711"/>
        <v>0</v>
      </c>
      <c r="CA921" s="582">
        <f t="shared" si="2712"/>
        <v>0</v>
      </c>
      <c r="CB921" s="582">
        <f t="shared" si="2713"/>
        <v>0</v>
      </c>
      <c r="CC921" s="582">
        <f t="shared" si="2714"/>
        <v>0</v>
      </c>
      <c r="CD921" s="988">
        <f t="shared" ref="CD921:CD929" si="27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274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2742"/>
        <v>0</v>
      </c>
      <c r="CG921" s="989">
        <f t="shared" si="2742"/>
        <v>0</v>
      </c>
      <c r="CH921" s="990">
        <f t="shared" si="2742"/>
        <v>0</v>
      </c>
      <c r="CI921" s="990">
        <f t="shared" si="2742"/>
        <v>0</v>
      </c>
      <c r="CJ921" s="989">
        <f t="shared" si="2742"/>
        <v>0</v>
      </c>
      <c r="CK921" s="989">
        <f t="shared" si="2742"/>
        <v>0</v>
      </c>
      <c r="CL921" s="989">
        <f t="shared" si="2742"/>
        <v>0</v>
      </c>
      <c r="CM921" s="988">
        <f t="shared" si="2742"/>
        <v>0</v>
      </c>
      <c r="CN921" s="533" t="str">
        <f t="shared" si="2716"/>
        <v/>
      </c>
      <c r="CO921" s="534" t="str">
        <f t="shared" si="2717"/>
        <v/>
      </c>
      <c r="CP921" s="535" t="str">
        <f t="shared" si="2718"/>
        <v/>
      </c>
      <c r="CQ921" s="535" t="str">
        <f t="shared" si="2719"/>
        <v/>
      </c>
      <c r="CR921" s="535">
        <f t="shared" si="2720"/>
        <v>0</v>
      </c>
      <c r="CS921" s="535">
        <f t="shared" si="2721"/>
        <v>0</v>
      </c>
      <c r="CT921" s="535">
        <f t="shared" si="2722"/>
        <v>0</v>
      </c>
      <c r="CU921" s="536">
        <f t="shared" si="2723"/>
        <v>0</v>
      </c>
      <c r="CV921" s="536">
        <f t="shared" si="2724"/>
        <v>0</v>
      </c>
      <c r="CW921" s="536">
        <f t="shared" si="2725"/>
        <v>0</v>
      </c>
      <c r="CX921" s="535">
        <f t="shared" si="2726"/>
        <v>0</v>
      </c>
      <c r="CY921" s="535">
        <f t="shared" si="2727"/>
        <v>0</v>
      </c>
      <c r="CZ921" s="535">
        <f t="shared" si="2728"/>
        <v>0</v>
      </c>
      <c r="DA921" s="535">
        <f t="shared" si="2729"/>
        <v>0</v>
      </c>
      <c r="DB921" s="535" t="str">
        <f t="shared" si="2730"/>
        <v/>
      </c>
      <c r="DC921" s="534" t="str">
        <f t="shared" si="2731"/>
        <v/>
      </c>
      <c r="DD921" s="533" t="str">
        <f t="shared" si="2732"/>
        <v/>
      </c>
      <c r="DE921" s="635">
        <f t="shared" si="2733"/>
        <v>10</v>
      </c>
      <c r="DF921" s="95">
        <f t="shared" si="2734"/>
        <v>10</v>
      </c>
      <c r="DG921" s="95">
        <f t="shared" si="2735"/>
        <v>10</v>
      </c>
      <c r="DH921" s="95">
        <f t="shared" si="2736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2743">SUM(B194)</f>
        <v>0</v>
      </c>
      <c r="C922" s="775">
        <f t="shared" si="2743"/>
        <v>0</v>
      </c>
      <c r="D922" s="775">
        <f t="shared" si="2743"/>
        <v>0</v>
      </c>
      <c r="E922" s="775">
        <f t="shared" si="2743"/>
        <v>0</v>
      </c>
      <c r="F922" s="775">
        <f t="shared" si="2743"/>
        <v>0</v>
      </c>
      <c r="G922" s="775">
        <f t="shared" si="2743"/>
        <v>0</v>
      </c>
      <c r="H922" s="775">
        <f t="shared" si="2743"/>
        <v>0</v>
      </c>
      <c r="I922" s="775">
        <f t="shared" si="2743"/>
        <v>0</v>
      </c>
      <c r="J922" s="775">
        <f t="shared" si="2743"/>
        <v>0</v>
      </c>
      <c r="K922" s="775">
        <f t="shared" si="2743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2744">SUM(T194)</f>
        <v>0</v>
      </c>
      <c r="U922" s="775">
        <f t="shared" si="2744"/>
        <v>0</v>
      </c>
      <c r="V922" s="775">
        <f t="shared" si="2744"/>
        <v>0</v>
      </c>
      <c r="W922" s="775">
        <f t="shared" si="2744"/>
        <v>0</v>
      </c>
      <c r="X922" s="775">
        <f t="shared" si="2744"/>
        <v>0</v>
      </c>
      <c r="Y922" s="775">
        <f t="shared" si="2744"/>
        <v>0</v>
      </c>
      <c r="Z922" s="775">
        <f t="shared" si="2744"/>
        <v>0</v>
      </c>
      <c r="AA922" s="775">
        <f t="shared" si="2744"/>
        <v>0</v>
      </c>
      <c r="AB922" s="775">
        <f t="shared" si="2744"/>
        <v>0</v>
      </c>
      <c r="AC922" s="775">
        <f t="shared" si="2744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2745">SUM(AL194)</f>
        <v>0</v>
      </c>
      <c r="AM922" s="775">
        <f t="shared" si="2745"/>
        <v>0</v>
      </c>
      <c r="AN922" s="775">
        <f t="shared" si="2745"/>
        <v>0</v>
      </c>
      <c r="AO922" s="775">
        <f t="shared" si="2745"/>
        <v>0</v>
      </c>
      <c r="AP922" s="775">
        <f t="shared" si="2745"/>
        <v>0</v>
      </c>
      <c r="AQ922" s="775">
        <f t="shared" si="2745"/>
        <v>0</v>
      </c>
      <c r="AR922" s="775">
        <f t="shared" si="2745"/>
        <v>0</v>
      </c>
      <c r="AS922" s="775">
        <f t="shared" si="2745"/>
        <v>0</v>
      </c>
      <c r="AT922" s="775">
        <f t="shared" si="2745"/>
        <v>0</v>
      </c>
      <c r="AU922" s="775">
        <f t="shared" si="2745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2746">SUM(BD194)</f>
        <v>0</v>
      </c>
      <c r="BE922" s="775">
        <f t="shared" si="2746"/>
        <v>0</v>
      </c>
      <c r="BF922" s="775">
        <f t="shared" si="2746"/>
        <v>0</v>
      </c>
      <c r="BG922" s="775">
        <f t="shared" si="2746"/>
        <v>0</v>
      </c>
      <c r="BH922" s="775">
        <f t="shared" si="2746"/>
        <v>0</v>
      </c>
      <c r="BI922" s="775">
        <f t="shared" si="2746"/>
        <v>0</v>
      </c>
      <c r="BJ922" s="775">
        <f t="shared" si="2746"/>
        <v>0</v>
      </c>
      <c r="BK922" s="775">
        <f t="shared" si="2746"/>
        <v>0</v>
      </c>
      <c r="BL922" s="775">
        <f t="shared" si="2746"/>
        <v>0</v>
      </c>
      <c r="BM922" s="775">
        <f t="shared" si="2746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2711"/>
        <v>0</v>
      </c>
      <c r="CA922" s="582">
        <f t="shared" si="2712"/>
        <v>0</v>
      </c>
      <c r="CB922" s="582">
        <f t="shared" si="2713"/>
        <v>0</v>
      </c>
      <c r="CC922" s="582">
        <f t="shared" si="2714"/>
        <v>0</v>
      </c>
      <c r="CD922" s="988">
        <f t="shared" si="2741"/>
        <v>0</v>
      </c>
      <c r="CE922" s="989">
        <f t="shared" si="2742"/>
        <v>0</v>
      </c>
      <c r="CF922" s="989">
        <f t="shared" si="2742"/>
        <v>0</v>
      </c>
      <c r="CG922" s="989">
        <f t="shared" si="2742"/>
        <v>0</v>
      </c>
      <c r="CH922" s="990">
        <f t="shared" si="2742"/>
        <v>0</v>
      </c>
      <c r="CI922" s="990">
        <f t="shared" si="2742"/>
        <v>0</v>
      </c>
      <c r="CJ922" s="989">
        <f t="shared" si="2742"/>
        <v>0</v>
      </c>
      <c r="CK922" s="989">
        <f t="shared" si="2742"/>
        <v>0</v>
      </c>
      <c r="CL922" s="989">
        <f t="shared" si="2742"/>
        <v>0</v>
      </c>
      <c r="CM922" s="988">
        <f t="shared" si="2742"/>
        <v>0</v>
      </c>
      <c r="CN922" s="533" t="str">
        <f t="shared" si="2716"/>
        <v/>
      </c>
      <c r="CO922" s="534" t="str">
        <f t="shared" si="2717"/>
        <v/>
      </c>
      <c r="CP922" s="535" t="str">
        <f t="shared" si="2718"/>
        <v/>
      </c>
      <c r="CQ922" s="535" t="str">
        <f t="shared" si="2719"/>
        <v/>
      </c>
      <c r="CR922" s="535">
        <f t="shared" si="2720"/>
        <v>0</v>
      </c>
      <c r="CS922" s="535">
        <f t="shared" si="2721"/>
        <v>0</v>
      </c>
      <c r="CT922" s="535">
        <f t="shared" si="2722"/>
        <v>0</v>
      </c>
      <c r="CU922" s="536">
        <f t="shared" si="2723"/>
        <v>0</v>
      </c>
      <c r="CV922" s="536">
        <f t="shared" si="2724"/>
        <v>0</v>
      </c>
      <c r="CW922" s="536">
        <f t="shared" si="2725"/>
        <v>0</v>
      </c>
      <c r="CX922" s="535">
        <f t="shared" si="2726"/>
        <v>0</v>
      </c>
      <c r="CY922" s="535">
        <f t="shared" si="2727"/>
        <v>0</v>
      </c>
      <c r="CZ922" s="535">
        <f t="shared" si="2728"/>
        <v>0</v>
      </c>
      <c r="DA922" s="535">
        <f t="shared" si="2729"/>
        <v>0</v>
      </c>
      <c r="DB922" s="535" t="str">
        <f t="shared" si="2730"/>
        <v/>
      </c>
      <c r="DC922" s="534" t="str">
        <f t="shared" si="2731"/>
        <v/>
      </c>
      <c r="DD922" s="533" t="str">
        <f t="shared" si="2732"/>
        <v/>
      </c>
      <c r="DE922" s="635">
        <f t="shared" si="2733"/>
        <v>10</v>
      </c>
      <c r="DF922" s="95">
        <f t="shared" si="2734"/>
        <v>10</v>
      </c>
      <c r="DG922" s="95">
        <f t="shared" si="2735"/>
        <v>10</v>
      </c>
      <c r="DH922" s="95">
        <f t="shared" si="2736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2747">SUM(B197)</f>
        <v>0</v>
      </c>
      <c r="C923" s="775">
        <f t="shared" si="2747"/>
        <v>0</v>
      </c>
      <c r="D923" s="775">
        <f t="shared" si="2747"/>
        <v>0</v>
      </c>
      <c r="E923" s="775">
        <f t="shared" si="2747"/>
        <v>0</v>
      </c>
      <c r="F923" s="775">
        <f t="shared" si="2747"/>
        <v>0</v>
      </c>
      <c r="G923" s="775">
        <f t="shared" si="2747"/>
        <v>0</v>
      </c>
      <c r="H923" s="775">
        <f t="shared" si="2747"/>
        <v>0</v>
      </c>
      <c r="I923" s="775">
        <f t="shared" si="2747"/>
        <v>0</v>
      </c>
      <c r="J923" s="775">
        <f t="shared" si="2747"/>
        <v>0</v>
      </c>
      <c r="K923" s="775">
        <f t="shared" si="2747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2748">SUM(T197)</f>
        <v>0</v>
      </c>
      <c r="U923" s="775">
        <f t="shared" si="2748"/>
        <v>0</v>
      </c>
      <c r="V923" s="775">
        <f t="shared" si="2748"/>
        <v>0</v>
      </c>
      <c r="W923" s="775">
        <f t="shared" si="2748"/>
        <v>0</v>
      </c>
      <c r="X923" s="775">
        <f t="shared" si="2748"/>
        <v>0</v>
      </c>
      <c r="Y923" s="775">
        <f t="shared" si="2748"/>
        <v>0</v>
      </c>
      <c r="Z923" s="775">
        <f t="shared" si="2748"/>
        <v>0</v>
      </c>
      <c r="AA923" s="775">
        <f t="shared" si="2748"/>
        <v>0</v>
      </c>
      <c r="AB923" s="775">
        <f t="shared" si="2748"/>
        <v>0</v>
      </c>
      <c r="AC923" s="775">
        <f t="shared" si="2748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2749">SUM(AL197)</f>
        <v>0</v>
      </c>
      <c r="AM923" s="775">
        <f t="shared" si="2749"/>
        <v>0</v>
      </c>
      <c r="AN923" s="775">
        <f t="shared" si="2749"/>
        <v>0</v>
      </c>
      <c r="AO923" s="775">
        <f t="shared" si="2749"/>
        <v>0</v>
      </c>
      <c r="AP923" s="775">
        <f t="shared" si="2749"/>
        <v>0</v>
      </c>
      <c r="AQ923" s="775">
        <f t="shared" si="2749"/>
        <v>0</v>
      </c>
      <c r="AR923" s="775">
        <f t="shared" si="2749"/>
        <v>0</v>
      </c>
      <c r="AS923" s="775">
        <f t="shared" si="2749"/>
        <v>0</v>
      </c>
      <c r="AT923" s="775">
        <f t="shared" si="2749"/>
        <v>0</v>
      </c>
      <c r="AU923" s="775">
        <f t="shared" si="2749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2750">SUM(BD197)</f>
        <v>0</v>
      </c>
      <c r="BE923" s="775">
        <f t="shared" si="2750"/>
        <v>0</v>
      </c>
      <c r="BF923" s="775">
        <f t="shared" si="2750"/>
        <v>0</v>
      </c>
      <c r="BG923" s="775">
        <f t="shared" si="2750"/>
        <v>0</v>
      </c>
      <c r="BH923" s="775">
        <f t="shared" si="2750"/>
        <v>0</v>
      </c>
      <c r="BI923" s="775">
        <f t="shared" si="2750"/>
        <v>0</v>
      </c>
      <c r="BJ923" s="775">
        <f t="shared" si="2750"/>
        <v>0</v>
      </c>
      <c r="BK923" s="775">
        <f t="shared" si="2750"/>
        <v>0</v>
      </c>
      <c r="BL923" s="775">
        <f t="shared" si="2750"/>
        <v>0</v>
      </c>
      <c r="BM923" s="775">
        <f t="shared" si="2750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2711"/>
        <v>0</v>
      </c>
      <c r="CA923" s="582">
        <f t="shared" si="2712"/>
        <v>0</v>
      </c>
      <c r="CB923" s="582">
        <f t="shared" si="2713"/>
        <v>0</v>
      </c>
      <c r="CC923" s="582">
        <f t="shared" si="2714"/>
        <v>0</v>
      </c>
      <c r="CD923" s="988">
        <f t="shared" si="2741"/>
        <v>0</v>
      </c>
      <c r="CE923" s="989">
        <f t="shared" si="2742"/>
        <v>0</v>
      </c>
      <c r="CF923" s="989">
        <f t="shared" si="2742"/>
        <v>0</v>
      </c>
      <c r="CG923" s="989">
        <f t="shared" si="2742"/>
        <v>0</v>
      </c>
      <c r="CH923" s="990">
        <f t="shared" si="2742"/>
        <v>0</v>
      </c>
      <c r="CI923" s="990">
        <f t="shared" si="2742"/>
        <v>0</v>
      </c>
      <c r="CJ923" s="989">
        <f t="shared" si="2742"/>
        <v>0</v>
      </c>
      <c r="CK923" s="989">
        <f t="shared" si="2742"/>
        <v>0</v>
      </c>
      <c r="CL923" s="989">
        <f t="shared" si="2742"/>
        <v>0</v>
      </c>
      <c r="CM923" s="988">
        <f t="shared" si="2742"/>
        <v>0</v>
      </c>
      <c r="CN923" s="533" t="str">
        <f t="shared" si="2716"/>
        <v/>
      </c>
      <c r="CO923" s="534" t="str">
        <f t="shared" si="2717"/>
        <v/>
      </c>
      <c r="CP923" s="535" t="str">
        <f t="shared" si="2718"/>
        <v/>
      </c>
      <c r="CQ923" s="535" t="str">
        <f t="shared" si="2719"/>
        <v/>
      </c>
      <c r="CR923" s="535">
        <f t="shared" si="2720"/>
        <v>0</v>
      </c>
      <c r="CS923" s="535">
        <f t="shared" si="2721"/>
        <v>0</v>
      </c>
      <c r="CT923" s="535">
        <f t="shared" si="2722"/>
        <v>0</v>
      </c>
      <c r="CU923" s="536">
        <f t="shared" si="2723"/>
        <v>0</v>
      </c>
      <c r="CV923" s="536">
        <f t="shared" si="2724"/>
        <v>0</v>
      </c>
      <c r="CW923" s="536">
        <f t="shared" si="2725"/>
        <v>0</v>
      </c>
      <c r="CX923" s="535">
        <f t="shared" si="2726"/>
        <v>0</v>
      </c>
      <c r="CY923" s="535">
        <f t="shared" si="2727"/>
        <v>0</v>
      </c>
      <c r="CZ923" s="535">
        <f t="shared" si="2728"/>
        <v>0</v>
      </c>
      <c r="DA923" s="535">
        <f t="shared" si="2729"/>
        <v>0</v>
      </c>
      <c r="DB923" s="535" t="str">
        <f t="shared" si="2730"/>
        <v/>
      </c>
      <c r="DC923" s="534" t="str">
        <f t="shared" si="2731"/>
        <v/>
      </c>
      <c r="DD923" s="533" t="str">
        <f t="shared" si="2732"/>
        <v/>
      </c>
      <c r="DE923" s="635">
        <f t="shared" si="2733"/>
        <v>10</v>
      </c>
      <c r="DF923" s="95">
        <f t="shared" si="2734"/>
        <v>10</v>
      </c>
      <c r="DG923" s="95">
        <f t="shared" si="2735"/>
        <v>10</v>
      </c>
      <c r="DH923" s="95">
        <f t="shared" si="2736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2751">SUM(B200)</f>
        <v>0</v>
      </c>
      <c r="C924" s="775">
        <f t="shared" si="2751"/>
        <v>0</v>
      </c>
      <c r="D924" s="775">
        <f t="shared" si="2751"/>
        <v>0</v>
      </c>
      <c r="E924" s="775">
        <f t="shared" si="2751"/>
        <v>0</v>
      </c>
      <c r="F924" s="775">
        <f t="shared" si="2751"/>
        <v>0</v>
      </c>
      <c r="G924" s="775">
        <f t="shared" si="2751"/>
        <v>0</v>
      </c>
      <c r="H924" s="775">
        <f t="shared" si="2751"/>
        <v>0</v>
      </c>
      <c r="I924" s="775">
        <f t="shared" si="2751"/>
        <v>0</v>
      </c>
      <c r="J924" s="775">
        <f t="shared" si="2751"/>
        <v>0</v>
      </c>
      <c r="K924" s="775">
        <f t="shared" si="2751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2752">SUM(T200)</f>
        <v>0</v>
      </c>
      <c r="U924" s="775">
        <f t="shared" si="2752"/>
        <v>0</v>
      </c>
      <c r="V924" s="775">
        <f t="shared" si="2752"/>
        <v>0</v>
      </c>
      <c r="W924" s="775">
        <f t="shared" si="2752"/>
        <v>0</v>
      </c>
      <c r="X924" s="775">
        <f t="shared" si="2752"/>
        <v>0</v>
      </c>
      <c r="Y924" s="775">
        <f t="shared" si="2752"/>
        <v>0</v>
      </c>
      <c r="Z924" s="775">
        <f t="shared" si="2752"/>
        <v>0</v>
      </c>
      <c r="AA924" s="775">
        <f t="shared" si="2752"/>
        <v>0</v>
      </c>
      <c r="AB924" s="775">
        <f t="shared" si="2752"/>
        <v>0</v>
      </c>
      <c r="AC924" s="775">
        <f t="shared" si="2752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2753">SUM(AL200)</f>
        <v>0</v>
      </c>
      <c r="AM924" s="775">
        <f t="shared" si="2753"/>
        <v>0</v>
      </c>
      <c r="AN924" s="775">
        <f t="shared" si="2753"/>
        <v>0</v>
      </c>
      <c r="AO924" s="775">
        <f t="shared" si="2753"/>
        <v>0</v>
      </c>
      <c r="AP924" s="775">
        <f t="shared" si="2753"/>
        <v>0</v>
      </c>
      <c r="AQ924" s="775">
        <f t="shared" si="2753"/>
        <v>0</v>
      </c>
      <c r="AR924" s="775">
        <f t="shared" si="2753"/>
        <v>0</v>
      </c>
      <c r="AS924" s="775">
        <f t="shared" si="2753"/>
        <v>0</v>
      </c>
      <c r="AT924" s="775">
        <f t="shared" si="2753"/>
        <v>0</v>
      </c>
      <c r="AU924" s="775">
        <f t="shared" si="2753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2754">SUM(BD200)</f>
        <v>0</v>
      </c>
      <c r="BE924" s="775">
        <f t="shared" si="2754"/>
        <v>0</v>
      </c>
      <c r="BF924" s="775">
        <f t="shared" si="2754"/>
        <v>0</v>
      </c>
      <c r="BG924" s="775">
        <f t="shared" si="2754"/>
        <v>0</v>
      </c>
      <c r="BH924" s="775">
        <f t="shared" si="2754"/>
        <v>0</v>
      </c>
      <c r="BI924" s="775">
        <f t="shared" si="2754"/>
        <v>0</v>
      </c>
      <c r="BJ924" s="775">
        <f t="shared" si="2754"/>
        <v>0</v>
      </c>
      <c r="BK924" s="775">
        <f t="shared" si="2754"/>
        <v>0</v>
      </c>
      <c r="BL924" s="775">
        <f t="shared" si="2754"/>
        <v>0</v>
      </c>
      <c r="BM924" s="775">
        <f t="shared" si="2754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2711"/>
        <v>0</v>
      </c>
      <c r="CA924" s="582">
        <f t="shared" si="2712"/>
        <v>0</v>
      </c>
      <c r="CB924" s="582">
        <f t="shared" si="2713"/>
        <v>0</v>
      </c>
      <c r="CC924" s="582">
        <f t="shared" si="2714"/>
        <v>0</v>
      </c>
      <c r="CD924" s="988">
        <f t="shared" si="2741"/>
        <v>0</v>
      </c>
      <c r="CE924" s="989">
        <f t="shared" si="2742"/>
        <v>0</v>
      </c>
      <c r="CF924" s="989">
        <f t="shared" si="2742"/>
        <v>0</v>
      </c>
      <c r="CG924" s="989">
        <f t="shared" si="2742"/>
        <v>0</v>
      </c>
      <c r="CH924" s="990">
        <f t="shared" si="2742"/>
        <v>0</v>
      </c>
      <c r="CI924" s="990">
        <f t="shared" si="2742"/>
        <v>0</v>
      </c>
      <c r="CJ924" s="989">
        <f t="shared" si="2742"/>
        <v>0</v>
      </c>
      <c r="CK924" s="989">
        <f t="shared" si="2742"/>
        <v>0</v>
      </c>
      <c r="CL924" s="989">
        <f t="shared" si="2742"/>
        <v>0</v>
      </c>
      <c r="CM924" s="988">
        <f t="shared" si="2742"/>
        <v>0</v>
      </c>
      <c r="CN924" s="533" t="str">
        <f t="shared" si="2716"/>
        <v/>
      </c>
      <c r="CO924" s="534" t="str">
        <f t="shared" si="2717"/>
        <v/>
      </c>
      <c r="CP924" s="535" t="str">
        <f t="shared" si="2718"/>
        <v/>
      </c>
      <c r="CQ924" s="535" t="str">
        <f t="shared" si="2719"/>
        <v/>
      </c>
      <c r="CR924" s="535">
        <f t="shared" si="2720"/>
        <v>0</v>
      </c>
      <c r="CS924" s="535">
        <f t="shared" si="2721"/>
        <v>0</v>
      </c>
      <c r="CT924" s="535">
        <f t="shared" si="2722"/>
        <v>0</v>
      </c>
      <c r="CU924" s="536">
        <f t="shared" si="2723"/>
        <v>0</v>
      </c>
      <c r="CV924" s="536">
        <f t="shared" si="2724"/>
        <v>0</v>
      </c>
      <c r="CW924" s="536">
        <f t="shared" si="2725"/>
        <v>0</v>
      </c>
      <c r="CX924" s="535">
        <f t="shared" si="2726"/>
        <v>0</v>
      </c>
      <c r="CY924" s="535">
        <f t="shared" si="2727"/>
        <v>0</v>
      </c>
      <c r="CZ924" s="535">
        <f t="shared" si="2728"/>
        <v>0</v>
      </c>
      <c r="DA924" s="535">
        <f t="shared" si="2729"/>
        <v>0</v>
      </c>
      <c r="DB924" s="535" t="str">
        <f t="shared" si="2730"/>
        <v/>
      </c>
      <c r="DC924" s="534" t="str">
        <f t="shared" si="2731"/>
        <v/>
      </c>
      <c r="DD924" s="533" t="str">
        <f t="shared" si="2732"/>
        <v/>
      </c>
      <c r="DE924" s="635">
        <f t="shared" si="2733"/>
        <v>10</v>
      </c>
      <c r="DF924" s="95">
        <f t="shared" si="2734"/>
        <v>10</v>
      </c>
      <c r="DG924" s="95">
        <f t="shared" si="2735"/>
        <v>10</v>
      </c>
      <c r="DH924" s="95">
        <f t="shared" si="2736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2755">SUM(B204)</f>
        <v>0</v>
      </c>
      <c r="C925" s="775">
        <f t="shared" si="2755"/>
        <v>0</v>
      </c>
      <c r="D925" s="775">
        <f t="shared" si="2755"/>
        <v>0</v>
      </c>
      <c r="E925" s="775">
        <f t="shared" si="2755"/>
        <v>0</v>
      </c>
      <c r="F925" s="775">
        <f t="shared" si="2755"/>
        <v>0</v>
      </c>
      <c r="G925" s="775">
        <f t="shared" si="2755"/>
        <v>0</v>
      </c>
      <c r="H925" s="775">
        <f t="shared" si="2755"/>
        <v>0</v>
      </c>
      <c r="I925" s="775">
        <f t="shared" si="2755"/>
        <v>0</v>
      </c>
      <c r="J925" s="775">
        <f t="shared" si="2755"/>
        <v>0</v>
      </c>
      <c r="K925" s="775">
        <f t="shared" si="2755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2756">SUM(T204)</f>
        <v>0</v>
      </c>
      <c r="U925" s="775">
        <f t="shared" si="2756"/>
        <v>0</v>
      </c>
      <c r="V925" s="775">
        <f t="shared" si="2756"/>
        <v>0</v>
      </c>
      <c r="W925" s="775">
        <f t="shared" si="2756"/>
        <v>0</v>
      </c>
      <c r="X925" s="775">
        <f t="shared" si="2756"/>
        <v>0</v>
      </c>
      <c r="Y925" s="775">
        <f t="shared" si="2756"/>
        <v>0</v>
      </c>
      <c r="Z925" s="775">
        <f t="shared" si="2756"/>
        <v>0</v>
      </c>
      <c r="AA925" s="775">
        <f t="shared" si="2756"/>
        <v>0</v>
      </c>
      <c r="AB925" s="775">
        <f t="shared" si="2756"/>
        <v>0</v>
      </c>
      <c r="AC925" s="775">
        <f t="shared" si="2756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2757">SUM(AL204)</f>
        <v>0</v>
      </c>
      <c r="AM925" s="775">
        <f t="shared" si="2757"/>
        <v>0</v>
      </c>
      <c r="AN925" s="775">
        <f t="shared" si="2757"/>
        <v>0</v>
      </c>
      <c r="AO925" s="775">
        <f t="shared" si="2757"/>
        <v>0</v>
      </c>
      <c r="AP925" s="775">
        <f t="shared" si="2757"/>
        <v>0</v>
      </c>
      <c r="AQ925" s="775">
        <f t="shared" si="2757"/>
        <v>0</v>
      </c>
      <c r="AR925" s="775">
        <f t="shared" si="2757"/>
        <v>0</v>
      </c>
      <c r="AS925" s="775">
        <f t="shared" si="2757"/>
        <v>0</v>
      </c>
      <c r="AT925" s="775">
        <f t="shared" si="2757"/>
        <v>0</v>
      </c>
      <c r="AU925" s="775">
        <f t="shared" si="2757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2758">SUM(BD204)</f>
        <v>0</v>
      </c>
      <c r="BE925" s="775">
        <f t="shared" si="2758"/>
        <v>0</v>
      </c>
      <c r="BF925" s="775">
        <f t="shared" si="2758"/>
        <v>0</v>
      </c>
      <c r="BG925" s="775">
        <f t="shared" si="2758"/>
        <v>0</v>
      </c>
      <c r="BH925" s="775">
        <f t="shared" si="2758"/>
        <v>0</v>
      </c>
      <c r="BI925" s="775">
        <f t="shared" si="2758"/>
        <v>0</v>
      </c>
      <c r="BJ925" s="775">
        <f t="shared" si="2758"/>
        <v>0</v>
      </c>
      <c r="BK925" s="775">
        <f t="shared" si="2758"/>
        <v>0</v>
      </c>
      <c r="BL925" s="775">
        <f t="shared" si="2758"/>
        <v>0</v>
      </c>
      <c r="BM925" s="775">
        <f t="shared" si="2758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2711"/>
        <v>0</v>
      </c>
      <c r="CA925" s="582">
        <f t="shared" si="2712"/>
        <v>0</v>
      </c>
      <c r="CB925" s="582">
        <f t="shared" si="2713"/>
        <v>0</v>
      </c>
      <c r="CC925" s="582">
        <f t="shared" si="2714"/>
        <v>0</v>
      </c>
      <c r="CD925" s="988">
        <f t="shared" si="2741"/>
        <v>0</v>
      </c>
      <c r="CE925" s="989">
        <f t="shared" si="2742"/>
        <v>0</v>
      </c>
      <c r="CF925" s="989">
        <f t="shared" si="2742"/>
        <v>0</v>
      </c>
      <c r="CG925" s="989">
        <f t="shared" si="2742"/>
        <v>0</v>
      </c>
      <c r="CH925" s="990">
        <f t="shared" si="2742"/>
        <v>0</v>
      </c>
      <c r="CI925" s="990">
        <f t="shared" si="2742"/>
        <v>0</v>
      </c>
      <c r="CJ925" s="989">
        <f t="shared" si="2742"/>
        <v>0</v>
      </c>
      <c r="CK925" s="989">
        <f t="shared" si="2742"/>
        <v>0</v>
      </c>
      <c r="CL925" s="989">
        <f t="shared" si="2742"/>
        <v>0</v>
      </c>
      <c r="CM925" s="988">
        <f t="shared" si="2742"/>
        <v>0</v>
      </c>
      <c r="CN925" s="533" t="str">
        <f t="shared" si="2716"/>
        <v/>
      </c>
      <c r="CO925" s="534" t="str">
        <f t="shared" si="2717"/>
        <v/>
      </c>
      <c r="CP925" s="535" t="str">
        <f t="shared" si="2718"/>
        <v/>
      </c>
      <c r="CQ925" s="535" t="str">
        <f t="shared" si="2719"/>
        <v/>
      </c>
      <c r="CR925" s="535">
        <f t="shared" si="2720"/>
        <v>0</v>
      </c>
      <c r="CS925" s="535">
        <f t="shared" si="2721"/>
        <v>0</v>
      </c>
      <c r="CT925" s="535">
        <f t="shared" si="2722"/>
        <v>0</v>
      </c>
      <c r="CU925" s="536">
        <f t="shared" si="2723"/>
        <v>0</v>
      </c>
      <c r="CV925" s="536">
        <f t="shared" si="2724"/>
        <v>0</v>
      </c>
      <c r="CW925" s="536">
        <f t="shared" si="2725"/>
        <v>0</v>
      </c>
      <c r="CX925" s="535">
        <f t="shared" si="2726"/>
        <v>0</v>
      </c>
      <c r="CY925" s="535">
        <f t="shared" si="2727"/>
        <v>0</v>
      </c>
      <c r="CZ925" s="535">
        <f t="shared" si="2728"/>
        <v>0</v>
      </c>
      <c r="DA925" s="535">
        <f t="shared" si="2729"/>
        <v>0</v>
      </c>
      <c r="DB925" s="535" t="str">
        <f t="shared" si="2730"/>
        <v/>
      </c>
      <c r="DC925" s="534" t="str">
        <f t="shared" si="2731"/>
        <v/>
      </c>
      <c r="DD925" s="533" t="str">
        <f t="shared" si="2732"/>
        <v/>
      </c>
      <c r="DE925" s="635">
        <f t="shared" si="2733"/>
        <v>10</v>
      </c>
      <c r="DF925" s="95">
        <f t="shared" si="2734"/>
        <v>10</v>
      </c>
      <c r="DG925" s="95">
        <f t="shared" si="2735"/>
        <v>10</v>
      </c>
      <c r="DH925" s="95">
        <f t="shared" si="2736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2759">SUM(B207)</f>
        <v>0</v>
      </c>
      <c r="C926" s="775">
        <f t="shared" si="2759"/>
        <v>0</v>
      </c>
      <c r="D926" s="775">
        <f t="shared" si="2759"/>
        <v>0</v>
      </c>
      <c r="E926" s="775">
        <f t="shared" si="2759"/>
        <v>0</v>
      </c>
      <c r="F926" s="775">
        <f t="shared" si="2759"/>
        <v>0</v>
      </c>
      <c r="G926" s="775">
        <f t="shared" si="2759"/>
        <v>0</v>
      </c>
      <c r="H926" s="775">
        <f t="shared" si="2759"/>
        <v>0</v>
      </c>
      <c r="I926" s="775">
        <f t="shared" si="2759"/>
        <v>0</v>
      </c>
      <c r="J926" s="775">
        <f t="shared" si="2759"/>
        <v>0</v>
      </c>
      <c r="K926" s="775">
        <f t="shared" si="2759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2760">SUM(T207)</f>
        <v>0</v>
      </c>
      <c r="U926" s="775">
        <f t="shared" si="2760"/>
        <v>0</v>
      </c>
      <c r="V926" s="775">
        <f t="shared" si="2760"/>
        <v>0</v>
      </c>
      <c r="W926" s="775">
        <f t="shared" si="2760"/>
        <v>0</v>
      </c>
      <c r="X926" s="775">
        <f t="shared" si="2760"/>
        <v>0</v>
      </c>
      <c r="Y926" s="775">
        <f t="shared" si="2760"/>
        <v>0</v>
      </c>
      <c r="Z926" s="775">
        <f t="shared" si="2760"/>
        <v>0</v>
      </c>
      <c r="AA926" s="775">
        <f t="shared" si="2760"/>
        <v>0</v>
      </c>
      <c r="AB926" s="775">
        <f t="shared" si="2760"/>
        <v>0</v>
      </c>
      <c r="AC926" s="775">
        <f t="shared" si="2760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2761">SUM(AL207)</f>
        <v>0</v>
      </c>
      <c r="AM926" s="775">
        <f t="shared" si="2761"/>
        <v>0</v>
      </c>
      <c r="AN926" s="775">
        <f t="shared" si="2761"/>
        <v>0</v>
      </c>
      <c r="AO926" s="775">
        <f t="shared" si="2761"/>
        <v>0</v>
      </c>
      <c r="AP926" s="775">
        <f t="shared" si="2761"/>
        <v>0</v>
      </c>
      <c r="AQ926" s="775">
        <f t="shared" si="2761"/>
        <v>0</v>
      </c>
      <c r="AR926" s="775">
        <f t="shared" si="2761"/>
        <v>0</v>
      </c>
      <c r="AS926" s="775">
        <f t="shared" si="2761"/>
        <v>0</v>
      </c>
      <c r="AT926" s="775">
        <f t="shared" si="2761"/>
        <v>0</v>
      </c>
      <c r="AU926" s="775">
        <f t="shared" si="2761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2762">SUM(BD207)</f>
        <v>0</v>
      </c>
      <c r="BE926" s="775">
        <f t="shared" si="2762"/>
        <v>0</v>
      </c>
      <c r="BF926" s="775">
        <f t="shared" si="2762"/>
        <v>0</v>
      </c>
      <c r="BG926" s="775">
        <f t="shared" si="2762"/>
        <v>0</v>
      </c>
      <c r="BH926" s="775">
        <f t="shared" si="2762"/>
        <v>0</v>
      </c>
      <c r="BI926" s="775">
        <f t="shared" si="2762"/>
        <v>0</v>
      </c>
      <c r="BJ926" s="775">
        <f t="shared" si="2762"/>
        <v>0</v>
      </c>
      <c r="BK926" s="775">
        <f t="shared" si="2762"/>
        <v>0</v>
      </c>
      <c r="BL926" s="775">
        <f t="shared" si="2762"/>
        <v>0</v>
      </c>
      <c r="BM926" s="775">
        <f t="shared" si="2762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2711"/>
        <v>0</v>
      </c>
      <c r="CA926" s="582">
        <f t="shared" si="2712"/>
        <v>0</v>
      </c>
      <c r="CB926" s="582">
        <f t="shared" si="2713"/>
        <v>0</v>
      </c>
      <c r="CC926" s="582">
        <f t="shared" si="2714"/>
        <v>0</v>
      </c>
      <c r="CD926" s="988">
        <f t="shared" si="2741"/>
        <v>0</v>
      </c>
      <c r="CE926" s="989">
        <f t="shared" si="2742"/>
        <v>0</v>
      </c>
      <c r="CF926" s="989">
        <f t="shared" si="2742"/>
        <v>0</v>
      </c>
      <c r="CG926" s="989">
        <f t="shared" si="2742"/>
        <v>0</v>
      </c>
      <c r="CH926" s="990">
        <f t="shared" si="2742"/>
        <v>0</v>
      </c>
      <c r="CI926" s="990">
        <f t="shared" si="2742"/>
        <v>0</v>
      </c>
      <c r="CJ926" s="989">
        <f t="shared" si="2742"/>
        <v>0</v>
      </c>
      <c r="CK926" s="989">
        <f t="shared" si="2742"/>
        <v>0</v>
      </c>
      <c r="CL926" s="989">
        <f t="shared" si="2742"/>
        <v>0</v>
      </c>
      <c r="CM926" s="988">
        <f t="shared" si="2742"/>
        <v>0</v>
      </c>
      <c r="CN926" s="533" t="str">
        <f t="shared" si="2716"/>
        <v/>
      </c>
      <c r="CO926" s="534" t="str">
        <f t="shared" si="2717"/>
        <v/>
      </c>
      <c r="CP926" s="535" t="str">
        <f t="shared" si="2718"/>
        <v/>
      </c>
      <c r="CQ926" s="535" t="str">
        <f t="shared" si="2719"/>
        <v/>
      </c>
      <c r="CR926" s="535">
        <f t="shared" si="2720"/>
        <v>0</v>
      </c>
      <c r="CS926" s="535">
        <f t="shared" si="2721"/>
        <v>0</v>
      </c>
      <c r="CT926" s="535">
        <f t="shared" si="2722"/>
        <v>0</v>
      </c>
      <c r="CU926" s="536">
        <f t="shared" si="2723"/>
        <v>0</v>
      </c>
      <c r="CV926" s="536">
        <f t="shared" si="2724"/>
        <v>0</v>
      </c>
      <c r="CW926" s="536">
        <f t="shared" si="2725"/>
        <v>0</v>
      </c>
      <c r="CX926" s="535">
        <f t="shared" si="2726"/>
        <v>0</v>
      </c>
      <c r="CY926" s="535">
        <f t="shared" si="2727"/>
        <v>0</v>
      </c>
      <c r="CZ926" s="535">
        <f t="shared" si="2728"/>
        <v>0</v>
      </c>
      <c r="DA926" s="535">
        <f t="shared" si="2729"/>
        <v>0</v>
      </c>
      <c r="DB926" s="535" t="str">
        <f t="shared" si="2730"/>
        <v/>
      </c>
      <c r="DC926" s="534" t="str">
        <f t="shared" si="2731"/>
        <v/>
      </c>
      <c r="DD926" s="533" t="str">
        <f t="shared" si="2732"/>
        <v/>
      </c>
      <c r="DE926" s="635">
        <f t="shared" si="2733"/>
        <v>10</v>
      </c>
      <c r="DF926" s="95">
        <f t="shared" si="2734"/>
        <v>10</v>
      </c>
      <c r="DG926" s="95">
        <f t="shared" si="2735"/>
        <v>10</v>
      </c>
      <c r="DH926" s="95">
        <f t="shared" si="2736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2763">SUM(B210)</f>
        <v>0</v>
      </c>
      <c r="C927" s="775">
        <f t="shared" si="2763"/>
        <v>0</v>
      </c>
      <c r="D927" s="775">
        <f t="shared" si="2763"/>
        <v>0</v>
      </c>
      <c r="E927" s="775">
        <f t="shared" si="2763"/>
        <v>0</v>
      </c>
      <c r="F927" s="775">
        <f t="shared" si="2763"/>
        <v>0</v>
      </c>
      <c r="G927" s="775">
        <f t="shared" si="2763"/>
        <v>0</v>
      </c>
      <c r="H927" s="775">
        <f t="shared" si="2763"/>
        <v>0</v>
      </c>
      <c r="I927" s="775">
        <f t="shared" si="2763"/>
        <v>0</v>
      </c>
      <c r="J927" s="775">
        <f t="shared" si="2763"/>
        <v>0</v>
      </c>
      <c r="K927" s="775">
        <f t="shared" si="2763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2764">SUM(T210)</f>
        <v>0</v>
      </c>
      <c r="U927" s="775">
        <f t="shared" si="2764"/>
        <v>0</v>
      </c>
      <c r="V927" s="775">
        <f t="shared" si="2764"/>
        <v>0</v>
      </c>
      <c r="W927" s="775">
        <f t="shared" si="2764"/>
        <v>0</v>
      </c>
      <c r="X927" s="775">
        <f t="shared" si="2764"/>
        <v>0</v>
      </c>
      <c r="Y927" s="775">
        <f t="shared" si="2764"/>
        <v>0</v>
      </c>
      <c r="Z927" s="775">
        <f t="shared" si="2764"/>
        <v>0</v>
      </c>
      <c r="AA927" s="775">
        <f t="shared" si="2764"/>
        <v>0</v>
      </c>
      <c r="AB927" s="775">
        <f t="shared" si="2764"/>
        <v>0</v>
      </c>
      <c r="AC927" s="775">
        <f t="shared" si="2764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2765">SUM(AL210)</f>
        <v>0</v>
      </c>
      <c r="AM927" s="775">
        <f t="shared" si="2765"/>
        <v>0</v>
      </c>
      <c r="AN927" s="775">
        <f t="shared" si="2765"/>
        <v>0</v>
      </c>
      <c r="AO927" s="775">
        <f t="shared" si="2765"/>
        <v>0</v>
      </c>
      <c r="AP927" s="775">
        <f t="shared" si="2765"/>
        <v>0</v>
      </c>
      <c r="AQ927" s="775">
        <f t="shared" si="2765"/>
        <v>0</v>
      </c>
      <c r="AR927" s="775">
        <f t="shared" si="2765"/>
        <v>0</v>
      </c>
      <c r="AS927" s="775">
        <f t="shared" si="2765"/>
        <v>0</v>
      </c>
      <c r="AT927" s="775">
        <f t="shared" si="2765"/>
        <v>0</v>
      </c>
      <c r="AU927" s="775">
        <f t="shared" si="2765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2766">SUM(BD210)</f>
        <v>0</v>
      </c>
      <c r="BE927" s="775">
        <f t="shared" si="2766"/>
        <v>0</v>
      </c>
      <c r="BF927" s="775">
        <f t="shared" si="2766"/>
        <v>0</v>
      </c>
      <c r="BG927" s="775">
        <f t="shared" si="2766"/>
        <v>0</v>
      </c>
      <c r="BH927" s="775">
        <f t="shared" si="2766"/>
        <v>0</v>
      </c>
      <c r="BI927" s="775">
        <f t="shared" si="2766"/>
        <v>0</v>
      </c>
      <c r="BJ927" s="775">
        <f t="shared" si="2766"/>
        <v>0</v>
      </c>
      <c r="BK927" s="775">
        <f t="shared" si="2766"/>
        <v>0</v>
      </c>
      <c r="BL927" s="775">
        <f t="shared" si="2766"/>
        <v>0</v>
      </c>
      <c r="BM927" s="775">
        <f t="shared" si="2766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2711"/>
        <v>0</v>
      </c>
      <c r="CA927" s="582">
        <f t="shared" si="2712"/>
        <v>0</v>
      </c>
      <c r="CB927" s="582">
        <f t="shared" si="2713"/>
        <v>0</v>
      </c>
      <c r="CC927" s="582">
        <f t="shared" si="2714"/>
        <v>0</v>
      </c>
      <c r="CD927" s="988">
        <f t="shared" si="2741"/>
        <v>0</v>
      </c>
      <c r="CE927" s="989">
        <f t="shared" si="2742"/>
        <v>0</v>
      </c>
      <c r="CF927" s="989">
        <f t="shared" si="2742"/>
        <v>0</v>
      </c>
      <c r="CG927" s="989">
        <f t="shared" si="2742"/>
        <v>0</v>
      </c>
      <c r="CH927" s="990">
        <f t="shared" si="2742"/>
        <v>0</v>
      </c>
      <c r="CI927" s="990">
        <f t="shared" si="2742"/>
        <v>0</v>
      </c>
      <c r="CJ927" s="989">
        <f t="shared" si="2742"/>
        <v>0</v>
      </c>
      <c r="CK927" s="989">
        <f t="shared" si="2742"/>
        <v>0</v>
      </c>
      <c r="CL927" s="989">
        <f t="shared" si="2742"/>
        <v>0</v>
      </c>
      <c r="CM927" s="988">
        <f t="shared" si="2742"/>
        <v>0</v>
      </c>
      <c r="CN927" s="533" t="str">
        <f t="shared" si="2716"/>
        <v/>
      </c>
      <c r="CO927" s="534" t="str">
        <f t="shared" si="2717"/>
        <v/>
      </c>
      <c r="CP927" s="535" t="str">
        <f t="shared" si="2718"/>
        <v/>
      </c>
      <c r="CQ927" s="535" t="str">
        <f t="shared" si="2719"/>
        <v/>
      </c>
      <c r="CR927" s="535">
        <f t="shared" si="2720"/>
        <v>0</v>
      </c>
      <c r="CS927" s="535">
        <f t="shared" si="2721"/>
        <v>0</v>
      </c>
      <c r="CT927" s="535">
        <f t="shared" si="2722"/>
        <v>0</v>
      </c>
      <c r="CU927" s="536">
        <f t="shared" si="2723"/>
        <v>0</v>
      </c>
      <c r="CV927" s="536">
        <f t="shared" si="2724"/>
        <v>0</v>
      </c>
      <c r="CW927" s="536">
        <f t="shared" si="2725"/>
        <v>0</v>
      </c>
      <c r="CX927" s="535">
        <f t="shared" si="2726"/>
        <v>0</v>
      </c>
      <c r="CY927" s="535">
        <f t="shared" si="2727"/>
        <v>0</v>
      </c>
      <c r="CZ927" s="535">
        <f t="shared" si="2728"/>
        <v>0</v>
      </c>
      <c r="DA927" s="535">
        <f t="shared" si="2729"/>
        <v>0</v>
      </c>
      <c r="DB927" s="535" t="str">
        <f t="shared" si="2730"/>
        <v/>
      </c>
      <c r="DC927" s="534" t="str">
        <f t="shared" si="2731"/>
        <v/>
      </c>
      <c r="DD927" s="533" t="str">
        <f t="shared" si="2732"/>
        <v/>
      </c>
      <c r="DE927" s="635">
        <f t="shared" si="2733"/>
        <v>10</v>
      </c>
      <c r="DF927" s="95">
        <f t="shared" si="2734"/>
        <v>10</v>
      </c>
      <c r="DG927" s="95">
        <f t="shared" si="2735"/>
        <v>10</v>
      </c>
      <c r="DH927" s="95">
        <f t="shared" si="2736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2767">SUM(B213)</f>
        <v>0</v>
      </c>
      <c r="C928" s="775">
        <f t="shared" si="2767"/>
        <v>0</v>
      </c>
      <c r="D928" s="775">
        <f t="shared" si="2767"/>
        <v>0</v>
      </c>
      <c r="E928" s="775">
        <f t="shared" si="2767"/>
        <v>0</v>
      </c>
      <c r="F928" s="775">
        <f t="shared" si="2767"/>
        <v>0</v>
      </c>
      <c r="G928" s="775">
        <f t="shared" si="2767"/>
        <v>0</v>
      </c>
      <c r="H928" s="775">
        <f t="shared" si="2767"/>
        <v>0</v>
      </c>
      <c r="I928" s="775">
        <f t="shared" si="2767"/>
        <v>0</v>
      </c>
      <c r="J928" s="775">
        <f t="shared" si="2767"/>
        <v>0</v>
      </c>
      <c r="K928" s="775">
        <f t="shared" si="2767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2768">SUM(T213)</f>
        <v>0</v>
      </c>
      <c r="U928" s="775">
        <f t="shared" si="2768"/>
        <v>0</v>
      </c>
      <c r="V928" s="775">
        <f t="shared" si="2768"/>
        <v>0</v>
      </c>
      <c r="W928" s="775">
        <f t="shared" si="2768"/>
        <v>0</v>
      </c>
      <c r="X928" s="775">
        <f t="shared" si="2768"/>
        <v>0</v>
      </c>
      <c r="Y928" s="775">
        <f t="shared" si="2768"/>
        <v>0</v>
      </c>
      <c r="Z928" s="775">
        <f t="shared" si="2768"/>
        <v>0</v>
      </c>
      <c r="AA928" s="775">
        <f t="shared" si="2768"/>
        <v>0</v>
      </c>
      <c r="AB928" s="775">
        <f t="shared" si="2768"/>
        <v>0</v>
      </c>
      <c r="AC928" s="775">
        <f t="shared" si="2768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2769">SUM(AL213)</f>
        <v>0</v>
      </c>
      <c r="AM928" s="775">
        <f t="shared" si="2769"/>
        <v>0</v>
      </c>
      <c r="AN928" s="775">
        <f t="shared" si="2769"/>
        <v>0</v>
      </c>
      <c r="AO928" s="775">
        <f t="shared" si="2769"/>
        <v>0</v>
      </c>
      <c r="AP928" s="775">
        <f t="shared" si="2769"/>
        <v>0</v>
      </c>
      <c r="AQ928" s="775">
        <f t="shared" si="2769"/>
        <v>0</v>
      </c>
      <c r="AR928" s="775">
        <f t="shared" si="2769"/>
        <v>0</v>
      </c>
      <c r="AS928" s="775">
        <f t="shared" si="2769"/>
        <v>0</v>
      </c>
      <c r="AT928" s="775">
        <f t="shared" si="2769"/>
        <v>0</v>
      </c>
      <c r="AU928" s="775">
        <f t="shared" si="2769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2770">SUM(BD213)</f>
        <v>0</v>
      </c>
      <c r="BE928" s="775">
        <f t="shared" si="2770"/>
        <v>0</v>
      </c>
      <c r="BF928" s="775">
        <f t="shared" si="2770"/>
        <v>0</v>
      </c>
      <c r="BG928" s="775">
        <f t="shared" si="2770"/>
        <v>0</v>
      </c>
      <c r="BH928" s="775">
        <f t="shared" si="2770"/>
        <v>0</v>
      </c>
      <c r="BI928" s="775">
        <f t="shared" si="2770"/>
        <v>0</v>
      </c>
      <c r="BJ928" s="775">
        <f t="shared" si="2770"/>
        <v>0</v>
      </c>
      <c r="BK928" s="775">
        <f t="shared" si="2770"/>
        <v>0</v>
      </c>
      <c r="BL928" s="775">
        <f t="shared" si="2770"/>
        <v>0</v>
      </c>
      <c r="BM928" s="775">
        <f t="shared" si="2770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2711"/>
        <v>0</v>
      </c>
      <c r="CA928" s="582">
        <f t="shared" si="2712"/>
        <v>0</v>
      </c>
      <c r="CB928" s="582">
        <f t="shared" si="2713"/>
        <v>0</v>
      </c>
      <c r="CC928" s="582">
        <f t="shared" si="2714"/>
        <v>0</v>
      </c>
      <c r="CD928" s="988">
        <f t="shared" si="2741"/>
        <v>0</v>
      </c>
      <c r="CE928" s="989">
        <f t="shared" si="2742"/>
        <v>0</v>
      </c>
      <c r="CF928" s="989">
        <f t="shared" si="2742"/>
        <v>0</v>
      </c>
      <c r="CG928" s="989">
        <f t="shared" si="2742"/>
        <v>0</v>
      </c>
      <c r="CH928" s="990">
        <f t="shared" si="2742"/>
        <v>0</v>
      </c>
      <c r="CI928" s="990">
        <f t="shared" si="2742"/>
        <v>0</v>
      </c>
      <c r="CJ928" s="989">
        <f t="shared" si="2742"/>
        <v>0</v>
      </c>
      <c r="CK928" s="989">
        <f t="shared" si="2742"/>
        <v>0</v>
      </c>
      <c r="CL928" s="989">
        <f t="shared" si="2742"/>
        <v>0</v>
      </c>
      <c r="CM928" s="988">
        <f t="shared" si="2742"/>
        <v>0</v>
      </c>
      <c r="CN928" s="533" t="str">
        <f t="shared" si="2716"/>
        <v/>
      </c>
      <c r="CO928" s="534" t="str">
        <f t="shared" si="2717"/>
        <v/>
      </c>
      <c r="CP928" s="535" t="str">
        <f t="shared" si="2718"/>
        <v/>
      </c>
      <c r="CQ928" s="535" t="str">
        <f t="shared" si="2719"/>
        <v/>
      </c>
      <c r="CR928" s="535">
        <f t="shared" si="2720"/>
        <v>0</v>
      </c>
      <c r="CS928" s="535">
        <f t="shared" si="2721"/>
        <v>0</v>
      </c>
      <c r="CT928" s="535">
        <f t="shared" si="2722"/>
        <v>0</v>
      </c>
      <c r="CU928" s="536">
        <f t="shared" si="2723"/>
        <v>0</v>
      </c>
      <c r="CV928" s="536">
        <f t="shared" si="2724"/>
        <v>0</v>
      </c>
      <c r="CW928" s="536">
        <f t="shared" si="2725"/>
        <v>0</v>
      </c>
      <c r="CX928" s="535">
        <f t="shared" si="2726"/>
        <v>0</v>
      </c>
      <c r="CY928" s="535">
        <f t="shared" si="2727"/>
        <v>0</v>
      </c>
      <c r="CZ928" s="535">
        <f t="shared" si="2728"/>
        <v>0</v>
      </c>
      <c r="DA928" s="535">
        <f t="shared" si="2729"/>
        <v>0</v>
      </c>
      <c r="DB928" s="535" t="str">
        <f t="shared" si="2730"/>
        <v/>
      </c>
      <c r="DC928" s="534" t="str">
        <f t="shared" si="2731"/>
        <v/>
      </c>
      <c r="DD928" s="533" t="str">
        <f t="shared" si="2732"/>
        <v/>
      </c>
      <c r="DE928" s="635">
        <f t="shared" si="2733"/>
        <v>10</v>
      </c>
      <c r="DF928" s="95">
        <f t="shared" si="2734"/>
        <v>10</v>
      </c>
      <c r="DG928" s="95">
        <f t="shared" si="2735"/>
        <v>10</v>
      </c>
      <c r="DH928" s="95">
        <f t="shared" si="2736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2771">SUM(B217)</f>
        <v>0</v>
      </c>
      <c r="C929" s="775">
        <f t="shared" si="2771"/>
        <v>0</v>
      </c>
      <c r="D929" s="775">
        <f t="shared" si="2771"/>
        <v>0</v>
      </c>
      <c r="E929" s="775">
        <f t="shared" si="2771"/>
        <v>0</v>
      </c>
      <c r="F929" s="775">
        <f t="shared" si="2771"/>
        <v>0</v>
      </c>
      <c r="G929" s="775">
        <f t="shared" si="2771"/>
        <v>0</v>
      </c>
      <c r="H929" s="775">
        <f t="shared" si="2771"/>
        <v>0</v>
      </c>
      <c r="I929" s="775">
        <f t="shared" si="2771"/>
        <v>0</v>
      </c>
      <c r="J929" s="775">
        <f t="shared" si="2771"/>
        <v>0</v>
      </c>
      <c r="K929" s="775">
        <f t="shared" si="2771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2772">SUM(T217)</f>
        <v>0</v>
      </c>
      <c r="U929" s="775">
        <f t="shared" si="2772"/>
        <v>0</v>
      </c>
      <c r="V929" s="775">
        <f t="shared" si="2772"/>
        <v>0</v>
      </c>
      <c r="W929" s="775">
        <f t="shared" si="2772"/>
        <v>0</v>
      </c>
      <c r="X929" s="775">
        <f t="shared" si="2772"/>
        <v>0</v>
      </c>
      <c r="Y929" s="775">
        <f t="shared" si="2772"/>
        <v>0</v>
      </c>
      <c r="Z929" s="775">
        <f t="shared" si="2772"/>
        <v>0</v>
      </c>
      <c r="AA929" s="775">
        <f t="shared" si="2772"/>
        <v>0</v>
      </c>
      <c r="AB929" s="775">
        <f t="shared" si="2772"/>
        <v>0</v>
      </c>
      <c r="AC929" s="775">
        <f t="shared" si="2772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2773">SUM(AL217)</f>
        <v>0</v>
      </c>
      <c r="AM929" s="775">
        <f t="shared" si="2773"/>
        <v>0</v>
      </c>
      <c r="AN929" s="775">
        <f t="shared" si="2773"/>
        <v>0</v>
      </c>
      <c r="AO929" s="775">
        <f t="shared" si="2773"/>
        <v>0</v>
      </c>
      <c r="AP929" s="775">
        <f t="shared" si="2773"/>
        <v>0</v>
      </c>
      <c r="AQ929" s="775">
        <f t="shared" si="2773"/>
        <v>0</v>
      </c>
      <c r="AR929" s="775">
        <f t="shared" si="2773"/>
        <v>0</v>
      </c>
      <c r="AS929" s="775">
        <f t="shared" si="2773"/>
        <v>0</v>
      </c>
      <c r="AT929" s="775">
        <f t="shared" si="2773"/>
        <v>0</v>
      </c>
      <c r="AU929" s="775">
        <f t="shared" si="2773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2774">SUM(BD217)</f>
        <v>0</v>
      </c>
      <c r="BE929" s="775">
        <f t="shared" si="2774"/>
        <v>0</v>
      </c>
      <c r="BF929" s="775">
        <f t="shared" si="2774"/>
        <v>0</v>
      </c>
      <c r="BG929" s="775">
        <f t="shared" si="2774"/>
        <v>0</v>
      </c>
      <c r="BH929" s="775">
        <f t="shared" si="2774"/>
        <v>0</v>
      </c>
      <c r="BI929" s="775">
        <f t="shared" si="2774"/>
        <v>0</v>
      </c>
      <c r="BJ929" s="775">
        <f t="shared" si="2774"/>
        <v>0</v>
      </c>
      <c r="BK929" s="775">
        <f t="shared" si="2774"/>
        <v>0</v>
      </c>
      <c r="BL929" s="775">
        <f t="shared" si="2774"/>
        <v>0</v>
      </c>
      <c r="BM929" s="775">
        <f t="shared" si="2774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2711"/>
        <v>0</v>
      </c>
      <c r="CA929" s="582">
        <f t="shared" si="2712"/>
        <v>0</v>
      </c>
      <c r="CB929" s="582">
        <f t="shared" si="2713"/>
        <v>0</v>
      </c>
      <c r="CC929" s="582">
        <f t="shared" si="2714"/>
        <v>0</v>
      </c>
      <c r="CD929" s="988">
        <f t="shared" si="2741"/>
        <v>0</v>
      </c>
      <c r="CE929" s="989">
        <f t="shared" si="2742"/>
        <v>0</v>
      </c>
      <c r="CF929" s="989">
        <f t="shared" si="2742"/>
        <v>0</v>
      </c>
      <c r="CG929" s="989">
        <f t="shared" si="2742"/>
        <v>0</v>
      </c>
      <c r="CH929" s="990">
        <f t="shared" si="2742"/>
        <v>0</v>
      </c>
      <c r="CI929" s="990">
        <f t="shared" si="2742"/>
        <v>0</v>
      </c>
      <c r="CJ929" s="989">
        <f t="shared" si="2742"/>
        <v>0</v>
      </c>
      <c r="CK929" s="989">
        <f t="shared" si="2742"/>
        <v>0</v>
      </c>
      <c r="CL929" s="989">
        <f t="shared" si="2742"/>
        <v>0</v>
      </c>
      <c r="CM929" s="988">
        <f t="shared" si="2742"/>
        <v>0</v>
      </c>
      <c r="CN929" s="533" t="str">
        <f t="shared" si="2716"/>
        <v/>
      </c>
      <c r="CO929" s="534" t="str">
        <f t="shared" si="2717"/>
        <v/>
      </c>
      <c r="CP929" s="535" t="str">
        <f t="shared" si="2718"/>
        <v/>
      </c>
      <c r="CQ929" s="535" t="str">
        <f t="shared" si="2719"/>
        <v/>
      </c>
      <c r="CR929" s="535">
        <f t="shared" si="2720"/>
        <v>0</v>
      </c>
      <c r="CS929" s="535">
        <f t="shared" si="2721"/>
        <v>0</v>
      </c>
      <c r="CT929" s="535">
        <f t="shared" si="2722"/>
        <v>0</v>
      </c>
      <c r="CU929" s="536">
        <f t="shared" si="2723"/>
        <v>0</v>
      </c>
      <c r="CV929" s="536">
        <f t="shared" si="2724"/>
        <v>0</v>
      </c>
      <c r="CW929" s="536">
        <f t="shared" si="2725"/>
        <v>0</v>
      </c>
      <c r="CX929" s="535">
        <f t="shared" si="2726"/>
        <v>0</v>
      </c>
      <c r="CY929" s="535">
        <f t="shared" si="2727"/>
        <v>0</v>
      </c>
      <c r="CZ929" s="535">
        <f t="shared" si="2728"/>
        <v>0</v>
      </c>
      <c r="DA929" s="535">
        <f t="shared" si="2729"/>
        <v>0</v>
      </c>
      <c r="DB929" s="535" t="str">
        <f t="shared" si="2730"/>
        <v/>
      </c>
      <c r="DC929" s="534" t="str">
        <f t="shared" si="2731"/>
        <v/>
      </c>
      <c r="DD929" s="533" t="str">
        <f t="shared" si="2732"/>
        <v/>
      </c>
      <c r="DE929" s="635">
        <f t="shared" si="2733"/>
        <v>10</v>
      </c>
      <c r="DF929" s="95">
        <f t="shared" si="2734"/>
        <v>10</v>
      </c>
      <c r="DG929" s="95">
        <f t="shared" si="2735"/>
        <v>10</v>
      </c>
      <c r="DH929" s="95">
        <f t="shared" si="2736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2775">SUM(B236)</f>
        <v>0</v>
      </c>
      <c r="C931" s="775">
        <f t="shared" si="2775"/>
        <v>0</v>
      </c>
      <c r="D931" s="775">
        <f t="shared" si="2775"/>
        <v>0</v>
      </c>
      <c r="E931" s="775">
        <f t="shared" si="2775"/>
        <v>0</v>
      </c>
      <c r="F931" s="775">
        <f t="shared" si="2775"/>
        <v>0</v>
      </c>
      <c r="G931" s="775">
        <f t="shared" si="2775"/>
        <v>0</v>
      </c>
      <c r="H931" s="775">
        <f t="shared" si="2775"/>
        <v>0</v>
      </c>
      <c r="I931" s="775">
        <f t="shared" si="2775"/>
        <v>0</v>
      </c>
      <c r="J931" s="775">
        <f t="shared" si="2775"/>
        <v>0</v>
      </c>
      <c r="K931" s="775">
        <f t="shared" si="2775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2776">SUM(T236)</f>
        <v>0</v>
      </c>
      <c r="U931" s="775">
        <f t="shared" si="2776"/>
        <v>0</v>
      </c>
      <c r="V931" s="775">
        <f t="shared" si="2776"/>
        <v>0</v>
      </c>
      <c r="W931" s="775">
        <f t="shared" si="2776"/>
        <v>0</v>
      </c>
      <c r="X931" s="775">
        <f t="shared" si="2776"/>
        <v>0</v>
      </c>
      <c r="Y931" s="775">
        <f t="shared" si="2776"/>
        <v>0</v>
      </c>
      <c r="Z931" s="775">
        <f t="shared" si="2776"/>
        <v>0</v>
      </c>
      <c r="AA931" s="775">
        <f t="shared" si="2776"/>
        <v>0</v>
      </c>
      <c r="AB931" s="775">
        <f t="shared" si="2776"/>
        <v>0</v>
      </c>
      <c r="AC931" s="775">
        <f t="shared" si="2776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2777">SUM(AL236)</f>
        <v>0</v>
      </c>
      <c r="AM931" s="775">
        <f t="shared" si="2777"/>
        <v>0</v>
      </c>
      <c r="AN931" s="775">
        <f t="shared" si="2777"/>
        <v>0</v>
      </c>
      <c r="AO931" s="775">
        <f t="shared" si="2777"/>
        <v>0</v>
      </c>
      <c r="AP931" s="775">
        <f t="shared" si="2777"/>
        <v>0</v>
      </c>
      <c r="AQ931" s="775">
        <f t="shared" si="2777"/>
        <v>0</v>
      </c>
      <c r="AR931" s="775">
        <f t="shared" si="2777"/>
        <v>0</v>
      </c>
      <c r="AS931" s="775">
        <f t="shared" si="2777"/>
        <v>0</v>
      </c>
      <c r="AT931" s="775">
        <f t="shared" si="2777"/>
        <v>0</v>
      </c>
      <c r="AU931" s="775">
        <f t="shared" si="2777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2778">SUM(BD236)</f>
        <v>0</v>
      </c>
      <c r="BE931" s="775">
        <f t="shared" si="2778"/>
        <v>0</v>
      </c>
      <c r="BF931" s="775">
        <f t="shared" si="2778"/>
        <v>0</v>
      </c>
      <c r="BG931" s="775">
        <f t="shared" si="2778"/>
        <v>0</v>
      </c>
      <c r="BH931" s="775">
        <f t="shared" si="2778"/>
        <v>0</v>
      </c>
      <c r="BI931" s="775">
        <f t="shared" si="2778"/>
        <v>0</v>
      </c>
      <c r="BJ931" s="775">
        <f t="shared" si="2778"/>
        <v>0</v>
      </c>
      <c r="BK931" s="775">
        <f t="shared" si="2778"/>
        <v>0</v>
      </c>
      <c r="BL931" s="775">
        <f t="shared" si="2778"/>
        <v>0</v>
      </c>
      <c r="BM931" s="775">
        <f t="shared" si="2778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2779">IF(DE931&lt;3,"",(SUM(B931:R931)-MIN(B931:R931)-MAX(B931:R931))/(DE931-2))</f>
        <v>0</v>
      </c>
      <c r="CA931" s="582">
        <f t="shared" ref="CA931:CA960" si="2780">IF(DF931&lt;3,"",(SUM(T931:AJ931)-MIN(T931:AJ931)-MAX(T931:AJ931))/(DF931-2))</f>
        <v>0</v>
      </c>
      <c r="CB931" s="582">
        <f t="shared" ref="CB931:CB960" si="2781">IF(DG931&lt;3,"",(SUM(AL931:BB931)-MIN(AL931:BB931)-MAX(AL931:BB931))/(DG931-2))</f>
        <v>0</v>
      </c>
      <c r="CC931" s="582">
        <f t="shared" ref="CC931:CC960" si="2782">IF(DH931&lt;3,"",(SUM(BD931:BT931)-MIN(BD931:BT931)-MAX(BD931:BT931))/(DH931-2))</f>
        <v>0</v>
      </c>
      <c r="CD931" s="988">
        <f t="shared" ref="CD931:CM931" si="278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2783"/>
        <v>0</v>
      </c>
      <c r="CF931" s="989">
        <f t="shared" si="2783"/>
        <v>0</v>
      </c>
      <c r="CG931" s="989">
        <f t="shared" si="2783"/>
        <v>0</v>
      </c>
      <c r="CH931" s="990">
        <f t="shared" si="2783"/>
        <v>0</v>
      </c>
      <c r="CI931" s="990">
        <f t="shared" si="2783"/>
        <v>0</v>
      </c>
      <c r="CJ931" s="989">
        <f t="shared" si="2783"/>
        <v>0</v>
      </c>
      <c r="CK931" s="989">
        <f t="shared" si="2783"/>
        <v>0</v>
      </c>
      <c r="CL931" s="989">
        <f t="shared" si="2783"/>
        <v>0</v>
      </c>
      <c r="CM931" s="988">
        <f t="shared" si="2783"/>
        <v>0</v>
      </c>
      <c r="CN931" s="533" t="str">
        <f t="shared" ref="CN931:CN960" si="278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278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278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278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278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278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279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279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279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279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79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79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279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279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279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279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280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2801">COUNT(B931:R931)</f>
        <v>10</v>
      </c>
      <c r="DF931" s="95">
        <f t="shared" ref="DF931:DF960" si="2802">COUNT(T931:AJ931)</f>
        <v>10</v>
      </c>
      <c r="DG931" s="95">
        <f t="shared" ref="DG931:DG960" si="2803">COUNT(AL931:BB931)</f>
        <v>10</v>
      </c>
      <c r="DH931" s="95">
        <f t="shared" ref="DH931:DH960" si="2804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2805">SUM(B241)</f>
        <v>0</v>
      </c>
      <c r="C932" s="775">
        <f t="shared" si="2805"/>
        <v>0</v>
      </c>
      <c r="D932" s="775">
        <f t="shared" si="2805"/>
        <v>0</v>
      </c>
      <c r="E932" s="775">
        <f t="shared" si="2805"/>
        <v>0</v>
      </c>
      <c r="F932" s="775">
        <f t="shared" si="2805"/>
        <v>0</v>
      </c>
      <c r="G932" s="775">
        <f t="shared" si="2805"/>
        <v>0</v>
      </c>
      <c r="H932" s="775">
        <f t="shared" si="2805"/>
        <v>0</v>
      </c>
      <c r="I932" s="775">
        <f t="shared" si="2805"/>
        <v>0</v>
      </c>
      <c r="J932" s="775">
        <f t="shared" si="2805"/>
        <v>0</v>
      </c>
      <c r="K932" s="775">
        <f t="shared" si="2805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2806">SUM(T241)</f>
        <v>0</v>
      </c>
      <c r="U932" s="775">
        <f t="shared" si="2806"/>
        <v>0</v>
      </c>
      <c r="V932" s="775">
        <f t="shared" si="2806"/>
        <v>0</v>
      </c>
      <c r="W932" s="775">
        <f t="shared" si="2806"/>
        <v>0</v>
      </c>
      <c r="X932" s="775">
        <f t="shared" si="2806"/>
        <v>0</v>
      </c>
      <c r="Y932" s="775">
        <f t="shared" si="2806"/>
        <v>0</v>
      </c>
      <c r="Z932" s="775">
        <f t="shared" si="2806"/>
        <v>0</v>
      </c>
      <c r="AA932" s="775">
        <f t="shared" si="2806"/>
        <v>0</v>
      </c>
      <c r="AB932" s="775">
        <f t="shared" si="2806"/>
        <v>0</v>
      </c>
      <c r="AC932" s="775">
        <f t="shared" si="2806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2807">SUM(AL241)</f>
        <v>0</v>
      </c>
      <c r="AM932" s="775">
        <f t="shared" si="2807"/>
        <v>0</v>
      </c>
      <c r="AN932" s="775">
        <f t="shared" si="2807"/>
        <v>0</v>
      </c>
      <c r="AO932" s="775">
        <f t="shared" si="2807"/>
        <v>0</v>
      </c>
      <c r="AP932" s="775">
        <f t="shared" si="2807"/>
        <v>0</v>
      </c>
      <c r="AQ932" s="775">
        <f t="shared" si="2807"/>
        <v>0</v>
      </c>
      <c r="AR932" s="775">
        <f t="shared" si="2807"/>
        <v>0</v>
      </c>
      <c r="AS932" s="775">
        <f t="shared" si="2807"/>
        <v>0</v>
      </c>
      <c r="AT932" s="775">
        <f t="shared" si="2807"/>
        <v>0</v>
      </c>
      <c r="AU932" s="775">
        <f t="shared" si="2807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2808">SUM(BD241)</f>
        <v>0</v>
      </c>
      <c r="BE932" s="775">
        <f t="shared" si="2808"/>
        <v>0</v>
      </c>
      <c r="BF932" s="775">
        <f t="shared" si="2808"/>
        <v>0</v>
      </c>
      <c r="BG932" s="775">
        <f t="shared" si="2808"/>
        <v>0</v>
      </c>
      <c r="BH932" s="775">
        <f t="shared" si="2808"/>
        <v>0</v>
      </c>
      <c r="BI932" s="775">
        <f t="shared" si="2808"/>
        <v>0</v>
      </c>
      <c r="BJ932" s="775">
        <f t="shared" si="2808"/>
        <v>0</v>
      </c>
      <c r="BK932" s="775">
        <f t="shared" si="2808"/>
        <v>0</v>
      </c>
      <c r="BL932" s="775">
        <f t="shared" si="2808"/>
        <v>0</v>
      </c>
      <c r="BM932" s="775">
        <f t="shared" si="2808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2779"/>
        <v>0</v>
      </c>
      <c r="CA932" s="582">
        <f t="shared" si="2780"/>
        <v>0</v>
      </c>
      <c r="CB932" s="582">
        <f t="shared" si="2781"/>
        <v>0</v>
      </c>
      <c r="CC932" s="582">
        <f t="shared" si="2782"/>
        <v>0</v>
      </c>
      <c r="CD932" s="988">
        <f t="shared" ref="CD932:CD960" si="280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281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2810"/>
        <v>0</v>
      </c>
      <c r="CG932" s="989">
        <f t="shared" si="2810"/>
        <v>0</v>
      </c>
      <c r="CH932" s="990">
        <f t="shared" si="2810"/>
        <v>0</v>
      </c>
      <c r="CI932" s="990">
        <f t="shared" si="2810"/>
        <v>0</v>
      </c>
      <c r="CJ932" s="989">
        <f t="shared" si="2810"/>
        <v>0</v>
      </c>
      <c r="CK932" s="989">
        <f t="shared" si="2810"/>
        <v>0</v>
      </c>
      <c r="CL932" s="989">
        <f t="shared" si="2810"/>
        <v>0</v>
      </c>
      <c r="CM932" s="988">
        <f t="shared" si="2810"/>
        <v>0</v>
      </c>
      <c r="CN932" s="533" t="str">
        <f t="shared" si="2784"/>
        <v/>
      </c>
      <c r="CO932" s="534" t="str">
        <f t="shared" si="2785"/>
        <v/>
      </c>
      <c r="CP932" s="535" t="str">
        <f t="shared" si="2786"/>
        <v/>
      </c>
      <c r="CQ932" s="535" t="str">
        <f t="shared" si="2787"/>
        <v/>
      </c>
      <c r="CR932" s="535">
        <f t="shared" si="2788"/>
        <v>0</v>
      </c>
      <c r="CS932" s="535">
        <f t="shared" si="2789"/>
        <v>0</v>
      </c>
      <c r="CT932" s="535">
        <f t="shared" si="2790"/>
        <v>0</v>
      </c>
      <c r="CU932" s="536">
        <f t="shared" si="2791"/>
        <v>0</v>
      </c>
      <c r="CV932" s="536">
        <f t="shared" si="2792"/>
        <v>0</v>
      </c>
      <c r="CW932" s="536">
        <f t="shared" si="2793"/>
        <v>0</v>
      </c>
      <c r="CX932" s="535">
        <f t="shared" si="2794"/>
        <v>0</v>
      </c>
      <c r="CY932" s="535">
        <f t="shared" si="2795"/>
        <v>0</v>
      </c>
      <c r="CZ932" s="535">
        <f t="shared" si="2796"/>
        <v>0</v>
      </c>
      <c r="DA932" s="535">
        <f t="shared" si="2797"/>
        <v>0</v>
      </c>
      <c r="DB932" s="535" t="str">
        <f t="shared" si="2798"/>
        <v/>
      </c>
      <c r="DC932" s="534" t="str">
        <f t="shared" si="2799"/>
        <v/>
      </c>
      <c r="DD932" s="533" t="str">
        <f t="shared" si="2800"/>
        <v/>
      </c>
      <c r="DE932" s="635">
        <f t="shared" si="2801"/>
        <v>10</v>
      </c>
      <c r="DF932" s="95">
        <f t="shared" si="2802"/>
        <v>10</v>
      </c>
      <c r="DG932" s="95">
        <f t="shared" si="2803"/>
        <v>10</v>
      </c>
      <c r="DH932" s="95">
        <f t="shared" si="2804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2811">SUM(B248)</f>
        <v>0</v>
      </c>
      <c r="C933" s="775">
        <f t="shared" si="2811"/>
        <v>0</v>
      </c>
      <c r="D933" s="775">
        <f t="shared" si="2811"/>
        <v>0</v>
      </c>
      <c r="E933" s="775">
        <f t="shared" si="2811"/>
        <v>0</v>
      </c>
      <c r="F933" s="775">
        <f t="shared" si="2811"/>
        <v>0</v>
      </c>
      <c r="G933" s="775">
        <f t="shared" si="2811"/>
        <v>0</v>
      </c>
      <c r="H933" s="775">
        <f t="shared" si="2811"/>
        <v>0</v>
      </c>
      <c r="I933" s="775">
        <f t="shared" si="2811"/>
        <v>0</v>
      </c>
      <c r="J933" s="775">
        <f t="shared" si="2811"/>
        <v>0</v>
      </c>
      <c r="K933" s="775">
        <f t="shared" si="2811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2812">SUM(T248)</f>
        <v>0</v>
      </c>
      <c r="U933" s="775">
        <f t="shared" si="2812"/>
        <v>0</v>
      </c>
      <c r="V933" s="775">
        <f t="shared" si="2812"/>
        <v>0</v>
      </c>
      <c r="W933" s="775">
        <f t="shared" si="2812"/>
        <v>0</v>
      </c>
      <c r="X933" s="775">
        <f t="shared" si="2812"/>
        <v>0</v>
      </c>
      <c r="Y933" s="775">
        <f t="shared" si="2812"/>
        <v>0</v>
      </c>
      <c r="Z933" s="775">
        <f t="shared" si="2812"/>
        <v>0</v>
      </c>
      <c r="AA933" s="775">
        <f t="shared" si="2812"/>
        <v>0</v>
      </c>
      <c r="AB933" s="775">
        <f t="shared" si="2812"/>
        <v>0</v>
      </c>
      <c r="AC933" s="775">
        <f t="shared" si="2812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2813">SUM(AL248)</f>
        <v>0</v>
      </c>
      <c r="AM933" s="775">
        <f t="shared" si="2813"/>
        <v>0</v>
      </c>
      <c r="AN933" s="775">
        <f t="shared" si="2813"/>
        <v>0</v>
      </c>
      <c r="AO933" s="775">
        <f t="shared" si="2813"/>
        <v>0</v>
      </c>
      <c r="AP933" s="775">
        <f t="shared" si="2813"/>
        <v>0</v>
      </c>
      <c r="AQ933" s="775">
        <f t="shared" si="2813"/>
        <v>0</v>
      </c>
      <c r="AR933" s="775">
        <f t="shared" si="2813"/>
        <v>0</v>
      </c>
      <c r="AS933" s="775">
        <f t="shared" si="2813"/>
        <v>0</v>
      </c>
      <c r="AT933" s="775">
        <f t="shared" si="2813"/>
        <v>0</v>
      </c>
      <c r="AU933" s="775">
        <f t="shared" si="2813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2814">SUM(BD248)</f>
        <v>0</v>
      </c>
      <c r="BE933" s="775">
        <f t="shared" si="2814"/>
        <v>0</v>
      </c>
      <c r="BF933" s="775">
        <f t="shared" si="2814"/>
        <v>0</v>
      </c>
      <c r="BG933" s="775">
        <f t="shared" si="2814"/>
        <v>0</v>
      </c>
      <c r="BH933" s="775">
        <f t="shared" si="2814"/>
        <v>0</v>
      </c>
      <c r="BI933" s="775">
        <f t="shared" si="2814"/>
        <v>0</v>
      </c>
      <c r="BJ933" s="775">
        <f t="shared" si="2814"/>
        <v>0</v>
      </c>
      <c r="BK933" s="775">
        <f t="shared" si="2814"/>
        <v>0</v>
      </c>
      <c r="BL933" s="775">
        <f t="shared" si="2814"/>
        <v>0</v>
      </c>
      <c r="BM933" s="775">
        <f t="shared" si="2814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2779"/>
        <v>0</v>
      </c>
      <c r="CA933" s="582">
        <f t="shared" si="2780"/>
        <v>0</v>
      </c>
      <c r="CB933" s="582">
        <f t="shared" si="2781"/>
        <v>0</v>
      </c>
      <c r="CC933" s="582">
        <f t="shared" si="2782"/>
        <v>0</v>
      </c>
      <c r="CD933" s="988">
        <f t="shared" si="2809"/>
        <v>0</v>
      </c>
      <c r="CE933" s="989">
        <f t="shared" si="2810"/>
        <v>0</v>
      </c>
      <c r="CF933" s="989">
        <f t="shared" si="2810"/>
        <v>0</v>
      </c>
      <c r="CG933" s="989">
        <f t="shared" si="2810"/>
        <v>0</v>
      </c>
      <c r="CH933" s="990">
        <f t="shared" si="2810"/>
        <v>0</v>
      </c>
      <c r="CI933" s="990">
        <f t="shared" si="2810"/>
        <v>0</v>
      </c>
      <c r="CJ933" s="989">
        <f t="shared" si="2810"/>
        <v>0</v>
      </c>
      <c r="CK933" s="989">
        <f t="shared" si="2810"/>
        <v>0</v>
      </c>
      <c r="CL933" s="989">
        <f t="shared" si="2810"/>
        <v>0</v>
      </c>
      <c r="CM933" s="988">
        <f t="shared" si="2810"/>
        <v>0</v>
      </c>
      <c r="CN933" s="533" t="str">
        <f t="shared" si="2784"/>
        <v/>
      </c>
      <c r="CO933" s="534" t="str">
        <f t="shared" si="2785"/>
        <v/>
      </c>
      <c r="CP933" s="535" t="str">
        <f t="shared" si="2786"/>
        <v/>
      </c>
      <c r="CQ933" s="535" t="str">
        <f t="shared" si="2787"/>
        <v/>
      </c>
      <c r="CR933" s="535">
        <f t="shared" si="2788"/>
        <v>0</v>
      </c>
      <c r="CS933" s="535">
        <f t="shared" si="2789"/>
        <v>0</v>
      </c>
      <c r="CT933" s="535">
        <f t="shared" si="2790"/>
        <v>0</v>
      </c>
      <c r="CU933" s="536">
        <f t="shared" si="2791"/>
        <v>0</v>
      </c>
      <c r="CV933" s="536">
        <f t="shared" si="2792"/>
        <v>0</v>
      </c>
      <c r="CW933" s="536">
        <f t="shared" si="2793"/>
        <v>0</v>
      </c>
      <c r="CX933" s="535">
        <f t="shared" si="2794"/>
        <v>0</v>
      </c>
      <c r="CY933" s="535">
        <f t="shared" si="2795"/>
        <v>0</v>
      </c>
      <c r="CZ933" s="535">
        <f t="shared" si="2796"/>
        <v>0</v>
      </c>
      <c r="DA933" s="535">
        <f t="shared" si="2797"/>
        <v>0</v>
      </c>
      <c r="DB933" s="535" t="str">
        <f t="shared" si="2798"/>
        <v/>
      </c>
      <c r="DC933" s="534" t="str">
        <f t="shared" si="2799"/>
        <v/>
      </c>
      <c r="DD933" s="533" t="str">
        <f t="shared" si="2800"/>
        <v/>
      </c>
      <c r="DE933" s="635">
        <f t="shared" si="2801"/>
        <v>10</v>
      </c>
      <c r="DF933" s="95">
        <f t="shared" si="2802"/>
        <v>10</v>
      </c>
      <c r="DG933" s="95">
        <f t="shared" si="2803"/>
        <v>10</v>
      </c>
      <c r="DH933" s="95">
        <f t="shared" si="2804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2815">SUM(B255)</f>
        <v>0</v>
      </c>
      <c r="C934" s="775">
        <f t="shared" si="2815"/>
        <v>0</v>
      </c>
      <c r="D934" s="775">
        <f t="shared" si="2815"/>
        <v>0</v>
      </c>
      <c r="E934" s="775">
        <f t="shared" si="2815"/>
        <v>0</v>
      </c>
      <c r="F934" s="775">
        <f t="shared" si="2815"/>
        <v>0</v>
      </c>
      <c r="G934" s="775">
        <f t="shared" si="2815"/>
        <v>0</v>
      </c>
      <c r="H934" s="775">
        <f t="shared" si="2815"/>
        <v>0</v>
      </c>
      <c r="I934" s="775">
        <f t="shared" si="2815"/>
        <v>0</v>
      </c>
      <c r="J934" s="775">
        <f t="shared" si="2815"/>
        <v>0</v>
      </c>
      <c r="K934" s="775">
        <f t="shared" si="2815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2816">SUM(T255)</f>
        <v>0</v>
      </c>
      <c r="U934" s="775">
        <f t="shared" si="2816"/>
        <v>0</v>
      </c>
      <c r="V934" s="775">
        <f t="shared" si="2816"/>
        <v>0</v>
      </c>
      <c r="W934" s="775">
        <f t="shared" si="2816"/>
        <v>0</v>
      </c>
      <c r="X934" s="775">
        <f t="shared" si="2816"/>
        <v>0</v>
      </c>
      <c r="Y934" s="775">
        <f t="shared" si="2816"/>
        <v>0</v>
      </c>
      <c r="Z934" s="775">
        <f t="shared" si="2816"/>
        <v>0</v>
      </c>
      <c r="AA934" s="775">
        <f t="shared" si="2816"/>
        <v>0</v>
      </c>
      <c r="AB934" s="775">
        <f t="shared" si="2816"/>
        <v>0</v>
      </c>
      <c r="AC934" s="775">
        <f t="shared" si="2816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2817">SUM(AL255)</f>
        <v>0</v>
      </c>
      <c r="AM934" s="775">
        <f t="shared" si="2817"/>
        <v>0</v>
      </c>
      <c r="AN934" s="775">
        <f t="shared" si="2817"/>
        <v>0</v>
      </c>
      <c r="AO934" s="775">
        <f t="shared" si="2817"/>
        <v>0</v>
      </c>
      <c r="AP934" s="775">
        <f t="shared" si="2817"/>
        <v>0</v>
      </c>
      <c r="AQ934" s="775">
        <f t="shared" si="2817"/>
        <v>0</v>
      </c>
      <c r="AR934" s="775">
        <f t="shared" si="2817"/>
        <v>0</v>
      </c>
      <c r="AS934" s="775">
        <f t="shared" si="2817"/>
        <v>0</v>
      </c>
      <c r="AT934" s="775">
        <f t="shared" si="2817"/>
        <v>0</v>
      </c>
      <c r="AU934" s="775">
        <f t="shared" si="2817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2818">SUM(BD255)</f>
        <v>0</v>
      </c>
      <c r="BE934" s="775">
        <f t="shared" si="2818"/>
        <v>0</v>
      </c>
      <c r="BF934" s="775">
        <f t="shared" si="2818"/>
        <v>0</v>
      </c>
      <c r="BG934" s="775">
        <f t="shared" si="2818"/>
        <v>0</v>
      </c>
      <c r="BH934" s="775">
        <f t="shared" si="2818"/>
        <v>0</v>
      </c>
      <c r="BI934" s="775">
        <f t="shared" si="2818"/>
        <v>0</v>
      </c>
      <c r="BJ934" s="775">
        <f t="shared" si="2818"/>
        <v>0</v>
      </c>
      <c r="BK934" s="775">
        <f t="shared" si="2818"/>
        <v>0</v>
      </c>
      <c r="BL934" s="775">
        <f t="shared" si="2818"/>
        <v>0</v>
      </c>
      <c r="BM934" s="775">
        <f t="shared" si="2818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2779"/>
        <v>0</v>
      </c>
      <c r="CA934" s="582">
        <f t="shared" si="2780"/>
        <v>0</v>
      </c>
      <c r="CB934" s="582">
        <f t="shared" si="2781"/>
        <v>0</v>
      </c>
      <c r="CC934" s="582">
        <f t="shared" si="2782"/>
        <v>0</v>
      </c>
      <c r="CD934" s="988">
        <f t="shared" si="2809"/>
        <v>0</v>
      </c>
      <c r="CE934" s="989">
        <f t="shared" si="2810"/>
        <v>0</v>
      </c>
      <c r="CF934" s="989">
        <f t="shared" si="2810"/>
        <v>0</v>
      </c>
      <c r="CG934" s="989">
        <f t="shared" si="2810"/>
        <v>0</v>
      </c>
      <c r="CH934" s="990">
        <f t="shared" si="2810"/>
        <v>0</v>
      </c>
      <c r="CI934" s="990">
        <f t="shared" si="2810"/>
        <v>0</v>
      </c>
      <c r="CJ934" s="989">
        <f t="shared" si="2810"/>
        <v>0</v>
      </c>
      <c r="CK934" s="989">
        <f t="shared" si="2810"/>
        <v>0</v>
      </c>
      <c r="CL934" s="989">
        <f t="shared" si="2810"/>
        <v>0</v>
      </c>
      <c r="CM934" s="988">
        <f t="shared" si="2810"/>
        <v>0</v>
      </c>
      <c r="CN934" s="533" t="str">
        <f t="shared" si="2784"/>
        <v/>
      </c>
      <c r="CO934" s="534" t="str">
        <f t="shared" si="2785"/>
        <v/>
      </c>
      <c r="CP934" s="535" t="str">
        <f t="shared" si="2786"/>
        <v/>
      </c>
      <c r="CQ934" s="535" t="str">
        <f t="shared" si="2787"/>
        <v/>
      </c>
      <c r="CR934" s="535">
        <f t="shared" si="2788"/>
        <v>0</v>
      </c>
      <c r="CS934" s="535">
        <f t="shared" si="2789"/>
        <v>0</v>
      </c>
      <c r="CT934" s="535">
        <f t="shared" si="2790"/>
        <v>0</v>
      </c>
      <c r="CU934" s="536">
        <f t="shared" si="2791"/>
        <v>0</v>
      </c>
      <c r="CV934" s="536">
        <f t="shared" si="2792"/>
        <v>0</v>
      </c>
      <c r="CW934" s="536">
        <f t="shared" si="2793"/>
        <v>0</v>
      </c>
      <c r="CX934" s="535">
        <f t="shared" si="2794"/>
        <v>0</v>
      </c>
      <c r="CY934" s="535">
        <f t="shared" si="2795"/>
        <v>0</v>
      </c>
      <c r="CZ934" s="535">
        <f t="shared" si="2796"/>
        <v>0</v>
      </c>
      <c r="DA934" s="535">
        <f t="shared" si="2797"/>
        <v>0</v>
      </c>
      <c r="DB934" s="535" t="str">
        <f t="shared" si="2798"/>
        <v/>
      </c>
      <c r="DC934" s="534" t="str">
        <f t="shared" si="2799"/>
        <v/>
      </c>
      <c r="DD934" s="533" t="str">
        <f t="shared" si="2800"/>
        <v/>
      </c>
      <c r="DE934" s="635">
        <f t="shared" si="2801"/>
        <v>10</v>
      </c>
      <c r="DF934" s="95">
        <f t="shared" si="2802"/>
        <v>10</v>
      </c>
      <c r="DG934" s="95">
        <f t="shared" si="2803"/>
        <v>10</v>
      </c>
      <c r="DH934" s="95">
        <f t="shared" si="2804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2819">SUM(B262)</f>
        <v>0</v>
      </c>
      <c r="C935" s="775">
        <f t="shared" si="2819"/>
        <v>0</v>
      </c>
      <c r="D935" s="775">
        <f t="shared" si="2819"/>
        <v>0</v>
      </c>
      <c r="E935" s="775">
        <f t="shared" si="2819"/>
        <v>0</v>
      </c>
      <c r="F935" s="775">
        <f t="shared" si="2819"/>
        <v>0</v>
      </c>
      <c r="G935" s="775">
        <f t="shared" si="2819"/>
        <v>0</v>
      </c>
      <c r="H935" s="775">
        <f t="shared" si="2819"/>
        <v>0</v>
      </c>
      <c r="I935" s="775">
        <f t="shared" si="2819"/>
        <v>0</v>
      </c>
      <c r="J935" s="775">
        <f t="shared" si="2819"/>
        <v>0</v>
      </c>
      <c r="K935" s="775">
        <f t="shared" si="2819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2820">SUM(T262)</f>
        <v>0</v>
      </c>
      <c r="U935" s="775">
        <f t="shared" si="2820"/>
        <v>0</v>
      </c>
      <c r="V935" s="775">
        <f t="shared" si="2820"/>
        <v>0</v>
      </c>
      <c r="W935" s="775">
        <f t="shared" si="2820"/>
        <v>0</v>
      </c>
      <c r="X935" s="775">
        <f t="shared" si="2820"/>
        <v>0</v>
      </c>
      <c r="Y935" s="775">
        <f t="shared" si="2820"/>
        <v>0</v>
      </c>
      <c r="Z935" s="775">
        <f t="shared" si="2820"/>
        <v>0</v>
      </c>
      <c r="AA935" s="775">
        <f t="shared" si="2820"/>
        <v>0</v>
      </c>
      <c r="AB935" s="775">
        <f t="shared" si="2820"/>
        <v>0</v>
      </c>
      <c r="AC935" s="775">
        <f t="shared" si="2820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2821">SUM(AL262)</f>
        <v>0</v>
      </c>
      <c r="AM935" s="775">
        <f t="shared" si="2821"/>
        <v>0</v>
      </c>
      <c r="AN935" s="775">
        <f t="shared" si="2821"/>
        <v>0</v>
      </c>
      <c r="AO935" s="775">
        <f t="shared" si="2821"/>
        <v>0</v>
      </c>
      <c r="AP935" s="775">
        <f t="shared" si="2821"/>
        <v>0</v>
      </c>
      <c r="AQ935" s="775">
        <f t="shared" si="2821"/>
        <v>0</v>
      </c>
      <c r="AR935" s="775">
        <f t="shared" si="2821"/>
        <v>0</v>
      </c>
      <c r="AS935" s="775">
        <f t="shared" si="2821"/>
        <v>0</v>
      </c>
      <c r="AT935" s="775">
        <f t="shared" si="2821"/>
        <v>0</v>
      </c>
      <c r="AU935" s="775">
        <f t="shared" si="2821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2822">SUM(BD262)</f>
        <v>0</v>
      </c>
      <c r="BE935" s="775">
        <f t="shared" si="2822"/>
        <v>0</v>
      </c>
      <c r="BF935" s="775">
        <f t="shared" si="2822"/>
        <v>0</v>
      </c>
      <c r="BG935" s="775">
        <f t="shared" si="2822"/>
        <v>0</v>
      </c>
      <c r="BH935" s="775">
        <f t="shared" si="2822"/>
        <v>0</v>
      </c>
      <c r="BI935" s="775">
        <f t="shared" si="2822"/>
        <v>0</v>
      </c>
      <c r="BJ935" s="775">
        <f t="shared" si="2822"/>
        <v>0</v>
      </c>
      <c r="BK935" s="775">
        <f t="shared" si="2822"/>
        <v>0</v>
      </c>
      <c r="BL935" s="775">
        <f t="shared" si="2822"/>
        <v>0</v>
      </c>
      <c r="BM935" s="775">
        <f t="shared" si="2822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2779"/>
        <v>0</v>
      </c>
      <c r="CA935" s="582">
        <f t="shared" si="2780"/>
        <v>0</v>
      </c>
      <c r="CB935" s="582">
        <f t="shared" si="2781"/>
        <v>0</v>
      </c>
      <c r="CC935" s="582">
        <f t="shared" si="2782"/>
        <v>0</v>
      </c>
      <c r="CD935" s="988">
        <f t="shared" si="2809"/>
        <v>0</v>
      </c>
      <c r="CE935" s="989">
        <f t="shared" si="2810"/>
        <v>0</v>
      </c>
      <c r="CF935" s="989">
        <f t="shared" si="2810"/>
        <v>0</v>
      </c>
      <c r="CG935" s="989">
        <f t="shared" si="2810"/>
        <v>0</v>
      </c>
      <c r="CH935" s="990">
        <f t="shared" si="2810"/>
        <v>0</v>
      </c>
      <c r="CI935" s="990">
        <f t="shared" si="2810"/>
        <v>0</v>
      </c>
      <c r="CJ935" s="989">
        <f t="shared" si="2810"/>
        <v>0</v>
      </c>
      <c r="CK935" s="989">
        <f t="shared" si="2810"/>
        <v>0</v>
      </c>
      <c r="CL935" s="989">
        <f t="shared" si="2810"/>
        <v>0</v>
      </c>
      <c r="CM935" s="988">
        <f t="shared" si="2810"/>
        <v>0</v>
      </c>
      <c r="CN935" s="533" t="str">
        <f t="shared" si="2784"/>
        <v/>
      </c>
      <c r="CO935" s="534" t="str">
        <f t="shared" si="2785"/>
        <v/>
      </c>
      <c r="CP935" s="535" t="str">
        <f t="shared" si="2786"/>
        <v/>
      </c>
      <c r="CQ935" s="535" t="str">
        <f t="shared" si="2787"/>
        <v/>
      </c>
      <c r="CR935" s="535">
        <f t="shared" si="2788"/>
        <v>0</v>
      </c>
      <c r="CS935" s="535">
        <f t="shared" si="2789"/>
        <v>0</v>
      </c>
      <c r="CT935" s="535">
        <f t="shared" si="2790"/>
        <v>0</v>
      </c>
      <c r="CU935" s="536">
        <f t="shared" si="2791"/>
        <v>0</v>
      </c>
      <c r="CV935" s="536">
        <f t="shared" si="2792"/>
        <v>0</v>
      </c>
      <c r="CW935" s="536">
        <f t="shared" si="2793"/>
        <v>0</v>
      </c>
      <c r="CX935" s="535">
        <f t="shared" si="2794"/>
        <v>0</v>
      </c>
      <c r="CY935" s="535">
        <f t="shared" si="2795"/>
        <v>0</v>
      </c>
      <c r="CZ935" s="535">
        <f t="shared" si="2796"/>
        <v>0</v>
      </c>
      <c r="DA935" s="535">
        <f t="shared" si="2797"/>
        <v>0</v>
      </c>
      <c r="DB935" s="535" t="str">
        <f t="shared" si="2798"/>
        <v/>
      </c>
      <c r="DC935" s="534" t="str">
        <f t="shared" si="2799"/>
        <v/>
      </c>
      <c r="DD935" s="533" t="str">
        <f t="shared" si="2800"/>
        <v/>
      </c>
      <c r="DE935" s="635">
        <f t="shared" si="2801"/>
        <v>10</v>
      </c>
      <c r="DF935" s="95">
        <f t="shared" si="2802"/>
        <v>10</v>
      </c>
      <c r="DG935" s="95">
        <f t="shared" si="2803"/>
        <v>10</v>
      </c>
      <c r="DH935" s="95">
        <f t="shared" si="2804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2823">SUM(B269)</f>
        <v>0</v>
      </c>
      <c r="C936" s="775">
        <f t="shared" si="2823"/>
        <v>0</v>
      </c>
      <c r="D936" s="775">
        <f t="shared" si="2823"/>
        <v>0</v>
      </c>
      <c r="E936" s="775">
        <f t="shared" si="2823"/>
        <v>0</v>
      </c>
      <c r="F936" s="775">
        <f t="shared" si="2823"/>
        <v>0</v>
      </c>
      <c r="G936" s="775">
        <f t="shared" si="2823"/>
        <v>0</v>
      </c>
      <c r="H936" s="775">
        <f t="shared" si="2823"/>
        <v>0</v>
      </c>
      <c r="I936" s="775">
        <f t="shared" si="2823"/>
        <v>0</v>
      </c>
      <c r="J936" s="775">
        <f t="shared" si="2823"/>
        <v>0</v>
      </c>
      <c r="K936" s="775">
        <f t="shared" si="2823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2824">SUM(T269)</f>
        <v>0</v>
      </c>
      <c r="U936" s="775">
        <f t="shared" si="2824"/>
        <v>0</v>
      </c>
      <c r="V936" s="775">
        <f t="shared" si="2824"/>
        <v>0</v>
      </c>
      <c r="W936" s="775">
        <f t="shared" si="2824"/>
        <v>0</v>
      </c>
      <c r="X936" s="775">
        <f t="shared" si="2824"/>
        <v>0</v>
      </c>
      <c r="Y936" s="775">
        <f t="shared" si="2824"/>
        <v>0</v>
      </c>
      <c r="Z936" s="775">
        <f t="shared" si="2824"/>
        <v>0</v>
      </c>
      <c r="AA936" s="775">
        <f t="shared" si="2824"/>
        <v>0</v>
      </c>
      <c r="AB936" s="775">
        <f t="shared" si="2824"/>
        <v>0</v>
      </c>
      <c r="AC936" s="775">
        <f t="shared" si="2824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2825">SUM(AL269)</f>
        <v>0</v>
      </c>
      <c r="AM936" s="775">
        <f t="shared" si="2825"/>
        <v>0</v>
      </c>
      <c r="AN936" s="775">
        <f t="shared" si="2825"/>
        <v>0</v>
      </c>
      <c r="AO936" s="775">
        <f t="shared" si="2825"/>
        <v>0</v>
      </c>
      <c r="AP936" s="775">
        <f t="shared" si="2825"/>
        <v>0</v>
      </c>
      <c r="AQ936" s="775">
        <f t="shared" si="2825"/>
        <v>0</v>
      </c>
      <c r="AR936" s="775">
        <f t="shared" si="2825"/>
        <v>0</v>
      </c>
      <c r="AS936" s="775">
        <f t="shared" si="2825"/>
        <v>0</v>
      </c>
      <c r="AT936" s="775">
        <f t="shared" si="2825"/>
        <v>0</v>
      </c>
      <c r="AU936" s="775">
        <f t="shared" si="2825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2826">SUM(BD269)</f>
        <v>0</v>
      </c>
      <c r="BE936" s="775">
        <f t="shared" si="2826"/>
        <v>0</v>
      </c>
      <c r="BF936" s="775">
        <f t="shared" si="2826"/>
        <v>0</v>
      </c>
      <c r="BG936" s="775">
        <f t="shared" si="2826"/>
        <v>0</v>
      </c>
      <c r="BH936" s="775">
        <f t="shared" si="2826"/>
        <v>0</v>
      </c>
      <c r="BI936" s="775">
        <f t="shared" si="2826"/>
        <v>0</v>
      </c>
      <c r="BJ936" s="775">
        <f t="shared" si="2826"/>
        <v>0</v>
      </c>
      <c r="BK936" s="775">
        <f t="shared" si="2826"/>
        <v>0</v>
      </c>
      <c r="BL936" s="775">
        <f t="shared" si="2826"/>
        <v>0</v>
      </c>
      <c r="BM936" s="775">
        <f t="shared" si="2826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2779"/>
        <v>0</v>
      </c>
      <c r="CA936" s="582">
        <f t="shared" si="2780"/>
        <v>0</v>
      </c>
      <c r="CB936" s="582">
        <f t="shared" si="2781"/>
        <v>0</v>
      </c>
      <c r="CC936" s="582">
        <f t="shared" si="2782"/>
        <v>0</v>
      </c>
      <c r="CD936" s="988">
        <f t="shared" si="2809"/>
        <v>0</v>
      </c>
      <c r="CE936" s="989">
        <f t="shared" si="2810"/>
        <v>0</v>
      </c>
      <c r="CF936" s="989">
        <f t="shared" si="2810"/>
        <v>0</v>
      </c>
      <c r="CG936" s="989">
        <f t="shared" si="2810"/>
        <v>0</v>
      </c>
      <c r="CH936" s="990">
        <f t="shared" si="2810"/>
        <v>0</v>
      </c>
      <c r="CI936" s="990">
        <f t="shared" si="2810"/>
        <v>0</v>
      </c>
      <c r="CJ936" s="989">
        <f t="shared" si="2810"/>
        <v>0</v>
      </c>
      <c r="CK936" s="989">
        <f t="shared" si="2810"/>
        <v>0</v>
      </c>
      <c r="CL936" s="989">
        <f t="shared" si="2810"/>
        <v>0</v>
      </c>
      <c r="CM936" s="988">
        <f t="shared" si="2810"/>
        <v>0</v>
      </c>
      <c r="CN936" s="533" t="str">
        <f t="shared" si="2784"/>
        <v/>
      </c>
      <c r="CO936" s="534" t="str">
        <f t="shared" si="2785"/>
        <v/>
      </c>
      <c r="CP936" s="535" t="str">
        <f t="shared" si="2786"/>
        <v/>
      </c>
      <c r="CQ936" s="535" t="str">
        <f t="shared" si="2787"/>
        <v/>
      </c>
      <c r="CR936" s="535">
        <f t="shared" si="2788"/>
        <v>0</v>
      </c>
      <c r="CS936" s="535">
        <f t="shared" si="2789"/>
        <v>0</v>
      </c>
      <c r="CT936" s="535">
        <f t="shared" si="2790"/>
        <v>0</v>
      </c>
      <c r="CU936" s="536">
        <f t="shared" si="2791"/>
        <v>0</v>
      </c>
      <c r="CV936" s="536">
        <f t="shared" si="2792"/>
        <v>0</v>
      </c>
      <c r="CW936" s="536">
        <f t="shared" si="2793"/>
        <v>0</v>
      </c>
      <c r="CX936" s="535">
        <f t="shared" si="2794"/>
        <v>0</v>
      </c>
      <c r="CY936" s="535">
        <f t="shared" si="2795"/>
        <v>0</v>
      </c>
      <c r="CZ936" s="535">
        <f t="shared" si="2796"/>
        <v>0</v>
      </c>
      <c r="DA936" s="535">
        <f t="shared" si="2797"/>
        <v>0</v>
      </c>
      <c r="DB936" s="535" t="str">
        <f t="shared" si="2798"/>
        <v/>
      </c>
      <c r="DC936" s="534" t="str">
        <f t="shared" si="2799"/>
        <v/>
      </c>
      <c r="DD936" s="533" t="str">
        <f t="shared" si="2800"/>
        <v/>
      </c>
      <c r="DE936" s="635">
        <f t="shared" si="2801"/>
        <v>10</v>
      </c>
      <c r="DF936" s="95">
        <f t="shared" si="2802"/>
        <v>10</v>
      </c>
      <c r="DG936" s="95">
        <f t="shared" si="2803"/>
        <v>10</v>
      </c>
      <c r="DH936" s="95">
        <f t="shared" si="2804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2827">SUM(B276)</f>
        <v>0</v>
      </c>
      <c r="C937" s="775">
        <f t="shared" si="2827"/>
        <v>0</v>
      </c>
      <c r="D937" s="775">
        <f t="shared" si="2827"/>
        <v>0</v>
      </c>
      <c r="E937" s="775">
        <f t="shared" si="2827"/>
        <v>0</v>
      </c>
      <c r="F937" s="775">
        <f t="shared" si="2827"/>
        <v>0</v>
      </c>
      <c r="G937" s="775">
        <f t="shared" si="2827"/>
        <v>0</v>
      </c>
      <c r="H937" s="775">
        <f t="shared" si="2827"/>
        <v>0</v>
      </c>
      <c r="I937" s="775">
        <f t="shared" si="2827"/>
        <v>0</v>
      </c>
      <c r="J937" s="775">
        <f t="shared" si="2827"/>
        <v>0</v>
      </c>
      <c r="K937" s="775">
        <f t="shared" si="2827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2828">SUM(T276)</f>
        <v>0</v>
      </c>
      <c r="U937" s="775">
        <f t="shared" si="2828"/>
        <v>0</v>
      </c>
      <c r="V937" s="775">
        <f t="shared" si="2828"/>
        <v>0</v>
      </c>
      <c r="W937" s="775">
        <f t="shared" si="2828"/>
        <v>0</v>
      </c>
      <c r="X937" s="775">
        <f t="shared" si="2828"/>
        <v>0</v>
      </c>
      <c r="Y937" s="775">
        <f t="shared" si="2828"/>
        <v>0</v>
      </c>
      <c r="Z937" s="775">
        <f t="shared" si="2828"/>
        <v>0</v>
      </c>
      <c r="AA937" s="775">
        <f t="shared" si="2828"/>
        <v>0</v>
      </c>
      <c r="AB937" s="775">
        <f t="shared" si="2828"/>
        <v>0</v>
      </c>
      <c r="AC937" s="775">
        <f t="shared" si="2828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2829">SUM(AL276)</f>
        <v>0</v>
      </c>
      <c r="AM937" s="775">
        <f t="shared" si="2829"/>
        <v>0</v>
      </c>
      <c r="AN937" s="775">
        <f t="shared" si="2829"/>
        <v>0</v>
      </c>
      <c r="AO937" s="775">
        <f t="shared" si="2829"/>
        <v>0</v>
      </c>
      <c r="AP937" s="775">
        <f t="shared" si="2829"/>
        <v>0</v>
      </c>
      <c r="AQ937" s="775">
        <f t="shared" si="2829"/>
        <v>0</v>
      </c>
      <c r="AR937" s="775">
        <f t="shared" si="2829"/>
        <v>0</v>
      </c>
      <c r="AS937" s="775">
        <f t="shared" si="2829"/>
        <v>0</v>
      </c>
      <c r="AT937" s="775">
        <f t="shared" si="2829"/>
        <v>0</v>
      </c>
      <c r="AU937" s="775">
        <f t="shared" si="2829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2830">SUM(BD276)</f>
        <v>0</v>
      </c>
      <c r="BE937" s="775">
        <f t="shared" si="2830"/>
        <v>0</v>
      </c>
      <c r="BF937" s="775">
        <f t="shared" si="2830"/>
        <v>0</v>
      </c>
      <c r="BG937" s="775">
        <f t="shared" si="2830"/>
        <v>0</v>
      </c>
      <c r="BH937" s="775">
        <f t="shared" si="2830"/>
        <v>0</v>
      </c>
      <c r="BI937" s="775">
        <f t="shared" si="2830"/>
        <v>0</v>
      </c>
      <c r="BJ937" s="775">
        <f t="shared" si="2830"/>
        <v>0</v>
      </c>
      <c r="BK937" s="775">
        <f t="shared" si="2830"/>
        <v>0</v>
      </c>
      <c r="BL937" s="775">
        <f t="shared" si="2830"/>
        <v>0</v>
      </c>
      <c r="BM937" s="775">
        <f t="shared" si="2830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2779"/>
        <v>0</v>
      </c>
      <c r="CA937" s="582">
        <f t="shared" si="2780"/>
        <v>0</v>
      </c>
      <c r="CB937" s="582">
        <f t="shared" si="2781"/>
        <v>0</v>
      </c>
      <c r="CC937" s="582">
        <f t="shared" si="2782"/>
        <v>0</v>
      </c>
      <c r="CD937" s="988">
        <f t="shared" si="2809"/>
        <v>0</v>
      </c>
      <c r="CE937" s="989">
        <f t="shared" si="2810"/>
        <v>0</v>
      </c>
      <c r="CF937" s="989">
        <f t="shared" si="2810"/>
        <v>0</v>
      </c>
      <c r="CG937" s="989">
        <f t="shared" si="2810"/>
        <v>0</v>
      </c>
      <c r="CH937" s="990">
        <f t="shared" si="2810"/>
        <v>0</v>
      </c>
      <c r="CI937" s="990">
        <f t="shared" si="2810"/>
        <v>0</v>
      </c>
      <c r="CJ937" s="989">
        <f t="shared" si="2810"/>
        <v>0</v>
      </c>
      <c r="CK937" s="989">
        <f t="shared" si="2810"/>
        <v>0</v>
      </c>
      <c r="CL937" s="989">
        <f t="shared" si="2810"/>
        <v>0</v>
      </c>
      <c r="CM937" s="988">
        <f t="shared" si="2810"/>
        <v>0</v>
      </c>
      <c r="CN937" s="533" t="str">
        <f t="shared" si="2784"/>
        <v/>
      </c>
      <c r="CO937" s="534" t="str">
        <f t="shared" si="2785"/>
        <v/>
      </c>
      <c r="CP937" s="535" t="str">
        <f t="shared" si="2786"/>
        <v/>
      </c>
      <c r="CQ937" s="535" t="str">
        <f t="shared" si="2787"/>
        <v/>
      </c>
      <c r="CR937" s="535">
        <f t="shared" si="2788"/>
        <v>0</v>
      </c>
      <c r="CS937" s="535">
        <f t="shared" si="2789"/>
        <v>0</v>
      </c>
      <c r="CT937" s="535">
        <f t="shared" si="2790"/>
        <v>0</v>
      </c>
      <c r="CU937" s="536">
        <f t="shared" si="2791"/>
        <v>0</v>
      </c>
      <c r="CV937" s="536">
        <f t="shared" si="2792"/>
        <v>0</v>
      </c>
      <c r="CW937" s="536">
        <f t="shared" si="2793"/>
        <v>0</v>
      </c>
      <c r="CX937" s="535">
        <f t="shared" si="2794"/>
        <v>0</v>
      </c>
      <c r="CY937" s="535">
        <f t="shared" si="2795"/>
        <v>0</v>
      </c>
      <c r="CZ937" s="535">
        <f t="shared" si="2796"/>
        <v>0</v>
      </c>
      <c r="DA937" s="535">
        <f t="shared" si="2797"/>
        <v>0</v>
      </c>
      <c r="DB937" s="535" t="str">
        <f t="shared" si="2798"/>
        <v/>
      </c>
      <c r="DC937" s="534" t="str">
        <f t="shared" si="2799"/>
        <v/>
      </c>
      <c r="DD937" s="533" t="str">
        <f t="shared" si="2800"/>
        <v/>
      </c>
      <c r="DE937" s="635">
        <f t="shared" si="2801"/>
        <v>10</v>
      </c>
      <c r="DF937" s="95">
        <f t="shared" si="2802"/>
        <v>10</v>
      </c>
      <c r="DG937" s="95">
        <f t="shared" si="2803"/>
        <v>10</v>
      </c>
      <c r="DH937" s="95">
        <f t="shared" si="2804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2831">SUM(B283)</f>
        <v>0</v>
      </c>
      <c r="C938" s="775">
        <f t="shared" si="2831"/>
        <v>0</v>
      </c>
      <c r="D938" s="775">
        <f t="shared" si="2831"/>
        <v>0</v>
      </c>
      <c r="E938" s="775">
        <f t="shared" si="2831"/>
        <v>0</v>
      </c>
      <c r="F938" s="775">
        <f t="shared" si="2831"/>
        <v>0</v>
      </c>
      <c r="G938" s="775">
        <f t="shared" si="2831"/>
        <v>0</v>
      </c>
      <c r="H938" s="775">
        <f t="shared" si="2831"/>
        <v>0</v>
      </c>
      <c r="I938" s="775">
        <f t="shared" si="2831"/>
        <v>0</v>
      </c>
      <c r="J938" s="775">
        <f t="shared" si="2831"/>
        <v>0</v>
      </c>
      <c r="K938" s="775">
        <f t="shared" si="2831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2832">SUM(T283)</f>
        <v>0</v>
      </c>
      <c r="U938" s="775">
        <f t="shared" si="2832"/>
        <v>0</v>
      </c>
      <c r="V938" s="775">
        <f t="shared" si="2832"/>
        <v>0</v>
      </c>
      <c r="W938" s="775">
        <f t="shared" si="2832"/>
        <v>0</v>
      </c>
      <c r="X938" s="775">
        <f t="shared" si="2832"/>
        <v>0</v>
      </c>
      <c r="Y938" s="775">
        <f t="shared" si="2832"/>
        <v>0</v>
      </c>
      <c r="Z938" s="775">
        <f t="shared" si="2832"/>
        <v>0</v>
      </c>
      <c r="AA938" s="775">
        <f t="shared" si="2832"/>
        <v>0</v>
      </c>
      <c r="AB938" s="775">
        <f t="shared" si="2832"/>
        <v>0</v>
      </c>
      <c r="AC938" s="775">
        <f t="shared" si="2832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2833">SUM(AL283)</f>
        <v>0</v>
      </c>
      <c r="AM938" s="775">
        <f t="shared" si="2833"/>
        <v>0</v>
      </c>
      <c r="AN938" s="775">
        <f t="shared" si="2833"/>
        <v>0</v>
      </c>
      <c r="AO938" s="775">
        <f t="shared" si="2833"/>
        <v>0</v>
      </c>
      <c r="AP938" s="775">
        <f t="shared" si="2833"/>
        <v>0</v>
      </c>
      <c r="AQ938" s="775">
        <f t="shared" si="2833"/>
        <v>0</v>
      </c>
      <c r="AR938" s="775">
        <f t="shared" si="2833"/>
        <v>0</v>
      </c>
      <c r="AS938" s="775">
        <f t="shared" si="2833"/>
        <v>0</v>
      </c>
      <c r="AT938" s="775">
        <f t="shared" si="2833"/>
        <v>0</v>
      </c>
      <c r="AU938" s="775">
        <f t="shared" si="2833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2834">SUM(BD283)</f>
        <v>0</v>
      </c>
      <c r="BE938" s="775">
        <f t="shared" si="2834"/>
        <v>0</v>
      </c>
      <c r="BF938" s="775">
        <f t="shared" si="2834"/>
        <v>0</v>
      </c>
      <c r="BG938" s="775">
        <f t="shared" si="2834"/>
        <v>0</v>
      </c>
      <c r="BH938" s="775">
        <f t="shared" si="2834"/>
        <v>0</v>
      </c>
      <c r="BI938" s="775">
        <f t="shared" si="2834"/>
        <v>0</v>
      </c>
      <c r="BJ938" s="775">
        <f t="shared" si="2834"/>
        <v>0</v>
      </c>
      <c r="BK938" s="775">
        <f t="shared" si="2834"/>
        <v>0</v>
      </c>
      <c r="BL938" s="775">
        <f t="shared" si="2834"/>
        <v>0</v>
      </c>
      <c r="BM938" s="775">
        <f t="shared" si="2834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2779"/>
        <v>0</v>
      </c>
      <c r="CA938" s="582">
        <f t="shared" si="2780"/>
        <v>0</v>
      </c>
      <c r="CB938" s="582">
        <f t="shared" si="2781"/>
        <v>0</v>
      </c>
      <c r="CC938" s="582">
        <f t="shared" si="2782"/>
        <v>0</v>
      </c>
      <c r="CD938" s="988">
        <f t="shared" si="2809"/>
        <v>0</v>
      </c>
      <c r="CE938" s="989">
        <f t="shared" si="2810"/>
        <v>0</v>
      </c>
      <c r="CF938" s="989">
        <f t="shared" si="2810"/>
        <v>0</v>
      </c>
      <c r="CG938" s="989">
        <f t="shared" si="2810"/>
        <v>0</v>
      </c>
      <c r="CH938" s="990">
        <f t="shared" si="2810"/>
        <v>0</v>
      </c>
      <c r="CI938" s="990">
        <f t="shared" si="2810"/>
        <v>0</v>
      </c>
      <c r="CJ938" s="989">
        <f t="shared" si="2810"/>
        <v>0</v>
      </c>
      <c r="CK938" s="989">
        <f t="shared" si="2810"/>
        <v>0</v>
      </c>
      <c r="CL938" s="989">
        <f t="shared" si="2810"/>
        <v>0</v>
      </c>
      <c r="CM938" s="988">
        <f t="shared" si="2810"/>
        <v>0</v>
      </c>
      <c r="CN938" s="533" t="str">
        <f t="shared" si="2784"/>
        <v/>
      </c>
      <c r="CO938" s="534" t="str">
        <f t="shared" si="2785"/>
        <v/>
      </c>
      <c r="CP938" s="535" t="str">
        <f t="shared" si="2786"/>
        <v/>
      </c>
      <c r="CQ938" s="535" t="str">
        <f t="shared" si="2787"/>
        <v/>
      </c>
      <c r="CR938" s="535">
        <f t="shared" si="2788"/>
        <v>0</v>
      </c>
      <c r="CS938" s="535">
        <f t="shared" si="2789"/>
        <v>0</v>
      </c>
      <c r="CT938" s="535">
        <f t="shared" si="2790"/>
        <v>0</v>
      </c>
      <c r="CU938" s="536">
        <f t="shared" si="2791"/>
        <v>0</v>
      </c>
      <c r="CV938" s="536">
        <f t="shared" si="2792"/>
        <v>0</v>
      </c>
      <c r="CW938" s="536">
        <f t="shared" si="2793"/>
        <v>0</v>
      </c>
      <c r="CX938" s="535">
        <f t="shared" si="2794"/>
        <v>0</v>
      </c>
      <c r="CY938" s="535">
        <f t="shared" si="2795"/>
        <v>0</v>
      </c>
      <c r="CZ938" s="535">
        <f t="shared" si="2796"/>
        <v>0</v>
      </c>
      <c r="DA938" s="535">
        <f t="shared" si="2797"/>
        <v>0</v>
      </c>
      <c r="DB938" s="535" t="str">
        <f t="shared" si="2798"/>
        <v/>
      </c>
      <c r="DC938" s="534" t="str">
        <f t="shared" si="2799"/>
        <v/>
      </c>
      <c r="DD938" s="533" t="str">
        <f t="shared" si="2800"/>
        <v/>
      </c>
      <c r="DE938" s="635">
        <f t="shared" si="2801"/>
        <v>10</v>
      </c>
      <c r="DF938" s="95">
        <f t="shared" si="2802"/>
        <v>10</v>
      </c>
      <c r="DG938" s="95">
        <f t="shared" si="2803"/>
        <v>10</v>
      </c>
      <c r="DH938" s="95">
        <f t="shared" si="2804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2835">SUM(B290)</f>
        <v>0</v>
      </c>
      <c r="C939" s="775">
        <f t="shared" si="2835"/>
        <v>0</v>
      </c>
      <c r="D939" s="775">
        <f t="shared" si="2835"/>
        <v>0</v>
      </c>
      <c r="E939" s="775">
        <f t="shared" si="2835"/>
        <v>0</v>
      </c>
      <c r="F939" s="775">
        <f t="shared" si="2835"/>
        <v>0</v>
      </c>
      <c r="G939" s="775">
        <f t="shared" si="2835"/>
        <v>0</v>
      </c>
      <c r="H939" s="775">
        <f t="shared" si="2835"/>
        <v>0</v>
      </c>
      <c r="I939" s="775">
        <f t="shared" si="2835"/>
        <v>0</v>
      </c>
      <c r="J939" s="775">
        <f t="shared" si="2835"/>
        <v>0</v>
      </c>
      <c r="K939" s="775">
        <f t="shared" si="2835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2836">SUM(T290)</f>
        <v>0</v>
      </c>
      <c r="U939" s="775">
        <f t="shared" si="2836"/>
        <v>0</v>
      </c>
      <c r="V939" s="775">
        <f t="shared" si="2836"/>
        <v>0</v>
      </c>
      <c r="W939" s="775">
        <f t="shared" si="2836"/>
        <v>0</v>
      </c>
      <c r="X939" s="775">
        <f t="shared" si="2836"/>
        <v>0</v>
      </c>
      <c r="Y939" s="775">
        <f t="shared" si="2836"/>
        <v>0</v>
      </c>
      <c r="Z939" s="775">
        <f t="shared" si="2836"/>
        <v>0</v>
      </c>
      <c r="AA939" s="775">
        <f t="shared" si="2836"/>
        <v>0</v>
      </c>
      <c r="AB939" s="775">
        <f t="shared" si="2836"/>
        <v>0</v>
      </c>
      <c r="AC939" s="775">
        <f t="shared" si="2836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2837">SUM(AL290)</f>
        <v>0</v>
      </c>
      <c r="AM939" s="775">
        <f t="shared" si="2837"/>
        <v>0</v>
      </c>
      <c r="AN939" s="775">
        <f t="shared" si="2837"/>
        <v>0</v>
      </c>
      <c r="AO939" s="775">
        <f t="shared" si="2837"/>
        <v>0</v>
      </c>
      <c r="AP939" s="775">
        <f t="shared" si="2837"/>
        <v>0</v>
      </c>
      <c r="AQ939" s="775">
        <f t="shared" si="2837"/>
        <v>0</v>
      </c>
      <c r="AR939" s="775">
        <f t="shared" si="2837"/>
        <v>0</v>
      </c>
      <c r="AS939" s="775">
        <f t="shared" si="2837"/>
        <v>0</v>
      </c>
      <c r="AT939" s="775">
        <f t="shared" si="2837"/>
        <v>0</v>
      </c>
      <c r="AU939" s="775">
        <f t="shared" si="2837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2838">SUM(BD290)</f>
        <v>0</v>
      </c>
      <c r="BE939" s="775">
        <f t="shared" si="2838"/>
        <v>0</v>
      </c>
      <c r="BF939" s="775">
        <f t="shared" si="2838"/>
        <v>0</v>
      </c>
      <c r="BG939" s="775">
        <f t="shared" si="2838"/>
        <v>0</v>
      </c>
      <c r="BH939" s="775">
        <f t="shared" si="2838"/>
        <v>0</v>
      </c>
      <c r="BI939" s="775">
        <f t="shared" si="2838"/>
        <v>0</v>
      </c>
      <c r="BJ939" s="775">
        <f t="shared" si="2838"/>
        <v>0</v>
      </c>
      <c r="BK939" s="775">
        <f t="shared" si="2838"/>
        <v>0</v>
      </c>
      <c r="BL939" s="775">
        <f t="shared" si="2838"/>
        <v>0</v>
      </c>
      <c r="BM939" s="775">
        <f t="shared" si="2838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2779"/>
        <v>0</v>
      </c>
      <c r="CA939" s="582">
        <f t="shared" si="2780"/>
        <v>0</v>
      </c>
      <c r="CB939" s="582">
        <f t="shared" si="2781"/>
        <v>0</v>
      </c>
      <c r="CC939" s="582">
        <f t="shared" si="2782"/>
        <v>0</v>
      </c>
      <c r="CD939" s="988">
        <f t="shared" si="2809"/>
        <v>0</v>
      </c>
      <c r="CE939" s="989">
        <f t="shared" si="2810"/>
        <v>0</v>
      </c>
      <c r="CF939" s="989">
        <f t="shared" si="2810"/>
        <v>0</v>
      </c>
      <c r="CG939" s="989">
        <f t="shared" si="2810"/>
        <v>0</v>
      </c>
      <c r="CH939" s="990">
        <f t="shared" si="2810"/>
        <v>0</v>
      </c>
      <c r="CI939" s="990">
        <f t="shared" si="2810"/>
        <v>0</v>
      </c>
      <c r="CJ939" s="989">
        <f t="shared" si="2810"/>
        <v>0</v>
      </c>
      <c r="CK939" s="989">
        <f t="shared" si="2810"/>
        <v>0</v>
      </c>
      <c r="CL939" s="989">
        <f t="shared" si="2810"/>
        <v>0</v>
      </c>
      <c r="CM939" s="988">
        <f t="shared" si="2810"/>
        <v>0</v>
      </c>
      <c r="CN939" s="533" t="str">
        <f t="shared" si="2784"/>
        <v/>
      </c>
      <c r="CO939" s="534" t="str">
        <f t="shared" si="2785"/>
        <v/>
      </c>
      <c r="CP939" s="535" t="str">
        <f t="shared" si="2786"/>
        <v/>
      </c>
      <c r="CQ939" s="535" t="str">
        <f t="shared" si="2787"/>
        <v/>
      </c>
      <c r="CR939" s="535">
        <f t="shared" si="2788"/>
        <v>0</v>
      </c>
      <c r="CS939" s="535">
        <f t="shared" si="2789"/>
        <v>0</v>
      </c>
      <c r="CT939" s="535">
        <f t="shared" si="2790"/>
        <v>0</v>
      </c>
      <c r="CU939" s="536">
        <f t="shared" si="2791"/>
        <v>0</v>
      </c>
      <c r="CV939" s="536">
        <f t="shared" si="2792"/>
        <v>0</v>
      </c>
      <c r="CW939" s="536">
        <f t="shared" si="2793"/>
        <v>0</v>
      </c>
      <c r="CX939" s="535">
        <f t="shared" si="2794"/>
        <v>0</v>
      </c>
      <c r="CY939" s="535">
        <f t="shared" si="2795"/>
        <v>0</v>
      </c>
      <c r="CZ939" s="535">
        <f t="shared" si="2796"/>
        <v>0</v>
      </c>
      <c r="DA939" s="535">
        <f t="shared" si="2797"/>
        <v>0</v>
      </c>
      <c r="DB939" s="535" t="str">
        <f t="shared" si="2798"/>
        <v/>
      </c>
      <c r="DC939" s="534" t="str">
        <f t="shared" si="2799"/>
        <v/>
      </c>
      <c r="DD939" s="533" t="str">
        <f t="shared" si="2800"/>
        <v/>
      </c>
      <c r="DE939" s="635">
        <f t="shared" si="2801"/>
        <v>10</v>
      </c>
      <c r="DF939" s="95">
        <f t="shared" si="2802"/>
        <v>10</v>
      </c>
      <c r="DG939" s="95">
        <f t="shared" si="2803"/>
        <v>10</v>
      </c>
      <c r="DH939" s="95">
        <f t="shared" si="2804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2839">SUM(B297)</f>
        <v>0</v>
      </c>
      <c r="C940" s="775">
        <f t="shared" si="2839"/>
        <v>0</v>
      </c>
      <c r="D940" s="775">
        <f t="shared" si="2839"/>
        <v>0</v>
      </c>
      <c r="E940" s="775">
        <f t="shared" si="2839"/>
        <v>0</v>
      </c>
      <c r="F940" s="775">
        <f t="shared" si="2839"/>
        <v>0</v>
      </c>
      <c r="G940" s="775">
        <f t="shared" si="2839"/>
        <v>0</v>
      </c>
      <c r="H940" s="775">
        <f t="shared" si="2839"/>
        <v>0</v>
      </c>
      <c r="I940" s="775">
        <f t="shared" si="2839"/>
        <v>0</v>
      </c>
      <c r="J940" s="775">
        <f t="shared" si="2839"/>
        <v>0</v>
      </c>
      <c r="K940" s="775">
        <f t="shared" si="2839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2840">SUM(T297)</f>
        <v>0</v>
      </c>
      <c r="U940" s="775">
        <f t="shared" si="2840"/>
        <v>0</v>
      </c>
      <c r="V940" s="775">
        <f t="shared" si="2840"/>
        <v>0</v>
      </c>
      <c r="W940" s="775">
        <f t="shared" si="2840"/>
        <v>0</v>
      </c>
      <c r="X940" s="775">
        <f t="shared" si="2840"/>
        <v>0</v>
      </c>
      <c r="Y940" s="775">
        <f t="shared" si="2840"/>
        <v>0</v>
      </c>
      <c r="Z940" s="775">
        <f t="shared" si="2840"/>
        <v>0</v>
      </c>
      <c r="AA940" s="775">
        <f t="shared" si="2840"/>
        <v>0</v>
      </c>
      <c r="AB940" s="775">
        <f t="shared" si="2840"/>
        <v>0</v>
      </c>
      <c r="AC940" s="775">
        <f t="shared" si="2840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2841">SUM(AL297)</f>
        <v>0</v>
      </c>
      <c r="AM940" s="775">
        <f t="shared" si="2841"/>
        <v>0</v>
      </c>
      <c r="AN940" s="775">
        <f t="shared" si="2841"/>
        <v>0</v>
      </c>
      <c r="AO940" s="775">
        <f t="shared" si="2841"/>
        <v>0</v>
      </c>
      <c r="AP940" s="775">
        <f t="shared" si="2841"/>
        <v>0</v>
      </c>
      <c r="AQ940" s="775">
        <f t="shared" si="2841"/>
        <v>0</v>
      </c>
      <c r="AR940" s="775">
        <f t="shared" si="2841"/>
        <v>0</v>
      </c>
      <c r="AS940" s="775">
        <f t="shared" si="2841"/>
        <v>0</v>
      </c>
      <c r="AT940" s="775">
        <f t="shared" si="2841"/>
        <v>0</v>
      </c>
      <c r="AU940" s="775">
        <f t="shared" si="2841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2842">SUM(BD297)</f>
        <v>0</v>
      </c>
      <c r="BE940" s="775">
        <f t="shared" si="2842"/>
        <v>0</v>
      </c>
      <c r="BF940" s="775">
        <f t="shared" si="2842"/>
        <v>0</v>
      </c>
      <c r="BG940" s="775">
        <f t="shared" si="2842"/>
        <v>0</v>
      </c>
      <c r="BH940" s="775">
        <f t="shared" si="2842"/>
        <v>0</v>
      </c>
      <c r="BI940" s="775">
        <f t="shared" si="2842"/>
        <v>0</v>
      </c>
      <c r="BJ940" s="775">
        <f t="shared" si="2842"/>
        <v>0</v>
      </c>
      <c r="BK940" s="775">
        <f t="shared" si="2842"/>
        <v>0</v>
      </c>
      <c r="BL940" s="775">
        <f t="shared" si="2842"/>
        <v>0</v>
      </c>
      <c r="BM940" s="775">
        <f t="shared" si="2842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2779"/>
        <v>0</v>
      </c>
      <c r="CA940" s="582">
        <f t="shared" si="2780"/>
        <v>0</v>
      </c>
      <c r="CB940" s="582">
        <f t="shared" si="2781"/>
        <v>0</v>
      </c>
      <c r="CC940" s="582">
        <f t="shared" si="2782"/>
        <v>0</v>
      </c>
      <c r="CD940" s="988">
        <f t="shared" si="2809"/>
        <v>0</v>
      </c>
      <c r="CE940" s="989">
        <f t="shared" si="2810"/>
        <v>0</v>
      </c>
      <c r="CF940" s="989">
        <f t="shared" si="2810"/>
        <v>0</v>
      </c>
      <c r="CG940" s="989">
        <f t="shared" si="2810"/>
        <v>0</v>
      </c>
      <c r="CH940" s="990">
        <f t="shared" si="2810"/>
        <v>0</v>
      </c>
      <c r="CI940" s="990">
        <f t="shared" si="2810"/>
        <v>0</v>
      </c>
      <c r="CJ940" s="989">
        <f t="shared" si="2810"/>
        <v>0</v>
      </c>
      <c r="CK940" s="989">
        <f t="shared" si="2810"/>
        <v>0</v>
      </c>
      <c r="CL940" s="989">
        <f t="shared" si="2810"/>
        <v>0</v>
      </c>
      <c r="CM940" s="988">
        <f t="shared" si="2810"/>
        <v>0</v>
      </c>
      <c r="CN940" s="533" t="str">
        <f t="shared" si="2784"/>
        <v/>
      </c>
      <c r="CO940" s="534" t="str">
        <f t="shared" si="2785"/>
        <v/>
      </c>
      <c r="CP940" s="535" t="str">
        <f t="shared" si="2786"/>
        <v/>
      </c>
      <c r="CQ940" s="535" t="str">
        <f t="shared" si="2787"/>
        <v/>
      </c>
      <c r="CR940" s="535">
        <f t="shared" si="2788"/>
        <v>0</v>
      </c>
      <c r="CS940" s="535">
        <f t="shared" si="2789"/>
        <v>0</v>
      </c>
      <c r="CT940" s="535">
        <f t="shared" si="2790"/>
        <v>0</v>
      </c>
      <c r="CU940" s="536">
        <f t="shared" si="2791"/>
        <v>0</v>
      </c>
      <c r="CV940" s="536">
        <f t="shared" si="2792"/>
        <v>0</v>
      </c>
      <c r="CW940" s="536">
        <f t="shared" si="2793"/>
        <v>0</v>
      </c>
      <c r="CX940" s="535">
        <f t="shared" si="2794"/>
        <v>0</v>
      </c>
      <c r="CY940" s="535">
        <f t="shared" si="2795"/>
        <v>0</v>
      </c>
      <c r="CZ940" s="535">
        <f t="shared" si="2796"/>
        <v>0</v>
      </c>
      <c r="DA940" s="535">
        <f t="shared" si="2797"/>
        <v>0</v>
      </c>
      <c r="DB940" s="535" t="str">
        <f t="shared" si="2798"/>
        <v/>
      </c>
      <c r="DC940" s="534" t="str">
        <f t="shared" si="2799"/>
        <v/>
      </c>
      <c r="DD940" s="533" t="str">
        <f t="shared" si="2800"/>
        <v/>
      </c>
      <c r="DE940" s="635">
        <f t="shared" si="2801"/>
        <v>10</v>
      </c>
      <c r="DF940" s="95">
        <f t="shared" si="2802"/>
        <v>10</v>
      </c>
      <c r="DG940" s="95">
        <f t="shared" si="2803"/>
        <v>10</v>
      </c>
      <c r="DH940" s="95">
        <f t="shared" si="2804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2843">SUM(B307)</f>
        <v>0</v>
      </c>
      <c r="C941" s="775">
        <f t="shared" si="2843"/>
        <v>0</v>
      </c>
      <c r="D941" s="775">
        <f t="shared" si="2843"/>
        <v>0</v>
      </c>
      <c r="E941" s="775">
        <f t="shared" si="2843"/>
        <v>0</v>
      </c>
      <c r="F941" s="775">
        <f t="shared" si="2843"/>
        <v>0</v>
      </c>
      <c r="G941" s="775">
        <f t="shared" si="2843"/>
        <v>0</v>
      </c>
      <c r="H941" s="775">
        <f t="shared" si="2843"/>
        <v>0</v>
      </c>
      <c r="I941" s="775">
        <f t="shared" si="2843"/>
        <v>0</v>
      </c>
      <c r="J941" s="775">
        <f t="shared" si="2843"/>
        <v>0</v>
      </c>
      <c r="K941" s="775">
        <f t="shared" si="2843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2844">SUM(T307)</f>
        <v>0</v>
      </c>
      <c r="U941" s="775">
        <f t="shared" si="2844"/>
        <v>0</v>
      </c>
      <c r="V941" s="775">
        <f t="shared" si="2844"/>
        <v>0</v>
      </c>
      <c r="W941" s="775">
        <f t="shared" si="2844"/>
        <v>0</v>
      </c>
      <c r="X941" s="775">
        <f t="shared" si="2844"/>
        <v>0</v>
      </c>
      <c r="Y941" s="775">
        <f t="shared" si="2844"/>
        <v>0</v>
      </c>
      <c r="Z941" s="775">
        <f t="shared" si="2844"/>
        <v>0</v>
      </c>
      <c r="AA941" s="775">
        <f t="shared" si="2844"/>
        <v>0</v>
      </c>
      <c r="AB941" s="775">
        <f t="shared" si="2844"/>
        <v>0</v>
      </c>
      <c r="AC941" s="775">
        <f t="shared" si="2844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2845">SUM(AL307)</f>
        <v>0</v>
      </c>
      <c r="AM941" s="775">
        <f t="shared" si="2845"/>
        <v>0</v>
      </c>
      <c r="AN941" s="775">
        <f t="shared" si="2845"/>
        <v>0</v>
      </c>
      <c r="AO941" s="775">
        <f t="shared" si="2845"/>
        <v>0</v>
      </c>
      <c r="AP941" s="775">
        <f t="shared" si="2845"/>
        <v>0</v>
      </c>
      <c r="AQ941" s="775">
        <f t="shared" si="2845"/>
        <v>0</v>
      </c>
      <c r="AR941" s="775">
        <f t="shared" si="2845"/>
        <v>0</v>
      </c>
      <c r="AS941" s="775">
        <f t="shared" si="2845"/>
        <v>0</v>
      </c>
      <c r="AT941" s="775">
        <f t="shared" si="2845"/>
        <v>0</v>
      </c>
      <c r="AU941" s="775">
        <f t="shared" si="2845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2846">SUM(BD307)</f>
        <v>0</v>
      </c>
      <c r="BE941" s="775">
        <f t="shared" si="2846"/>
        <v>0</v>
      </c>
      <c r="BF941" s="775">
        <f t="shared" si="2846"/>
        <v>0</v>
      </c>
      <c r="BG941" s="775">
        <f t="shared" si="2846"/>
        <v>0</v>
      </c>
      <c r="BH941" s="775">
        <f t="shared" si="2846"/>
        <v>0</v>
      </c>
      <c r="BI941" s="775">
        <f t="shared" si="2846"/>
        <v>0</v>
      </c>
      <c r="BJ941" s="775">
        <f t="shared" si="2846"/>
        <v>0</v>
      </c>
      <c r="BK941" s="775">
        <f t="shared" si="2846"/>
        <v>0</v>
      </c>
      <c r="BL941" s="775">
        <f t="shared" si="2846"/>
        <v>0</v>
      </c>
      <c r="BM941" s="775">
        <f t="shared" si="2846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2779"/>
        <v>0</v>
      </c>
      <c r="CA941" s="582">
        <f t="shared" si="2780"/>
        <v>0</v>
      </c>
      <c r="CB941" s="582">
        <f t="shared" si="2781"/>
        <v>0</v>
      </c>
      <c r="CC941" s="582">
        <f t="shared" si="2782"/>
        <v>0</v>
      </c>
      <c r="CD941" s="988">
        <f t="shared" si="2809"/>
        <v>0</v>
      </c>
      <c r="CE941" s="989">
        <f t="shared" si="2810"/>
        <v>0</v>
      </c>
      <c r="CF941" s="989">
        <f t="shared" si="2810"/>
        <v>0</v>
      </c>
      <c r="CG941" s="989">
        <f t="shared" si="2810"/>
        <v>0</v>
      </c>
      <c r="CH941" s="990">
        <f t="shared" si="2810"/>
        <v>0</v>
      </c>
      <c r="CI941" s="990">
        <f t="shared" si="2810"/>
        <v>0</v>
      </c>
      <c r="CJ941" s="989">
        <f t="shared" si="2810"/>
        <v>0</v>
      </c>
      <c r="CK941" s="989">
        <f t="shared" si="2810"/>
        <v>0</v>
      </c>
      <c r="CL941" s="989">
        <f t="shared" si="2810"/>
        <v>0</v>
      </c>
      <c r="CM941" s="988">
        <f t="shared" si="2810"/>
        <v>0</v>
      </c>
      <c r="CN941" s="533" t="str">
        <f t="shared" si="2784"/>
        <v/>
      </c>
      <c r="CO941" s="534" t="str">
        <f t="shared" si="2785"/>
        <v/>
      </c>
      <c r="CP941" s="535" t="str">
        <f t="shared" si="2786"/>
        <v/>
      </c>
      <c r="CQ941" s="535" t="str">
        <f t="shared" si="2787"/>
        <v/>
      </c>
      <c r="CR941" s="535">
        <f t="shared" si="2788"/>
        <v>0</v>
      </c>
      <c r="CS941" s="535">
        <f t="shared" si="2789"/>
        <v>0</v>
      </c>
      <c r="CT941" s="535">
        <f t="shared" si="2790"/>
        <v>0</v>
      </c>
      <c r="CU941" s="536">
        <f t="shared" si="2791"/>
        <v>0</v>
      </c>
      <c r="CV941" s="536">
        <f t="shared" si="2792"/>
        <v>0</v>
      </c>
      <c r="CW941" s="536">
        <f t="shared" si="2793"/>
        <v>0</v>
      </c>
      <c r="CX941" s="535">
        <f t="shared" si="2794"/>
        <v>0</v>
      </c>
      <c r="CY941" s="535">
        <f t="shared" si="2795"/>
        <v>0</v>
      </c>
      <c r="CZ941" s="535">
        <f t="shared" si="2796"/>
        <v>0</v>
      </c>
      <c r="DA941" s="535">
        <f t="shared" si="2797"/>
        <v>0</v>
      </c>
      <c r="DB941" s="535" t="str">
        <f t="shared" si="2798"/>
        <v/>
      </c>
      <c r="DC941" s="534" t="str">
        <f t="shared" si="2799"/>
        <v/>
      </c>
      <c r="DD941" s="533" t="str">
        <f t="shared" si="2800"/>
        <v/>
      </c>
      <c r="DE941" s="635">
        <f t="shared" si="2801"/>
        <v>10</v>
      </c>
      <c r="DF941" s="95">
        <f t="shared" si="2802"/>
        <v>10</v>
      </c>
      <c r="DG941" s="95">
        <f t="shared" si="2803"/>
        <v>10</v>
      </c>
      <c r="DH941" s="95">
        <f t="shared" si="2804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2847">SUM(B317)</f>
        <v>0</v>
      </c>
      <c r="C942" s="775">
        <f t="shared" si="2847"/>
        <v>0</v>
      </c>
      <c r="D942" s="775">
        <f t="shared" si="2847"/>
        <v>0</v>
      </c>
      <c r="E942" s="775">
        <f t="shared" si="2847"/>
        <v>0</v>
      </c>
      <c r="F942" s="775">
        <f t="shared" si="2847"/>
        <v>0</v>
      </c>
      <c r="G942" s="775">
        <f t="shared" si="2847"/>
        <v>0</v>
      </c>
      <c r="H942" s="775">
        <f t="shared" si="2847"/>
        <v>0</v>
      </c>
      <c r="I942" s="775">
        <f t="shared" si="2847"/>
        <v>0</v>
      </c>
      <c r="J942" s="775">
        <f t="shared" si="2847"/>
        <v>0</v>
      </c>
      <c r="K942" s="775">
        <f t="shared" si="2847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2848">SUM(T317)</f>
        <v>0</v>
      </c>
      <c r="U942" s="775">
        <f t="shared" si="2848"/>
        <v>0</v>
      </c>
      <c r="V942" s="775">
        <f t="shared" si="2848"/>
        <v>0</v>
      </c>
      <c r="W942" s="775">
        <f t="shared" si="2848"/>
        <v>0</v>
      </c>
      <c r="X942" s="775">
        <f t="shared" si="2848"/>
        <v>0</v>
      </c>
      <c r="Y942" s="775">
        <f t="shared" si="2848"/>
        <v>0</v>
      </c>
      <c r="Z942" s="775">
        <f t="shared" si="2848"/>
        <v>0</v>
      </c>
      <c r="AA942" s="775">
        <f t="shared" si="2848"/>
        <v>0</v>
      </c>
      <c r="AB942" s="775">
        <f t="shared" si="2848"/>
        <v>0</v>
      </c>
      <c r="AC942" s="775">
        <f t="shared" si="2848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2849">SUM(AL317)</f>
        <v>0</v>
      </c>
      <c r="AM942" s="775">
        <f t="shared" si="2849"/>
        <v>0</v>
      </c>
      <c r="AN942" s="775">
        <f t="shared" si="2849"/>
        <v>0</v>
      </c>
      <c r="AO942" s="775">
        <f t="shared" si="2849"/>
        <v>0</v>
      </c>
      <c r="AP942" s="775">
        <f t="shared" si="2849"/>
        <v>0</v>
      </c>
      <c r="AQ942" s="775">
        <f t="shared" si="2849"/>
        <v>0</v>
      </c>
      <c r="AR942" s="775">
        <f t="shared" si="2849"/>
        <v>0</v>
      </c>
      <c r="AS942" s="775">
        <f t="shared" si="2849"/>
        <v>0</v>
      </c>
      <c r="AT942" s="775">
        <f t="shared" si="2849"/>
        <v>0</v>
      </c>
      <c r="AU942" s="775">
        <f t="shared" si="2849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2850">SUM(BD317)</f>
        <v>0</v>
      </c>
      <c r="BE942" s="775">
        <f t="shared" si="2850"/>
        <v>0</v>
      </c>
      <c r="BF942" s="775">
        <f t="shared" si="2850"/>
        <v>0</v>
      </c>
      <c r="BG942" s="775">
        <f t="shared" si="2850"/>
        <v>0</v>
      </c>
      <c r="BH942" s="775">
        <f t="shared" si="2850"/>
        <v>0</v>
      </c>
      <c r="BI942" s="775">
        <f t="shared" si="2850"/>
        <v>0</v>
      </c>
      <c r="BJ942" s="775">
        <f t="shared" si="2850"/>
        <v>0</v>
      </c>
      <c r="BK942" s="775">
        <f t="shared" si="2850"/>
        <v>0</v>
      </c>
      <c r="BL942" s="775">
        <f t="shared" si="2850"/>
        <v>0</v>
      </c>
      <c r="BM942" s="775">
        <f t="shared" si="2850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2779"/>
        <v>0</v>
      </c>
      <c r="CA942" s="582">
        <f t="shared" si="2780"/>
        <v>0</v>
      </c>
      <c r="CB942" s="582">
        <f t="shared" si="2781"/>
        <v>0</v>
      </c>
      <c r="CC942" s="582">
        <f t="shared" si="2782"/>
        <v>0</v>
      </c>
      <c r="CD942" s="988">
        <f t="shared" si="2809"/>
        <v>0</v>
      </c>
      <c r="CE942" s="989">
        <f t="shared" si="2810"/>
        <v>0</v>
      </c>
      <c r="CF942" s="989">
        <f t="shared" si="2810"/>
        <v>0</v>
      </c>
      <c r="CG942" s="989">
        <f t="shared" si="2810"/>
        <v>0</v>
      </c>
      <c r="CH942" s="990">
        <f t="shared" si="2810"/>
        <v>0</v>
      </c>
      <c r="CI942" s="990">
        <f t="shared" si="2810"/>
        <v>0</v>
      </c>
      <c r="CJ942" s="989">
        <f t="shared" si="2810"/>
        <v>0</v>
      </c>
      <c r="CK942" s="989">
        <f t="shared" si="2810"/>
        <v>0</v>
      </c>
      <c r="CL942" s="989">
        <f t="shared" si="2810"/>
        <v>0</v>
      </c>
      <c r="CM942" s="988">
        <f t="shared" si="2810"/>
        <v>0</v>
      </c>
      <c r="CN942" s="533" t="str">
        <f t="shared" si="2784"/>
        <v/>
      </c>
      <c r="CO942" s="534" t="str">
        <f t="shared" si="2785"/>
        <v/>
      </c>
      <c r="CP942" s="535" t="str">
        <f t="shared" si="2786"/>
        <v/>
      </c>
      <c r="CQ942" s="535" t="str">
        <f t="shared" si="2787"/>
        <v/>
      </c>
      <c r="CR942" s="535">
        <f t="shared" si="2788"/>
        <v>0</v>
      </c>
      <c r="CS942" s="535">
        <f t="shared" si="2789"/>
        <v>0</v>
      </c>
      <c r="CT942" s="535">
        <f t="shared" si="2790"/>
        <v>0</v>
      </c>
      <c r="CU942" s="536">
        <f t="shared" si="2791"/>
        <v>0</v>
      </c>
      <c r="CV942" s="536">
        <f t="shared" si="2792"/>
        <v>0</v>
      </c>
      <c r="CW942" s="536">
        <f t="shared" si="2793"/>
        <v>0</v>
      </c>
      <c r="CX942" s="535">
        <f t="shared" si="2794"/>
        <v>0</v>
      </c>
      <c r="CY942" s="535">
        <f t="shared" si="2795"/>
        <v>0</v>
      </c>
      <c r="CZ942" s="535">
        <f t="shared" si="2796"/>
        <v>0</v>
      </c>
      <c r="DA942" s="535">
        <f t="shared" si="2797"/>
        <v>0</v>
      </c>
      <c r="DB942" s="535" t="str">
        <f t="shared" si="2798"/>
        <v/>
      </c>
      <c r="DC942" s="534" t="str">
        <f t="shared" si="2799"/>
        <v/>
      </c>
      <c r="DD942" s="533" t="str">
        <f t="shared" si="2800"/>
        <v/>
      </c>
      <c r="DE942" s="635">
        <f t="shared" si="2801"/>
        <v>10</v>
      </c>
      <c r="DF942" s="95">
        <f t="shared" si="2802"/>
        <v>10</v>
      </c>
      <c r="DG942" s="95">
        <f t="shared" si="2803"/>
        <v>10</v>
      </c>
      <c r="DH942" s="95">
        <f t="shared" si="2804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2851">SUM(B327)</f>
        <v>0</v>
      </c>
      <c r="C943" s="775">
        <f t="shared" si="2851"/>
        <v>0</v>
      </c>
      <c r="D943" s="775">
        <f t="shared" si="2851"/>
        <v>0</v>
      </c>
      <c r="E943" s="775">
        <f t="shared" si="2851"/>
        <v>0</v>
      </c>
      <c r="F943" s="775">
        <f t="shared" si="2851"/>
        <v>0</v>
      </c>
      <c r="G943" s="775">
        <f t="shared" si="2851"/>
        <v>0</v>
      </c>
      <c r="H943" s="775">
        <f t="shared" si="2851"/>
        <v>0</v>
      </c>
      <c r="I943" s="775">
        <f t="shared" si="2851"/>
        <v>0</v>
      </c>
      <c r="J943" s="775">
        <f t="shared" si="2851"/>
        <v>0</v>
      </c>
      <c r="K943" s="775">
        <f t="shared" si="2851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2852">SUM(T327)</f>
        <v>0</v>
      </c>
      <c r="U943" s="775">
        <f t="shared" si="2852"/>
        <v>0</v>
      </c>
      <c r="V943" s="775">
        <f t="shared" si="2852"/>
        <v>0</v>
      </c>
      <c r="W943" s="775">
        <f t="shared" si="2852"/>
        <v>0</v>
      </c>
      <c r="X943" s="775">
        <f t="shared" si="2852"/>
        <v>0</v>
      </c>
      <c r="Y943" s="775">
        <f t="shared" si="2852"/>
        <v>0</v>
      </c>
      <c r="Z943" s="775">
        <f t="shared" si="2852"/>
        <v>0</v>
      </c>
      <c r="AA943" s="775">
        <f t="shared" si="2852"/>
        <v>0</v>
      </c>
      <c r="AB943" s="775">
        <f t="shared" si="2852"/>
        <v>0</v>
      </c>
      <c r="AC943" s="775">
        <f t="shared" si="2852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2853">SUM(AL327)</f>
        <v>0</v>
      </c>
      <c r="AM943" s="775">
        <f t="shared" si="2853"/>
        <v>0</v>
      </c>
      <c r="AN943" s="775">
        <f t="shared" si="2853"/>
        <v>0</v>
      </c>
      <c r="AO943" s="775">
        <f t="shared" si="2853"/>
        <v>0</v>
      </c>
      <c r="AP943" s="775">
        <f t="shared" si="2853"/>
        <v>0</v>
      </c>
      <c r="AQ943" s="775">
        <f t="shared" si="2853"/>
        <v>0</v>
      </c>
      <c r="AR943" s="775">
        <f t="shared" si="2853"/>
        <v>0</v>
      </c>
      <c r="AS943" s="775">
        <f t="shared" si="2853"/>
        <v>0</v>
      </c>
      <c r="AT943" s="775">
        <f t="shared" si="2853"/>
        <v>0</v>
      </c>
      <c r="AU943" s="775">
        <f t="shared" si="2853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2854">SUM(BD327)</f>
        <v>0</v>
      </c>
      <c r="BE943" s="775">
        <f t="shared" si="2854"/>
        <v>0</v>
      </c>
      <c r="BF943" s="775">
        <f t="shared" si="2854"/>
        <v>0</v>
      </c>
      <c r="BG943" s="775">
        <f t="shared" si="2854"/>
        <v>0</v>
      </c>
      <c r="BH943" s="775">
        <f t="shared" si="2854"/>
        <v>0</v>
      </c>
      <c r="BI943" s="775">
        <f t="shared" si="2854"/>
        <v>0</v>
      </c>
      <c r="BJ943" s="775">
        <f t="shared" si="2854"/>
        <v>0</v>
      </c>
      <c r="BK943" s="775">
        <f t="shared" si="2854"/>
        <v>0</v>
      </c>
      <c r="BL943" s="775">
        <f t="shared" si="2854"/>
        <v>0</v>
      </c>
      <c r="BM943" s="775">
        <f t="shared" si="2854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2779"/>
        <v>0</v>
      </c>
      <c r="CA943" s="582">
        <f t="shared" si="2780"/>
        <v>0</v>
      </c>
      <c r="CB943" s="582">
        <f t="shared" si="2781"/>
        <v>0</v>
      </c>
      <c r="CC943" s="582">
        <f t="shared" si="2782"/>
        <v>0</v>
      </c>
      <c r="CD943" s="988">
        <f t="shared" si="2809"/>
        <v>0</v>
      </c>
      <c r="CE943" s="989">
        <f t="shared" si="2810"/>
        <v>0</v>
      </c>
      <c r="CF943" s="989">
        <f t="shared" si="2810"/>
        <v>0</v>
      </c>
      <c r="CG943" s="989">
        <f t="shared" si="2810"/>
        <v>0</v>
      </c>
      <c r="CH943" s="990">
        <f t="shared" si="2810"/>
        <v>0</v>
      </c>
      <c r="CI943" s="990">
        <f t="shared" si="2810"/>
        <v>0</v>
      </c>
      <c r="CJ943" s="989">
        <f t="shared" si="2810"/>
        <v>0</v>
      </c>
      <c r="CK943" s="989">
        <f t="shared" si="2810"/>
        <v>0</v>
      </c>
      <c r="CL943" s="989">
        <f t="shared" si="2810"/>
        <v>0</v>
      </c>
      <c r="CM943" s="988">
        <f t="shared" si="2810"/>
        <v>0</v>
      </c>
      <c r="CN943" s="533" t="str">
        <f t="shared" si="2784"/>
        <v/>
      </c>
      <c r="CO943" s="534" t="str">
        <f t="shared" si="2785"/>
        <v/>
      </c>
      <c r="CP943" s="535" t="str">
        <f t="shared" si="2786"/>
        <v/>
      </c>
      <c r="CQ943" s="535" t="str">
        <f t="shared" si="2787"/>
        <v/>
      </c>
      <c r="CR943" s="535">
        <f t="shared" si="2788"/>
        <v>0</v>
      </c>
      <c r="CS943" s="535">
        <f t="shared" si="2789"/>
        <v>0</v>
      </c>
      <c r="CT943" s="535">
        <f t="shared" si="2790"/>
        <v>0</v>
      </c>
      <c r="CU943" s="536">
        <f t="shared" si="2791"/>
        <v>0</v>
      </c>
      <c r="CV943" s="536">
        <f t="shared" si="2792"/>
        <v>0</v>
      </c>
      <c r="CW943" s="536">
        <f t="shared" si="2793"/>
        <v>0</v>
      </c>
      <c r="CX943" s="535">
        <f t="shared" si="2794"/>
        <v>0</v>
      </c>
      <c r="CY943" s="535">
        <f t="shared" si="2795"/>
        <v>0</v>
      </c>
      <c r="CZ943" s="535">
        <f t="shared" si="2796"/>
        <v>0</v>
      </c>
      <c r="DA943" s="535">
        <f t="shared" si="2797"/>
        <v>0</v>
      </c>
      <c r="DB943" s="535" t="str">
        <f t="shared" si="2798"/>
        <v/>
      </c>
      <c r="DC943" s="534" t="str">
        <f t="shared" si="2799"/>
        <v/>
      </c>
      <c r="DD943" s="533" t="str">
        <f t="shared" si="2800"/>
        <v/>
      </c>
      <c r="DE943" s="635">
        <f t="shared" si="2801"/>
        <v>10</v>
      </c>
      <c r="DF943" s="95">
        <f t="shared" si="2802"/>
        <v>10</v>
      </c>
      <c r="DG943" s="95">
        <f t="shared" si="2803"/>
        <v>10</v>
      </c>
      <c r="DH943" s="95">
        <f t="shared" si="2804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2855">SUM(B337)</f>
        <v>0</v>
      </c>
      <c r="C944" s="775">
        <f t="shared" si="2855"/>
        <v>0</v>
      </c>
      <c r="D944" s="775">
        <f t="shared" si="2855"/>
        <v>0</v>
      </c>
      <c r="E944" s="775">
        <f t="shared" si="2855"/>
        <v>0</v>
      </c>
      <c r="F944" s="775">
        <f t="shared" si="2855"/>
        <v>0</v>
      </c>
      <c r="G944" s="775">
        <f t="shared" si="2855"/>
        <v>0</v>
      </c>
      <c r="H944" s="775">
        <f t="shared" si="2855"/>
        <v>0</v>
      </c>
      <c r="I944" s="775">
        <f t="shared" si="2855"/>
        <v>0</v>
      </c>
      <c r="J944" s="775">
        <f t="shared" si="2855"/>
        <v>0</v>
      </c>
      <c r="K944" s="775">
        <f t="shared" si="2855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2856">SUM(T337)</f>
        <v>0</v>
      </c>
      <c r="U944" s="775">
        <f t="shared" si="2856"/>
        <v>0</v>
      </c>
      <c r="V944" s="775">
        <f t="shared" si="2856"/>
        <v>0</v>
      </c>
      <c r="W944" s="775">
        <f t="shared" si="2856"/>
        <v>0</v>
      </c>
      <c r="X944" s="775">
        <f t="shared" si="2856"/>
        <v>0</v>
      </c>
      <c r="Y944" s="775">
        <f t="shared" si="2856"/>
        <v>0</v>
      </c>
      <c r="Z944" s="775">
        <f t="shared" si="2856"/>
        <v>0</v>
      </c>
      <c r="AA944" s="775">
        <f t="shared" si="2856"/>
        <v>0</v>
      </c>
      <c r="AB944" s="775">
        <f t="shared" si="2856"/>
        <v>0</v>
      </c>
      <c r="AC944" s="775">
        <f t="shared" si="2856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2857">SUM(AL337)</f>
        <v>0</v>
      </c>
      <c r="AM944" s="775">
        <f t="shared" si="2857"/>
        <v>0</v>
      </c>
      <c r="AN944" s="775">
        <f t="shared" si="2857"/>
        <v>0</v>
      </c>
      <c r="AO944" s="775">
        <f t="shared" si="2857"/>
        <v>0</v>
      </c>
      <c r="AP944" s="775">
        <f t="shared" si="2857"/>
        <v>0</v>
      </c>
      <c r="AQ944" s="775">
        <f t="shared" si="2857"/>
        <v>0</v>
      </c>
      <c r="AR944" s="775">
        <f t="shared" si="2857"/>
        <v>0</v>
      </c>
      <c r="AS944" s="775">
        <f t="shared" si="2857"/>
        <v>0</v>
      </c>
      <c r="AT944" s="775">
        <f t="shared" si="2857"/>
        <v>0</v>
      </c>
      <c r="AU944" s="775">
        <f t="shared" si="2857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2858">SUM(BD337)</f>
        <v>0</v>
      </c>
      <c r="BE944" s="775">
        <f t="shared" si="2858"/>
        <v>0</v>
      </c>
      <c r="BF944" s="775">
        <f t="shared" si="2858"/>
        <v>0</v>
      </c>
      <c r="BG944" s="775">
        <f t="shared" si="2858"/>
        <v>0</v>
      </c>
      <c r="BH944" s="775">
        <f t="shared" si="2858"/>
        <v>0</v>
      </c>
      <c r="BI944" s="775">
        <f t="shared" si="2858"/>
        <v>0</v>
      </c>
      <c r="BJ944" s="775">
        <f t="shared" si="2858"/>
        <v>0</v>
      </c>
      <c r="BK944" s="775">
        <f t="shared" si="2858"/>
        <v>0</v>
      </c>
      <c r="BL944" s="775">
        <f t="shared" si="2858"/>
        <v>0</v>
      </c>
      <c r="BM944" s="775">
        <f t="shared" si="2858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2779"/>
        <v>0</v>
      </c>
      <c r="CA944" s="582">
        <f t="shared" si="2780"/>
        <v>0</v>
      </c>
      <c r="CB944" s="582">
        <f t="shared" si="2781"/>
        <v>0</v>
      </c>
      <c r="CC944" s="582">
        <f t="shared" si="2782"/>
        <v>0</v>
      </c>
      <c r="CD944" s="988">
        <f t="shared" si="2809"/>
        <v>0</v>
      </c>
      <c r="CE944" s="989">
        <f t="shared" si="2810"/>
        <v>0</v>
      </c>
      <c r="CF944" s="989">
        <f t="shared" si="2810"/>
        <v>0</v>
      </c>
      <c r="CG944" s="989">
        <f t="shared" si="2810"/>
        <v>0</v>
      </c>
      <c r="CH944" s="990">
        <f t="shared" si="2810"/>
        <v>0</v>
      </c>
      <c r="CI944" s="990">
        <f t="shared" si="2810"/>
        <v>0</v>
      </c>
      <c r="CJ944" s="989">
        <f t="shared" si="2810"/>
        <v>0</v>
      </c>
      <c r="CK944" s="989">
        <f t="shared" si="2810"/>
        <v>0</v>
      </c>
      <c r="CL944" s="989">
        <f t="shared" si="2810"/>
        <v>0</v>
      </c>
      <c r="CM944" s="988">
        <f t="shared" si="2810"/>
        <v>0</v>
      </c>
      <c r="CN944" s="533" t="str">
        <f t="shared" si="2784"/>
        <v/>
      </c>
      <c r="CO944" s="534" t="str">
        <f t="shared" si="2785"/>
        <v/>
      </c>
      <c r="CP944" s="535" t="str">
        <f t="shared" si="2786"/>
        <v/>
      </c>
      <c r="CQ944" s="535" t="str">
        <f t="shared" si="2787"/>
        <v/>
      </c>
      <c r="CR944" s="535">
        <f t="shared" si="2788"/>
        <v>0</v>
      </c>
      <c r="CS944" s="535">
        <f t="shared" si="2789"/>
        <v>0</v>
      </c>
      <c r="CT944" s="535">
        <f t="shared" si="2790"/>
        <v>0</v>
      </c>
      <c r="CU944" s="536">
        <f t="shared" si="2791"/>
        <v>0</v>
      </c>
      <c r="CV944" s="536">
        <f t="shared" si="2792"/>
        <v>0</v>
      </c>
      <c r="CW944" s="536">
        <f t="shared" si="2793"/>
        <v>0</v>
      </c>
      <c r="CX944" s="535">
        <f t="shared" si="2794"/>
        <v>0</v>
      </c>
      <c r="CY944" s="535">
        <f t="shared" si="2795"/>
        <v>0</v>
      </c>
      <c r="CZ944" s="535">
        <f t="shared" si="2796"/>
        <v>0</v>
      </c>
      <c r="DA944" s="535">
        <f t="shared" si="2797"/>
        <v>0</v>
      </c>
      <c r="DB944" s="535" t="str">
        <f t="shared" si="2798"/>
        <v/>
      </c>
      <c r="DC944" s="534" t="str">
        <f t="shared" si="2799"/>
        <v/>
      </c>
      <c r="DD944" s="533" t="str">
        <f t="shared" si="2800"/>
        <v/>
      </c>
      <c r="DE944" s="635">
        <f t="shared" si="2801"/>
        <v>10</v>
      </c>
      <c r="DF944" s="95">
        <f t="shared" si="2802"/>
        <v>10</v>
      </c>
      <c r="DG944" s="95">
        <f t="shared" si="2803"/>
        <v>10</v>
      </c>
      <c r="DH944" s="95">
        <f t="shared" si="2804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2859">SUM(B347)</f>
        <v>0</v>
      </c>
      <c r="C945" s="775">
        <f t="shared" si="2859"/>
        <v>0</v>
      </c>
      <c r="D945" s="775">
        <f t="shared" si="2859"/>
        <v>0</v>
      </c>
      <c r="E945" s="775">
        <f t="shared" si="2859"/>
        <v>0</v>
      </c>
      <c r="F945" s="775">
        <f t="shared" si="2859"/>
        <v>0</v>
      </c>
      <c r="G945" s="775">
        <f t="shared" si="2859"/>
        <v>0</v>
      </c>
      <c r="H945" s="775">
        <f t="shared" si="2859"/>
        <v>0</v>
      </c>
      <c r="I945" s="775">
        <f t="shared" si="2859"/>
        <v>0</v>
      </c>
      <c r="J945" s="775">
        <f t="shared" si="2859"/>
        <v>0</v>
      </c>
      <c r="K945" s="775">
        <f t="shared" si="2859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2860">SUM(T347)</f>
        <v>0</v>
      </c>
      <c r="U945" s="775">
        <f t="shared" si="2860"/>
        <v>0</v>
      </c>
      <c r="V945" s="775">
        <f t="shared" si="2860"/>
        <v>0</v>
      </c>
      <c r="W945" s="775">
        <f t="shared" si="2860"/>
        <v>0</v>
      </c>
      <c r="X945" s="775">
        <f t="shared" si="2860"/>
        <v>0</v>
      </c>
      <c r="Y945" s="775">
        <f t="shared" si="2860"/>
        <v>0</v>
      </c>
      <c r="Z945" s="775">
        <f t="shared" si="2860"/>
        <v>0</v>
      </c>
      <c r="AA945" s="775">
        <f t="shared" si="2860"/>
        <v>0</v>
      </c>
      <c r="AB945" s="775">
        <f t="shared" si="2860"/>
        <v>0</v>
      </c>
      <c r="AC945" s="775">
        <f t="shared" si="2860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2861">SUM(AL347)</f>
        <v>0</v>
      </c>
      <c r="AM945" s="775">
        <f t="shared" si="2861"/>
        <v>0</v>
      </c>
      <c r="AN945" s="775">
        <f t="shared" si="2861"/>
        <v>0</v>
      </c>
      <c r="AO945" s="775">
        <f t="shared" si="2861"/>
        <v>0</v>
      </c>
      <c r="AP945" s="775">
        <f t="shared" si="2861"/>
        <v>0</v>
      </c>
      <c r="AQ945" s="775">
        <f t="shared" si="2861"/>
        <v>0</v>
      </c>
      <c r="AR945" s="775">
        <f t="shared" si="2861"/>
        <v>0</v>
      </c>
      <c r="AS945" s="775">
        <f t="shared" si="2861"/>
        <v>0</v>
      </c>
      <c r="AT945" s="775">
        <f t="shared" si="2861"/>
        <v>0</v>
      </c>
      <c r="AU945" s="775">
        <f t="shared" si="2861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2862">SUM(BD347)</f>
        <v>0</v>
      </c>
      <c r="BE945" s="775">
        <f t="shared" si="2862"/>
        <v>0</v>
      </c>
      <c r="BF945" s="775">
        <f t="shared" si="2862"/>
        <v>0</v>
      </c>
      <c r="BG945" s="775">
        <f t="shared" si="2862"/>
        <v>0</v>
      </c>
      <c r="BH945" s="775">
        <f t="shared" si="2862"/>
        <v>0</v>
      </c>
      <c r="BI945" s="775">
        <f t="shared" si="2862"/>
        <v>0</v>
      </c>
      <c r="BJ945" s="775">
        <f t="shared" si="2862"/>
        <v>0</v>
      </c>
      <c r="BK945" s="775">
        <f t="shared" si="2862"/>
        <v>0</v>
      </c>
      <c r="BL945" s="775">
        <f t="shared" si="2862"/>
        <v>0</v>
      </c>
      <c r="BM945" s="775">
        <f t="shared" si="2862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2779"/>
        <v>0</v>
      </c>
      <c r="CA945" s="582">
        <f t="shared" si="2780"/>
        <v>0</v>
      </c>
      <c r="CB945" s="582">
        <f t="shared" si="2781"/>
        <v>0</v>
      </c>
      <c r="CC945" s="582">
        <f t="shared" si="2782"/>
        <v>0</v>
      </c>
      <c r="CD945" s="988">
        <f t="shared" si="2809"/>
        <v>0</v>
      </c>
      <c r="CE945" s="989">
        <f t="shared" si="2810"/>
        <v>0</v>
      </c>
      <c r="CF945" s="989">
        <f t="shared" si="2810"/>
        <v>0</v>
      </c>
      <c r="CG945" s="989">
        <f t="shared" si="2810"/>
        <v>0</v>
      </c>
      <c r="CH945" s="990">
        <f t="shared" si="2810"/>
        <v>0</v>
      </c>
      <c r="CI945" s="990">
        <f t="shared" si="2810"/>
        <v>0</v>
      </c>
      <c r="CJ945" s="989">
        <f t="shared" si="2810"/>
        <v>0</v>
      </c>
      <c r="CK945" s="989">
        <f t="shared" si="2810"/>
        <v>0</v>
      </c>
      <c r="CL945" s="989">
        <f t="shared" si="2810"/>
        <v>0</v>
      </c>
      <c r="CM945" s="988">
        <f t="shared" si="2810"/>
        <v>0</v>
      </c>
      <c r="CN945" s="533" t="str">
        <f t="shared" si="2784"/>
        <v/>
      </c>
      <c r="CO945" s="534" t="str">
        <f t="shared" si="2785"/>
        <v/>
      </c>
      <c r="CP945" s="535" t="str">
        <f t="shared" si="2786"/>
        <v/>
      </c>
      <c r="CQ945" s="535" t="str">
        <f t="shared" si="2787"/>
        <v/>
      </c>
      <c r="CR945" s="535">
        <f t="shared" si="2788"/>
        <v>0</v>
      </c>
      <c r="CS945" s="535">
        <f t="shared" si="2789"/>
        <v>0</v>
      </c>
      <c r="CT945" s="535">
        <f t="shared" si="2790"/>
        <v>0</v>
      </c>
      <c r="CU945" s="536">
        <f t="shared" si="2791"/>
        <v>0</v>
      </c>
      <c r="CV945" s="536">
        <f t="shared" si="2792"/>
        <v>0</v>
      </c>
      <c r="CW945" s="536">
        <f t="shared" si="2793"/>
        <v>0</v>
      </c>
      <c r="CX945" s="535">
        <f t="shared" si="2794"/>
        <v>0</v>
      </c>
      <c r="CY945" s="535">
        <f t="shared" si="2795"/>
        <v>0</v>
      </c>
      <c r="CZ945" s="535">
        <f t="shared" si="2796"/>
        <v>0</v>
      </c>
      <c r="DA945" s="535">
        <f t="shared" si="2797"/>
        <v>0</v>
      </c>
      <c r="DB945" s="535" t="str">
        <f t="shared" si="2798"/>
        <v/>
      </c>
      <c r="DC945" s="534" t="str">
        <f t="shared" si="2799"/>
        <v/>
      </c>
      <c r="DD945" s="533" t="str">
        <f t="shared" si="2800"/>
        <v/>
      </c>
      <c r="DE945" s="635">
        <f t="shared" si="2801"/>
        <v>10</v>
      </c>
      <c r="DF945" s="95">
        <f t="shared" si="2802"/>
        <v>10</v>
      </c>
      <c r="DG945" s="95">
        <f t="shared" si="2803"/>
        <v>10</v>
      </c>
      <c r="DH945" s="95">
        <f t="shared" si="2804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2863">SUM(B357)</f>
        <v>0</v>
      </c>
      <c r="C946" s="775">
        <f t="shared" si="2863"/>
        <v>0</v>
      </c>
      <c r="D946" s="775">
        <f t="shared" si="2863"/>
        <v>0</v>
      </c>
      <c r="E946" s="775">
        <f t="shared" si="2863"/>
        <v>0</v>
      </c>
      <c r="F946" s="775">
        <f t="shared" si="2863"/>
        <v>0</v>
      </c>
      <c r="G946" s="775">
        <f t="shared" si="2863"/>
        <v>0</v>
      </c>
      <c r="H946" s="775">
        <f t="shared" si="2863"/>
        <v>0</v>
      </c>
      <c r="I946" s="775">
        <f t="shared" si="2863"/>
        <v>0</v>
      </c>
      <c r="J946" s="775">
        <f t="shared" si="2863"/>
        <v>0</v>
      </c>
      <c r="K946" s="775">
        <f t="shared" si="2863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2864">SUM(T357)</f>
        <v>0</v>
      </c>
      <c r="U946" s="775">
        <f t="shared" si="2864"/>
        <v>0</v>
      </c>
      <c r="V946" s="775">
        <f t="shared" si="2864"/>
        <v>0</v>
      </c>
      <c r="W946" s="775">
        <f t="shared" si="2864"/>
        <v>0</v>
      </c>
      <c r="X946" s="775">
        <f t="shared" si="2864"/>
        <v>0</v>
      </c>
      <c r="Y946" s="775">
        <f t="shared" si="2864"/>
        <v>0</v>
      </c>
      <c r="Z946" s="775">
        <f t="shared" si="2864"/>
        <v>0</v>
      </c>
      <c r="AA946" s="775">
        <f t="shared" si="2864"/>
        <v>0</v>
      </c>
      <c r="AB946" s="775">
        <f t="shared" si="2864"/>
        <v>0</v>
      </c>
      <c r="AC946" s="775">
        <f t="shared" si="2864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2865">SUM(AL357)</f>
        <v>0</v>
      </c>
      <c r="AM946" s="775">
        <f t="shared" si="2865"/>
        <v>0</v>
      </c>
      <c r="AN946" s="775">
        <f t="shared" si="2865"/>
        <v>0</v>
      </c>
      <c r="AO946" s="775">
        <f t="shared" si="2865"/>
        <v>0</v>
      </c>
      <c r="AP946" s="775">
        <f t="shared" si="2865"/>
        <v>0</v>
      </c>
      <c r="AQ946" s="775">
        <f t="shared" si="2865"/>
        <v>0</v>
      </c>
      <c r="AR946" s="775">
        <f t="shared" si="2865"/>
        <v>0</v>
      </c>
      <c r="AS946" s="775">
        <f t="shared" si="2865"/>
        <v>0</v>
      </c>
      <c r="AT946" s="775">
        <f t="shared" si="2865"/>
        <v>0</v>
      </c>
      <c r="AU946" s="775">
        <f t="shared" si="2865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2866">SUM(BD357)</f>
        <v>0</v>
      </c>
      <c r="BE946" s="775">
        <f t="shared" si="2866"/>
        <v>0</v>
      </c>
      <c r="BF946" s="775">
        <f t="shared" si="2866"/>
        <v>0</v>
      </c>
      <c r="BG946" s="775">
        <f t="shared" si="2866"/>
        <v>0</v>
      </c>
      <c r="BH946" s="775">
        <f t="shared" si="2866"/>
        <v>0</v>
      </c>
      <c r="BI946" s="775">
        <f t="shared" si="2866"/>
        <v>0</v>
      </c>
      <c r="BJ946" s="775">
        <f t="shared" si="2866"/>
        <v>0</v>
      </c>
      <c r="BK946" s="775">
        <f t="shared" si="2866"/>
        <v>0</v>
      </c>
      <c r="BL946" s="775">
        <f t="shared" si="2866"/>
        <v>0</v>
      </c>
      <c r="BM946" s="775">
        <f t="shared" si="2866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2779"/>
        <v>0</v>
      </c>
      <c r="CA946" s="582">
        <f t="shared" si="2780"/>
        <v>0</v>
      </c>
      <c r="CB946" s="582">
        <f t="shared" si="2781"/>
        <v>0</v>
      </c>
      <c r="CC946" s="582">
        <f t="shared" si="2782"/>
        <v>0</v>
      </c>
      <c r="CD946" s="988">
        <f t="shared" si="2809"/>
        <v>0</v>
      </c>
      <c r="CE946" s="989">
        <f t="shared" si="2810"/>
        <v>0</v>
      </c>
      <c r="CF946" s="989">
        <f t="shared" si="2810"/>
        <v>0</v>
      </c>
      <c r="CG946" s="989">
        <f t="shared" si="2810"/>
        <v>0</v>
      </c>
      <c r="CH946" s="990">
        <f t="shared" si="2810"/>
        <v>0</v>
      </c>
      <c r="CI946" s="990">
        <f t="shared" si="2810"/>
        <v>0</v>
      </c>
      <c r="CJ946" s="989">
        <f t="shared" si="2810"/>
        <v>0</v>
      </c>
      <c r="CK946" s="989">
        <f t="shared" si="2810"/>
        <v>0</v>
      </c>
      <c r="CL946" s="989">
        <f t="shared" si="2810"/>
        <v>0</v>
      </c>
      <c r="CM946" s="988">
        <f t="shared" si="2810"/>
        <v>0</v>
      </c>
      <c r="CN946" s="533" t="str">
        <f t="shared" si="2784"/>
        <v/>
      </c>
      <c r="CO946" s="534" t="str">
        <f t="shared" si="2785"/>
        <v/>
      </c>
      <c r="CP946" s="535" t="str">
        <f t="shared" si="2786"/>
        <v/>
      </c>
      <c r="CQ946" s="535" t="str">
        <f t="shared" si="2787"/>
        <v/>
      </c>
      <c r="CR946" s="535">
        <f t="shared" si="2788"/>
        <v>0</v>
      </c>
      <c r="CS946" s="535">
        <f t="shared" si="2789"/>
        <v>0</v>
      </c>
      <c r="CT946" s="535">
        <f t="shared" si="2790"/>
        <v>0</v>
      </c>
      <c r="CU946" s="536">
        <f t="shared" si="2791"/>
        <v>0</v>
      </c>
      <c r="CV946" s="536">
        <f t="shared" si="2792"/>
        <v>0</v>
      </c>
      <c r="CW946" s="536">
        <f t="shared" si="2793"/>
        <v>0</v>
      </c>
      <c r="CX946" s="535">
        <f t="shared" si="2794"/>
        <v>0</v>
      </c>
      <c r="CY946" s="535">
        <f t="shared" si="2795"/>
        <v>0</v>
      </c>
      <c r="CZ946" s="535">
        <f t="shared" si="2796"/>
        <v>0</v>
      </c>
      <c r="DA946" s="535">
        <f t="shared" si="2797"/>
        <v>0</v>
      </c>
      <c r="DB946" s="535" t="str">
        <f t="shared" si="2798"/>
        <v/>
      </c>
      <c r="DC946" s="534" t="str">
        <f t="shared" si="2799"/>
        <v/>
      </c>
      <c r="DD946" s="533" t="str">
        <f t="shared" si="2800"/>
        <v/>
      </c>
      <c r="DE946" s="635">
        <f t="shared" si="2801"/>
        <v>10</v>
      </c>
      <c r="DF946" s="95">
        <f t="shared" si="2802"/>
        <v>10</v>
      </c>
      <c r="DG946" s="95">
        <f t="shared" si="2803"/>
        <v>10</v>
      </c>
      <c r="DH946" s="95">
        <f t="shared" si="2804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2867">SUM(B368)</f>
        <v>0</v>
      </c>
      <c r="C947" s="775">
        <f t="shared" si="2867"/>
        <v>0</v>
      </c>
      <c r="D947" s="775">
        <f t="shared" si="2867"/>
        <v>0</v>
      </c>
      <c r="E947" s="775">
        <f t="shared" si="2867"/>
        <v>0</v>
      </c>
      <c r="F947" s="775">
        <f t="shared" si="2867"/>
        <v>0</v>
      </c>
      <c r="G947" s="775">
        <f t="shared" si="2867"/>
        <v>0</v>
      </c>
      <c r="H947" s="775">
        <f t="shared" si="2867"/>
        <v>0</v>
      </c>
      <c r="I947" s="775">
        <f t="shared" si="2867"/>
        <v>0</v>
      </c>
      <c r="J947" s="775">
        <f t="shared" si="2867"/>
        <v>0</v>
      </c>
      <c r="K947" s="775">
        <f t="shared" si="2867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2868">SUM(T368)</f>
        <v>0</v>
      </c>
      <c r="U947" s="775">
        <f t="shared" si="2868"/>
        <v>0</v>
      </c>
      <c r="V947" s="775">
        <f t="shared" si="2868"/>
        <v>0</v>
      </c>
      <c r="W947" s="775">
        <f t="shared" si="2868"/>
        <v>0</v>
      </c>
      <c r="X947" s="775">
        <f t="shared" si="2868"/>
        <v>0</v>
      </c>
      <c r="Y947" s="775">
        <f t="shared" si="2868"/>
        <v>0</v>
      </c>
      <c r="Z947" s="775">
        <f t="shared" si="2868"/>
        <v>0</v>
      </c>
      <c r="AA947" s="775">
        <f t="shared" si="2868"/>
        <v>0</v>
      </c>
      <c r="AB947" s="775">
        <f t="shared" si="2868"/>
        <v>0</v>
      </c>
      <c r="AC947" s="775">
        <f t="shared" si="2868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2869">SUM(AL368)</f>
        <v>0</v>
      </c>
      <c r="AM947" s="775">
        <f t="shared" si="2869"/>
        <v>0</v>
      </c>
      <c r="AN947" s="775">
        <f t="shared" si="2869"/>
        <v>0</v>
      </c>
      <c r="AO947" s="775">
        <f t="shared" si="2869"/>
        <v>0</v>
      </c>
      <c r="AP947" s="775">
        <f t="shared" si="2869"/>
        <v>0</v>
      </c>
      <c r="AQ947" s="775">
        <f t="shared" si="2869"/>
        <v>0</v>
      </c>
      <c r="AR947" s="775">
        <f t="shared" si="2869"/>
        <v>0</v>
      </c>
      <c r="AS947" s="775">
        <f t="shared" si="2869"/>
        <v>0</v>
      </c>
      <c r="AT947" s="775">
        <f t="shared" si="2869"/>
        <v>0</v>
      </c>
      <c r="AU947" s="775">
        <f t="shared" si="2869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2870">SUM(BD368)</f>
        <v>0</v>
      </c>
      <c r="BE947" s="775">
        <f t="shared" si="2870"/>
        <v>0</v>
      </c>
      <c r="BF947" s="775">
        <f t="shared" si="2870"/>
        <v>0</v>
      </c>
      <c r="BG947" s="775">
        <f t="shared" si="2870"/>
        <v>0</v>
      </c>
      <c r="BH947" s="775">
        <f t="shared" si="2870"/>
        <v>0</v>
      </c>
      <c r="BI947" s="775">
        <f t="shared" si="2870"/>
        <v>0</v>
      </c>
      <c r="BJ947" s="775">
        <f t="shared" si="2870"/>
        <v>0</v>
      </c>
      <c r="BK947" s="775">
        <f t="shared" si="2870"/>
        <v>0</v>
      </c>
      <c r="BL947" s="775">
        <f t="shared" si="2870"/>
        <v>0</v>
      </c>
      <c r="BM947" s="775">
        <f t="shared" si="2870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2779"/>
        <v>0</v>
      </c>
      <c r="CA947" s="582">
        <f t="shared" si="2780"/>
        <v>0</v>
      </c>
      <c r="CB947" s="582">
        <f t="shared" si="2781"/>
        <v>0</v>
      </c>
      <c r="CC947" s="582">
        <f t="shared" si="2782"/>
        <v>0</v>
      </c>
      <c r="CD947" s="988">
        <f t="shared" si="2809"/>
        <v>0</v>
      </c>
      <c r="CE947" s="989">
        <f t="shared" si="2810"/>
        <v>0</v>
      </c>
      <c r="CF947" s="989">
        <f t="shared" si="2810"/>
        <v>0</v>
      </c>
      <c r="CG947" s="989">
        <f t="shared" si="2810"/>
        <v>0</v>
      </c>
      <c r="CH947" s="990">
        <f t="shared" si="2810"/>
        <v>0</v>
      </c>
      <c r="CI947" s="990">
        <f t="shared" si="2810"/>
        <v>0</v>
      </c>
      <c r="CJ947" s="989">
        <f t="shared" si="2810"/>
        <v>0</v>
      </c>
      <c r="CK947" s="989">
        <f t="shared" si="2810"/>
        <v>0</v>
      </c>
      <c r="CL947" s="989">
        <f t="shared" si="2810"/>
        <v>0</v>
      </c>
      <c r="CM947" s="988">
        <f t="shared" si="2810"/>
        <v>0</v>
      </c>
      <c r="CN947" s="533" t="str">
        <f t="shared" si="2784"/>
        <v/>
      </c>
      <c r="CO947" s="534" t="str">
        <f t="shared" si="2785"/>
        <v/>
      </c>
      <c r="CP947" s="535" t="str">
        <f t="shared" si="2786"/>
        <v/>
      </c>
      <c r="CQ947" s="535" t="str">
        <f t="shared" si="2787"/>
        <v/>
      </c>
      <c r="CR947" s="535">
        <f t="shared" si="2788"/>
        <v>0</v>
      </c>
      <c r="CS947" s="535">
        <f t="shared" si="2789"/>
        <v>0</v>
      </c>
      <c r="CT947" s="535">
        <f t="shared" si="2790"/>
        <v>0</v>
      </c>
      <c r="CU947" s="536">
        <f t="shared" si="2791"/>
        <v>0</v>
      </c>
      <c r="CV947" s="536">
        <f t="shared" si="2792"/>
        <v>0</v>
      </c>
      <c r="CW947" s="536">
        <f t="shared" si="2793"/>
        <v>0</v>
      </c>
      <c r="CX947" s="535">
        <f t="shared" si="2794"/>
        <v>0</v>
      </c>
      <c r="CY947" s="535">
        <f t="shared" si="2795"/>
        <v>0</v>
      </c>
      <c r="CZ947" s="535">
        <f t="shared" si="2796"/>
        <v>0</v>
      </c>
      <c r="DA947" s="535">
        <f t="shared" si="2797"/>
        <v>0</v>
      </c>
      <c r="DB947" s="535" t="str">
        <f t="shared" si="2798"/>
        <v/>
      </c>
      <c r="DC947" s="534" t="str">
        <f t="shared" si="2799"/>
        <v/>
      </c>
      <c r="DD947" s="533" t="str">
        <f t="shared" si="2800"/>
        <v/>
      </c>
      <c r="DE947" s="635">
        <f t="shared" si="2801"/>
        <v>10</v>
      </c>
      <c r="DF947" s="95">
        <f t="shared" si="2802"/>
        <v>10</v>
      </c>
      <c r="DG947" s="95">
        <f t="shared" si="2803"/>
        <v>10</v>
      </c>
      <c r="DH947" s="95">
        <f t="shared" si="2804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2871">SUM(B379)</f>
        <v>0</v>
      </c>
      <c r="C948" s="775">
        <f t="shared" si="2871"/>
        <v>0</v>
      </c>
      <c r="D948" s="775">
        <f t="shared" si="2871"/>
        <v>0</v>
      </c>
      <c r="E948" s="775">
        <f t="shared" si="2871"/>
        <v>0</v>
      </c>
      <c r="F948" s="775">
        <f t="shared" si="2871"/>
        <v>0</v>
      </c>
      <c r="G948" s="775">
        <f t="shared" si="2871"/>
        <v>0</v>
      </c>
      <c r="H948" s="775">
        <f t="shared" si="2871"/>
        <v>0</v>
      </c>
      <c r="I948" s="775">
        <f t="shared" si="2871"/>
        <v>0</v>
      </c>
      <c r="J948" s="775">
        <f t="shared" si="2871"/>
        <v>0</v>
      </c>
      <c r="K948" s="775">
        <f t="shared" si="2871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2872">SUM(T379)</f>
        <v>0</v>
      </c>
      <c r="U948" s="775">
        <f t="shared" si="2872"/>
        <v>0</v>
      </c>
      <c r="V948" s="775">
        <f t="shared" si="2872"/>
        <v>0</v>
      </c>
      <c r="W948" s="775">
        <f t="shared" si="2872"/>
        <v>0</v>
      </c>
      <c r="X948" s="775">
        <f t="shared" si="2872"/>
        <v>0</v>
      </c>
      <c r="Y948" s="775">
        <f t="shared" si="2872"/>
        <v>0</v>
      </c>
      <c r="Z948" s="775">
        <f t="shared" si="2872"/>
        <v>0</v>
      </c>
      <c r="AA948" s="775">
        <f t="shared" si="2872"/>
        <v>0</v>
      </c>
      <c r="AB948" s="775">
        <f t="shared" si="2872"/>
        <v>0</v>
      </c>
      <c r="AC948" s="775">
        <f t="shared" si="2872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2873">SUM(AL379)</f>
        <v>0</v>
      </c>
      <c r="AM948" s="775">
        <f t="shared" si="2873"/>
        <v>0</v>
      </c>
      <c r="AN948" s="775">
        <f t="shared" si="2873"/>
        <v>0</v>
      </c>
      <c r="AO948" s="775">
        <f t="shared" si="2873"/>
        <v>0</v>
      </c>
      <c r="AP948" s="775">
        <f t="shared" si="2873"/>
        <v>0</v>
      </c>
      <c r="AQ948" s="775">
        <f t="shared" si="2873"/>
        <v>0</v>
      </c>
      <c r="AR948" s="775">
        <f t="shared" si="2873"/>
        <v>0</v>
      </c>
      <c r="AS948" s="775">
        <f t="shared" si="2873"/>
        <v>0</v>
      </c>
      <c r="AT948" s="775">
        <f t="shared" si="2873"/>
        <v>0</v>
      </c>
      <c r="AU948" s="775">
        <f t="shared" si="2873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2874">SUM(BD379)</f>
        <v>0</v>
      </c>
      <c r="BE948" s="775">
        <f t="shared" si="2874"/>
        <v>0</v>
      </c>
      <c r="BF948" s="775">
        <f t="shared" si="2874"/>
        <v>0</v>
      </c>
      <c r="BG948" s="775">
        <f t="shared" si="2874"/>
        <v>0</v>
      </c>
      <c r="BH948" s="775">
        <f t="shared" si="2874"/>
        <v>0</v>
      </c>
      <c r="BI948" s="775">
        <f t="shared" si="2874"/>
        <v>0</v>
      </c>
      <c r="BJ948" s="775">
        <f t="shared" si="2874"/>
        <v>0</v>
      </c>
      <c r="BK948" s="775">
        <f t="shared" si="2874"/>
        <v>0</v>
      </c>
      <c r="BL948" s="775">
        <f t="shared" si="2874"/>
        <v>0</v>
      </c>
      <c r="BM948" s="775">
        <f t="shared" si="2874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2779"/>
        <v>0</v>
      </c>
      <c r="CA948" s="582">
        <f t="shared" si="2780"/>
        <v>0</v>
      </c>
      <c r="CB948" s="582">
        <f t="shared" si="2781"/>
        <v>0</v>
      </c>
      <c r="CC948" s="582">
        <f t="shared" si="2782"/>
        <v>0</v>
      </c>
      <c r="CD948" s="988">
        <f t="shared" si="2809"/>
        <v>0</v>
      </c>
      <c r="CE948" s="989">
        <f t="shared" ref="CE948:CM960" si="287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2875"/>
        <v>0</v>
      </c>
      <c r="CG948" s="989">
        <f t="shared" si="2875"/>
        <v>0</v>
      </c>
      <c r="CH948" s="990">
        <f t="shared" si="2875"/>
        <v>0</v>
      </c>
      <c r="CI948" s="990">
        <f t="shared" si="2875"/>
        <v>0</v>
      </c>
      <c r="CJ948" s="989">
        <f t="shared" si="2875"/>
        <v>0</v>
      </c>
      <c r="CK948" s="989">
        <f t="shared" si="2875"/>
        <v>0</v>
      </c>
      <c r="CL948" s="989">
        <f t="shared" si="2875"/>
        <v>0</v>
      </c>
      <c r="CM948" s="988">
        <f t="shared" si="2875"/>
        <v>0</v>
      </c>
      <c r="CN948" s="533" t="str">
        <f t="shared" si="2784"/>
        <v/>
      </c>
      <c r="CO948" s="534" t="str">
        <f t="shared" si="2785"/>
        <v/>
      </c>
      <c r="CP948" s="535" t="str">
        <f t="shared" si="2786"/>
        <v/>
      </c>
      <c r="CQ948" s="535" t="str">
        <f t="shared" si="2787"/>
        <v/>
      </c>
      <c r="CR948" s="535">
        <f t="shared" si="2788"/>
        <v>0</v>
      </c>
      <c r="CS948" s="535">
        <f t="shared" si="2789"/>
        <v>0</v>
      </c>
      <c r="CT948" s="535">
        <f t="shared" si="2790"/>
        <v>0</v>
      </c>
      <c r="CU948" s="536">
        <f t="shared" si="2791"/>
        <v>0</v>
      </c>
      <c r="CV948" s="536">
        <f t="shared" si="2792"/>
        <v>0</v>
      </c>
      <c r="CW948" s="536">
        <f t="shared" si="2793"/>
        <v>0</v>
      </c>
      <c r="CX948" s="535">
        <f t="shared" si="2794"/>
        <v>0</v>
      </c>
      <c r="CY948" s="535">
        <f t="shared" si="2795"/>
        <v>0</v>
      </c>
      <c r="CZ948" s="535">
        <f t="shared" si="2796"/>
        <v>0</v>
      </c>
      <c r="DA948" s="535">
        <f t="shared" si="2797"/>
        <v>0</v>
      </c>
      <c r="DB948" s="535" t="str">
        <f t="shared" si="2798"/>
        <v/>
      </c>
      <c r="DC948" s="534" t="str">
        <f t="shared" si="2799"/>
        <v/>
      </c>
      <c r="DD948" s="533" t="str">
        <f t="shared" si="2800"/>
        <v/>
      </c>
      <c r="DE948" s="635">
        <f t="shared" si="2801"/>
        <v>10</v>
      </c>
      <c r="DF948" s="95">
        <f t="shared" si="2802"/>
        <v>10</v>
      </c>
      <c r="DG948" s="95">
        <f t="shared" si="2803"/>
        <v>10</v>
      </c>
      <c r="DH948" s="95">
        <f t="shared" si="2804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2876">SUM(B389)</f>
        <v>0</v>
      </c>
      <c r="C949" s="775">
        <f t="shared" si="2876"/>
        <v>0</v>
      </c>
      <c r="D949" s="775">
        <f t="shared" si="2876"/>
        <v>0</v>
      </c>
      <c r="E949" s="775">
        <f t="shared" si="2876"/>
        <v>0</v>
      </c>
      <c r="F949" s="775">
        <f t="shared" si="2876"/>
        <v>0</v>
      </c>
      <c r="G949" s="775">
        <f t="shared" si="2876"/>
        <v>0</v>
      </c>
      <c r="H949" s="775">
        <f t="shared" si="2876"/>
        <v>0</v>
      </c>
      <c r="I949" s="775">
        <f t="shared" si="2876"/>
        <v>0</v>
      </c>
      <c r="J949" s="775">
        <f t="shared" si="2876"/>
        <v>0</v>
      </c>
      <c r="K949" s="775">
        <f t="shared" si="2876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2877">SUM(T389)</f>
        <v>0</v>
      </c>
      <c r="U949" s="775">
        <f t="shared" si="2877"/>
        <v>0</v>
      </c>
      <c r="V949" s="775">
        <f t="shared" si="2877"/>
        <v>0</v>
      </c>
      <c r="W949" s="775">
        <f t="shared" si="2877"/>
        <v>0</v>
      </c>
      <c r="X949" s="775">
        <f t="shared" si="2877"/>
        <v>0</v>
      </c>
      <c r="Y949" s="775">
        <f t="shared" si="2877"/>
        <v>0</v>
      </c>
      <c r="Z949" s="775">
        <f t="shared" si="2877"/>
        <v>0</v>
      </c>
      <c r="AA949" s="775">
        <f t="shared" si="2877"/>
        <v>0</v>
      </c>
      <c r="AB949" s="775">
        <f t="shared" si="2877"/>
        <v>0</v>
      </c>
      <c r="AC949" s="775">
        <f t="shared" si="2877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2878">SUM(AL389)</f>
        <v>0</v>
      </c>
      <c r="AM949" s="775">
        <f t="shared" si="2878"/>
        <v>0</v>
      </c>
      <c r="AN949" s="775">
        <f t="shared" si="2878"/>
        <v>0</v>
      </c>
      <c r="AO949" s="775">
        <f t="shared" si="2878"/>
        <v>0</v>
      </c>
      <c r="AP949" s="775">
        <f t="shared" si="2878"/>
        <v>0</v>
      </c>
      <c r="AQ949" s="775">
        <f t="shared" si="2878"/>
        <v>0</v>
      </c>
      <c r="AR949" s="775">
        <f t="shared" si="2878"/>
        <v>0</v>
      </c>
      <c r="AS949" s="775">
        <f t="shared" si="2878"/>
        <v>0</v>
      </c>
      <c r="AT949" s="775">
        <f t="shared" si="2878"/>
        <v>0</v>
      </c>
      <c r="AU949" s="775">
        <f t="shared" si="2878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2879">SUM(BD389)</f>
        <v>0</v>
      </c>
      <c r="BE949" s="775">
        <f t="shared" si="2879"/>
        <v>0</v>
      </c>
      <c r="BF949" s="775">
        <f t="shared" si="2879"/>
        <v>0</v>
      </c>
      <c r="BG949" s="775">
        <f t="shared" si="2879"/>
        <v>0</v>
      </c>
      <c r="BH949" s="775">
        <f t="shared" si="2879"/>
        <v>0</v>
      </c>
      <c r="BI949" s="775">
        <f t="shared" si="2879"/>
        <v>0</v>
      </c>
      <c r="BJ949" s="775">
        <f t="shared" si="2879"/>
        <v>0</v>
      </c>
      <c r="BK949" s="775">
        <f t="shared" si="2879"/>
        <v>0</v>
      </c>
      <c r="BL949" s="775">
        <f t="shared" si="2879"/>
        <v>0</v>
      </c>
      <c r="BM949" s="775">
        <f t="shared" si="2879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2779"/>
        <v>0</v>
      </c>
      <c r="CA949" s="582">
        <f t="shared" si="2780"/>
        <v>0</v>
      </c>
      <c r="CB949" s="582">
        <f t="shared" si="2781"/>
        <v>0</v>
      </c>
      <c r="CC949" s="582">
        <f t="shared" si="2782"/>
        <v>0</v>
      </c>
      <c r="CD949" s="988">
        <f t="shared" si="2809"/>
        <v>0</v>
      </c>
      <c r="CE949" s="989">
        <f t="shared" si="2875"/>
        <v>0</v>
      </c>
      <c r="CF949" s="989">
        <f t="shared" si="2875"/>
        <v>0</v>
      </c>
      <c r="CG949" s="989">
        <f t="shared" si="2875"/>
        <v>0</v>
      </c>
      <c r="CH949" s="990">
        <f t="shared" si="2875"/>
        <v>0</v>
      </c>
      <c r="CI949" s="990">
        <f t="shared" si="2875"/>
        <v>0</v>
      </c>
      <c r="CJ949" s="989">
        <f t="shared" si="2875"/>
        <v>0</v>
      </c>
      <c r="CK949" s="989">
        <f t="shared" si="2875"/>
        <v>0</v>
      </c>
      <c r="CL949" s="989">
        <f t="shared" si="2875"/>
        <v>0</v>
      </c>
      <c r="CM949" s="988">
        <f t="shared" si="2875"/>
        <v>0</v>
      </c>
      <c r="CN949" s="533" t="str">
        <f t="shared" si="2784"/>
        <v/>
      </c>
      <c r="CO949" s="534" t="str">
        <f t="shared" si="2785"/>
        <v/>
      </c>
      <c r="CP949" s="535" t="str">
        <f t="shared" si="2786"/>
        <v/>
      </c>
      <c r="CQ949" s="535" t="str">
        <f t="shared" si="2787"/>
        <v/>
      </c>
      <c r="CR949" s="535">
        <f t="shared" si="2788"/>
        <v>0</v>
      </c>
      <c r="CS949" s="535">
        <f t="shared" si="2789"/>
        <v>0</v>
      </c>
      <c r="CT949" s="535">
        <f t="shared" si="2790"/>
        <v>0</v>
      </c>
      <c r="CU949" s="536">
        <f t="shared" si="2791"/>
        <v>0</v>
      </c>
      <c r="CV949" s="536">
        <f t="shared" si="2792"/>
        <v>0</v>
      </c>
      <c r="CW949" s="536">
        <f t="shared" si="2793"/>
        <v>0</v>
      </c>
      <c r="CX949" s="535">
        <f t="shared" si="2794"/>
        <v>0</v>
      </c>
      <c r="CY949" s="535">
        <f t="shared" si="2795"/>
        <v>0</v>
      </c>
      <c r="CZ949" s="535">
        <f t="shared" si="2796"/>
        <v>0</v>
      </c>
      <c r="DA949" s="535">
        <f t="shared" si="2797"/>
        <v>0</v>
      </c>
      <c r="DB949" s="535" t="str">
        <f t="shared" si="2798"/>
        <v/>
      </c>
      <c r="DC949" s="534" t="str">
        <f t="shared" si="2799"/>
        <v/>
      </c>
      <c r="DD949" s="533" t="str">
        <f t="shared" si="2800"/>
        <v/>
      </c>
      <c r="DE949" s="635">
        <f t="shared" si="2801"/>
        <v>10</v>
      </c>
      <c r="DF949" s="95">
        <f t="shared" si="2802"/>
        <v>10</v>
      </c>
      <c r="DG949" s="95">
        <f t="shared" si="2803"/>
        <v>10</v>
      </c>
      <c r="DH949" s="95">
        <f t="shared" si="2804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2880">SUM(B394)</f>
        <v>0</v>
      </c>
      <c r="C950" s="775">
        <f t="shared" si="2880"/>
        <v>0</v>
      </c>
      <c r="D950" s="775">
        <f t="shared" si="2880"/>
        <v>0</v>
      </c>
      <c r="E950" s="775">
        <f t="shared" si="2880"/>
        <v>0</v>
      </c>
      <c r="F950" s="775">
        <f t="shared" si="2880"/>
        <v>0</v>
      </c>
      <c r="G950" s="775">
        <f t="shared" si="2880"/>
        <v>0</v>
      </c>
      <c r="H950" s="775">
        <f t="shared" si="2880"/>
        <v>0</v>
      </c>
      <c r="I950" s="775">
        <f t="shared" si="2880"/>
        <v>0</v>
      </c>
      <c r="J950" s="775">
        <f t="shared" si="2880"/>
        <v>0</v>
      </c>
      <c r="K950" s="775">
        <f t="shared" si="2880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2881">SUM(T394)</f>
        <v>0</v>
      </c>
      <c r="U950" s="775">
        <f t="shared" si="2881"/>
        <v>0</v>
      </c>
      <c r="V950" s="775">
        <f t="shared" si="2881"/>
        <v>0</v>
      </c>
      <c r="W950" s="775">
        <f t="shared" si="2881"/>
        <v>0</v>
      </c>
      <c r="X950" s="775">
        <f t="shared" si="2881"/>
        <v>0</v>
      </c>
      <c r="Y950" s="775">
        <f t="shared" si="2881"/>
        <v>0</v>
      </c>
      <c r="Z950" s="775">
        <f t="shared" si="2881"/>
        <v>0</v>
      </c>
      <c r="AA950" s="775">
        <f t="shared" si="2881"/>
        <v>0</v>
      </c>
      <c r="AB950" s="775">
        <f t="shared" si="2881"/>
        <v>0</v>
      </c>
      <c r="AC950" s="775">
        <f t="shared" si="2881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2882">SUM(AL394)</f>
        <v>0</v>
      </c>
      <c r="AM950" s="775">
        <f t="shared" si="2882"/>
        <v>0</v>
      </c>
      <c r="AN950" s="775">
        <f t="shared" si="2882"/>
        <v>0</v>
      </c>
      <c r="AO950" s="775">
        <f t="shared" si="2882"/>
        <v>0</v>
      </c>
      <c r="AP950" s="775">
        <f t="shared" si="2882"/>
        <v>0</v>
      </c>
      <c r="AQ950" s="775">
        <f t="shared" si="2882"/>
        <v>0</v>
      </c>
      <c r="AR950" s="775">
        <f t="shared" si="2882"/>
        <v>0</v>
      </c>
      <c r="AS950" s="775">
        <f t="shared" si="2882"/>
        <v>0</v>
      </c>
      <c r="AT950" s="775">
        <f t="shared" si="2882"/>
        <v>0</v>
      </c>
      <c r="AU950" s="775">
        <f t="shared" si="2882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2883">SUM(BD394)</f>
        <v>0</v>
      </c>
      <c r="BE950" s="775">
        <f t="shared" si="2883"/>
        <v>0</v>
      </c>
      <c r="BF950" s="775">
        <f t="shared" si="2883"/>
        <v>0</v>
      </c>
      <c r="BG950" s="775">
        <f t="shared" si="2883"/>
        <v>0</v>
      </c>
      <c r="BH950" s="775">
        <f t="shared" si="2883"/>
        <v>0</v>
      </c>
      <c r="BI950" s="775">
        <f t="shared" si="2883"/>
        <v>0</v>
      </c>
      <c r="BJ950" s="775">
        <f t="shared" si="2883"/>
        <v>0</v>
      </c>
      <c r="BK950" s="775">
        <f t="shared" si="2883"/>
        <v>0</v>
      </c>
      <c r="BL950" s="775">
        <f t="shared" si="2883"/>
        <v>0</v>
      </c>
      <c r="BM950" s="775">
        <f t="shared" si="2883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2779"/>
        <v>0</v>
      </c>
      <c r="CA950" s="582">
        <f t="shared" si="2780"/>
        <v>0</v>
      </c>
      <c r="CB950" s="582">
        <f t="shared" si="2781"/>
        <v>0</v>
      </c>
      <c r="CC950" s="582">
        <f t="shared" si="2782"/>
        <v>0</v>
      </c>
      <c r="CD950" s="988">
        <f t="shared" si="2809"/>
        <v>0</v>
      </c>
      <c r="CE950" s="989">
        <f t="shared" si="2875"/>
        <v>0</v>
      </c>
      <c r="CF950" s="989">
        <f t="shared" si="2875"/>
        <v>0</v>
      </c>
      <c r="CG950" s="989">
        <f t="shared" si="2875"/>
        <v>0</v>
      </c>
      <c r="CH950" s="990">
        <f t="shared" si="2875"/>
        <v>0</v>
      </c>
      <c r="CI950" s="990">
        <f t="shared" si="2875"/>
        <v>0</v>
      </c>
      <c r="CJ950" s="989">
        <f t="shared" si="2875"/>
        <v>0</v>
      </c>
      <c r="CK950" s="989">
        <f t="shared" si="2875"/>
        <v>0</v>
      </c>
      <c r="CL950" s="989">
        <f t="shared" si="2875"/>
        <v>0</v>
      </c>
      <c r="CM950" s="988">
        <f t="shared" si="2875"/>
        <v>0</v>
      </c>
      <c r="CN950" s="533" t="str">
        <f t="shared" si="2784"/>
        <v/>
      </c>
      <c r="CO950" s="534" t="str">
        <f t="shared" si="2785"/>
        <v/>
      </c>
      <c r="CP950" s="535" t="str">
        <f t="shared" si="2786"/>
        <v/>
      </c>
      <c r="CQ950" s="535" t="str">
        <f t="shared" si="2787"/>
        <v/>
      </c>
      <c r="CR950" s="535">
        <f t="shared" si="2788"/>
        <v>0</v>
      </c>
      <c r="CS950" s="535">
        <f t="shared" si="2789"/>
        <v>0</v>
      </c>
      <c r="CT950" s="535">
        <f t="shared" si="2790"/>
        <v>0</v>
      </c>
      <c r="CU950" s="536">
        <f t="shared" si="2791"/>
        <v>0</v>
      </c>
      <c r="CV950" s="536">
        <f t="shared" si="2792"/>
        <v>0</v>
      </c>
      <c r="CW950" s="536">
        <f t="shared" si="2793"/>
        <v>0</v>
      </c>
      <c r="CX950" s="535">
        <f t="shared" si="2794"/>
        <v>0</v>
      </c>
      <c r="CY950" s="535">
        <f t="shared" si="2795"/>
        <v>0</v>
      </c>
      <c r="CZ950" s="535">
        <f t="shared" si="2796"/>
        <v>0</v>
      </c>
      <c r="DA950" s="535">
        <f t="shared" si="2797"/>
        <v>0</v>
      </c>
      <c r="DB950" s="535" t="str">
        <f t="shared" si="2798"/>
        <v/>
      </c>
      <c r="DC950" s="534" t="str">
        <f t="shared" si="2799"/>
        <v/>
      </c>
      <c r="DD950" s="533" t="str">
        <f t="shared" si="2800"/>
        <v/>
      </c>
      <c r="DE950" s="635">
        <f t="shared" si="2801"/>
        <v>10</v>
      </c>
      <c r="DF950" s="95">
        <f t="shared" si="2802"/>
        <v>10</v>
      </c>
      <c r="DG950" s="95">
        <f t="shared" si="2803"/>
        <v>10</v>
      </c>
      <c r="DH950" s="95">
        <f t="shared" si="2804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2884">SUM(B397)</f>
        <v>0</v>
      </c>
      <c r="C951" s="775">
        <f t="shared" si="2884"/>
        <v>0</v>
      </c>
      <c r="D951" s="775">
        <f t="shared" si="2884"/>
        <v>0</v>
      </c>
      <c r="E951" s="775">
        <f t="shared" si="2884"/>
        <v>0</v>
      </c>
      <c r="F951" s="775">
        <f t="shared" si="2884"/>
        <v>0</v>
      </c>
      <c r="G951" s="775">
        <f t="shared" si="2884"/>
        <v>0</v>
      </c>
      <c r="H951" s="775">
        <f t="shared" si="2884"/>
        <v>0</v>
      </c>
      <c r="I951" s="775">
        <f t="shared" si="2884"/>
        <v>0</v>
      </c>
      <c r="J951" s="775">
        <f t="shared" si="2884"/>
        <v>0</v>
      </c>
      <c r="K951" s="775">
        <f t="shared" si="2884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2885">SUM(T397)</f>
        <v>0</v>
      </c>
      <c r="U951" s="775">
        <f t="shared" si="2885"/>
        <v>0</v>
      </c>
      <c r="V951" s="775">
        <f t="shared" si="2885"/>
        <v>0</v>
      </c>
      <c r="W951" s="775">
        <f t="shared" si="2885"/>
        <v>0</v>
      </c>
      <c r="X951" s="775">
        <f t="shared" si="2885"/>
        <v>0</v>
      </c>
      <c r="Y951" s="775">
        <f t="shared" si="2885"/>
        <v>0</v>
      </c>
      <c r="Z951" s="775">
        <f t="shared" si="2885"/>
        <v>0</v>
      </c>
      <c r="AA951" s="775">
        <f t="shared" si="2885"/>
        <v>0</v>
      </c>
      <c r="AB951" s="775">
        <f t="shared" si="2885"/>
        <v>0</v>
      </c>
      <c r="AC951" s="775">
        <f t="shared" si="2885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2886">SUM(AL397)</f>
        <v>0</v>
      </c>
      <c r="AM951" s="775">
        <f t="shared" si="2886"/>
        <v>0</v>
      </c>
      <c r="AN951" s="775">
        <f t="shared" si="2886"/>
        <v>0</v>
      </c>
      <c r="AO951" s="775">
        <f t="shared" si="2886"/>
        <v>0</v>
      </c>
      <c r="AP951" s="775">
        <f t="shared" si="2886"/>
        <v>0</v>
      </c>
      <c r="AQ951" s="775">
        <f t="shared" si="2886"/>
        <v>0</v>
      </c>
      <c r="AR951" s="775">
        <f t="shared" si="2886"/>
        <v>0</v>
      </c>
      <c r="AS951" s="775">
        <f t="shared" si="2886"/>
        <v>0</v>
      </c>
      <c r="AT951" s="775">
        <f t="shared" si="2886"/>
        <v>0</v>
      </c>
      <c r="AU951" s="775">
        <f t="shared" si="2886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2887">SUM(BD397)</f>
        <v>0</v>
      </c>
      <c r="BE951" s="775">
        <f t="shared" si="2887"/>
        <v>0</v>
      </c>
      <c r="BF951" s="775">
        <f t="shared" si="2887"/>
        <v>0</v>
      </c>
      <c r="BG951" s="775">
        <f t="shared" si="2887"/>
        <v>0</v>
      </c>
      <c r="BH951" s="775">
        <f t="shared" si="2887"/>
        <v>0</v>
      </c>
      <c r="BI951" s="775">
        <f t="shared" si="2887"/>
        <v>0</v>
      </c>
      <c r="BJ951" s="775">
        <f t="shared" si="2887"/>
        <v>0</v>
      </c>
      <c r="BK951" s="775">
        <f t="shared" si="2887"/>
        <v>0</v>
      </c>
      <c r="BL951" s="775">
        <f t="shared" si="2887"/>
        <v>0</v>
      </c>
      <c r="BM951" s="775">
        <f t="shared" si="2887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2779"/>
        <v>0</v>
      </c>
      <c r="CA951" s="582">
        <f t="shared" si="2780"/>
        <v>0</v>
      </c>
      <c r="CB951" s="582">
        <f t="shared" si="2781"/>
        <v>0</v>
      </c>
      <c r="CC951" s="582">
        <f t="shared" si="2782"/>
        <v>0</v>
      </c>
      <c r="CD951" s="988">
        <f t="shared" si="2809"/>
        <v>0</v>
      </c>
      <c r="CE951" s="989">
        <f t="shared" si="2875"/>
        <v>0</v>
      </c>
      <c r="CF951" s="989">
        <f t="shared" si="2875"/>
        <v>0</v>
      </c>
      <c r="CG951" s="989">
        <f t="shared" si="2875"/>
        <v>0</v>
      </c>
      <c r="CH951" s="990">
        <f t="shared" si="2875"/>
        <v>0</v>
      </c>
      <c r="CI951" s="990">
        <f t="shared" si="2875"/>
        <v>0</v>
      </c>
      <c r="CJ951" s="989">
        <f t="shared" si="2875"/>
        <v>0</v>
      </c>
      <c r="CK951" s="989">
        <f t="shared" si="2875"/>
        <v>0</v>
      </c>
      <c r="CL951" s="989">
        <f t="shared" si="2875"/>
        <v>0</v>
      </c>
      <c r="CM951" s="988">
        <f t="shared" si="2875"/>
        <v>0</v>
      </c>
      <c r="CN951" s="533" t="str">
        <f t="shared" si="2784"/>
        <v/>
      </c>
      <c r="CO951" s="534" t="str">
        <f t="shared" si="2785"/>
        <v/>
      </c>
      <c r="CP951" s="535" t="str">
        <f t="shared" si="2786"/>
        <v/>
      </c>
      <c r="CQ951" s="535" t="str">
        <f t="shared" si="2787"/>
        <v/>
      </c>
      <c r="CR951" s="535">
        <f t="shared" si="2788"/>
        <v>0</v>
      </c>
      <c r="CS951" s="535">
        <f t="shared" si="2789"/>
        <v>0</v>
      </c>
      <c r="CT951" s="535">
        <f t="shared" si="2790"/>
        <v>0</v>
      </c>
      <c r="CU951" s="536">
        <f t="shared" si="2791"/>
        <v>0</v>
      </c>
      <c r="CV951" s="536">
        <f t="shared" si="2792"/>
        <v>0</v>
      </c>
      <c r="CW951" s="536">
        <f t="shared" si="2793"/>
        <v>0</v>
      </c>
      <c r="CX951" s="535">
        <f t="shared" si="2794"/>
        <v>0</v>
      </c>
      <c r="CY951" s="535">
        <f t="shared" si="2795"/>
        <v>0</v>
      </c>
      <c r="CZ951" s="535">
        <f t="shared" si="2796"/>
        <v>0</v>
      </c>
      <c r="DA951" s="535">
        <f t="shared" si="2797"/>
        <v>0</v>
      </c>
      <c r="DB951" s="535" t="str">
        <f t="shared" si="2798"/>
        <v/>
      </c>
      <c r="DC951" s="534" t="str">
        <f t="shared" si="2799"/>
        <v/>
      </c>
      <c r="DD951" s="533" t="str">
        <f t="shared" si="2800"/>
        <v/>
      </c>
      <c r="DE951" s="635">
        <f t="shared" si="2801"/>
        <v>10</v>
      </c>
      <c r="DF951" s="95">
        <f t="shared" si="2802"/>
        <v>10</v>
      </c>
      <c r="DG951" s="95">
        <f t="shared" si="2803"/>
        <v>10</v>
      </c>
      <c r="DH951" s="95">
        <f t="shared" si="2804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2888">SUM(B400)</f>
        <v>0</v>
      </c>
      <c r="C952" s="775">
        <f t="shared" si="2888"/>
        <v>0</v>
      </c>
      <c r="D952" s="775">
        <f t="shared" si="2888"/>
        <v>0</v>
      </c>
      <c r="E952" s="775">
        <f t="shared" si="2888"/>
        <v>0</v>
      </c>
      <c r="F952" s="775">
        <f t="shared" si="2888"/>
        <v>0</v>
      </c>
      <c r="G952" s="775">
        <f t="shared" si="2888"/>
        <v>0</v>
      </c>
      <c r="H952" s="775">
        <f t="shared" si="2888"/>
        <v>0</v>
      </c>
      <c r="I952" s="775">
        <f t="shared" si="2888"/>
        <v>0</v>
      </c>
      <c r="J952" s="775">
        <f t="shared" si="2888"/>
        <v>0</v>
      </c>
      <c r="K952" s="775">
        <f t="shared" si="2888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2889">SUM(T400)</f>
        <v>0</v>
      </c>
      <c r="U952" s="775">
        <f t="shared" si="2889"/>
        <v>0</v>
      </c>
      <c r="V952" s="775">
        <f t="shared" si="2889"/>
        <v>0</v>
      </c>
      <c r="W952" s="775">
        <f t="shared" si="2889"/>
        <v>0</v>
      </c>
      <c r="X952" s="775">
        <f t="shared" si="2889"/>
        <v>0</v>
      </c>
      <c r="Y952" s="775">
        <f t="shared" si="2889"/>
        <v>0</v>
      </c>
      <c r="Z952" s="775">
        <f t="shared" si="2889"/>
        <v>0</v>
      </c>
      <c r="AA952" s="775">
        <f t="shared" si="2889"/>
        <v>0</v>
      </c>
      <c r="AB952" s="775">
        <f t="shared" si="2889"/>
        <v>0</v>
      </c>
      <c r="AC952" s="775">
        <f t="shared" si="2889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2890">SUM(AL400)</f>
        <v>0</v>
      </c>
      <c r="AM952" s="775">
        <f t="shared" si="2890"/>
        <v>0</v>
      </c>
      <c r="AN952" s="775">
        <f t="shared" si="2890"/>
        <v>0</v>
      </c>
      <c r="AO952" s="775">
        <f t="shared" si="2890"/>
        <v>0</v>
      </c>
      <c r="AP952" s="775">
        <f t="shared" si="2890"/>
        <v>0</v>
      </c>
      <c r="AQ952" s="775">
        <f t="shared" si="2890"/>
        <v>0</v>
      </c>
      <c r="AR952" s="775">
        <f t="shared" si="2890"/>
        <v>0</v>
      </c>
      <c r="AS952" s="775">
        <f t="shared" si="2890"/>
        <v>0</v>
      </c>
      <c r="AT952" s="775">
        <f t="shared" si="2890"/>
        <v>0</v>
      </c>
      <c r="AU952" s="775">
        <f t="shared" si="2890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2891">SUM(BD400)</f>
        <v>0</v>
      </c>
      <c r="BE952" s="775">
        <f t="shared" si="2891"/>
        <v>0</v>
      </c>
      <c r="BF952" s="775">
        <f t="shared" si="2891"/>
        <v>0</v>
      </c>
      <c r="BG952" s="775">
        <f t="shared" si="2891"/>
        <v>0</v>
      </c>
      <c r="BH952" s="775">
        <f t="shared" si="2891"/>
        <v>0</v>
      </c>
      <c r="BI952" s="775">
        <f t="shared" si="2891"/>
        <v>0</v>
      </c>
      <c r="BJ952" s="775">
        <f t="shared" si="2891"/>
        <v>0</v>
      </c>
      <c r="BK952" s="775">
        <f t="shared" si="2891"/>
        <v>0</v>
      </c>
      <c r="BL952" s="775">
        <f t="shared" si="2891"/>
        <v>0</v>
      </c>
      <c r="BM952" s="775">
        <f t="shared" si="2891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2779"/>
        <v>0</v>
      </c>
      <c r="CA952" s="582">
        <f t="shared" si="2780"/>
        <v>0</v>
      </c>
      <c r="CB952" s="582">
        <f t="shared" si="2781"/>
        <v>0</v>
      </c>
      <c r="CC952" s="582">
        <f t="shared" si="2782"/>
        <v>0</v>
      </c>
      <c r="CD952" s="988">
        <f t="shared" si="2809"/>
        <v>0</v>
      </c>
      <c r="CE952" s="989">
        <f t="shared" si="2875"/>
        <v>0</v>
      </c>
      <c r="CF952" s="989">
        <f t="shared" si="2875"/>
        <v>0</v>
      </c>
      <c r="CG952" s="989">
        <f t="shared" si="2875"/>
        <v>0</v>
      </c>
      <c r="CH952" s="990">
        <f t="shared" si="2875"/>
        <v>0</v>
      </c>
      <c r="CI952" s="990">
        <f t="shared" si="2875"/>
        <v>0</v>
      </c>
      <c r="CJ952" s="989">
        <f t="shared" si="2875"/>
        <v>0</v>
      </c>
      <c r="CK952" s="989">
        <f t="shared" si="2875"/>
        <v>0</v>
      </c>
      <c r="CL952" s="989">
        <f t="shared" si="2875"/>
        <v>0</v>
      </c>
      <c r="CM952" s="988">
        <f t="shared" si="2875"/>
        <v>0</v>
      </c>
      <c r="CN952" s="533" t="str">
        <f t="shared" si="2784"/>
        <v/>
      </c>
      <c r="CO952" s="534" t="str">
        <f t="shared" si="2785"/>
        <v/>
      </c>
      <c r="CP952" s="535" t="str">
        <f t="shared" si="2786"/>
        <v/>
      </c>
      <c r="CQ952" s="535" t="str">
        <f t="shared" si="2787"/>
        <v/>
      </c>
      <c r="CR952" s="535">
        <f t="shared" si="2788"/>
        <v>0</v>
      </c>
      <c r="CS952" s="535">
        <f t="shared" si="2789"/>
        <v>0</v>
      </c>
      <c r="CT952" s="535">
        <f t="shared" si="2790"/>
        <v>0</v>
      </c>
      <c r="CU952" s="536">
        <f t="shared" si="2791"/>
        <v>0</v>
      </c>
      <c r="CV952" s="536">
        <f t="shared" si="2792"/>
        <v>0</v>
      </c>
      <c r="CW952" s="536">
        <f t="shared" si="2793"/>
        <v>0</v>
      </c>
      <c r="CX952" s="535">
        <f t="shared" si="2794"/>
        <v>0</v>
      </c>
      <c r="CY952" s="535">
        <f t="shared" si="2795"/>
        <v>0</v>
      </c>
      <c r="CZ952" s="535">
        <f t="shared" si="2796"/>
        <v>0</v>
      </c>
      <c r="DA952" s="535">
        <f t="shared" si="2797"/>
        <v>0</v>
      </c>
      <c r="DB952" s="535" t="str">
        <f t="shared" si="2798"/>
        <v/>
      </c>
      <c r="DC952" s="534" t="str">
        <f t="shared" si="2799"/>
        <v/>
      </c>
      <c r="DD952" s="533" t="str">
        <f t="shared" si="2800"/>
        <v/>
      </c>
      <c r="DE952" s="635">
        <f t="shared" si="2801"/>
        <v>10</v>
      </c>
      <c r="DF952" s="95">
        <f t="shared" si="2802"/>
        <v>10</v>
      </c>
      <c r="DG952" s="95">
        <f t="shared" si="2803"/>
        <v>10</v>
      </c>
      <c r="DH952" s="95">
        <f t="shared" si="2804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2892">SUM(B403)</f>
        <v>0</v>
      </c>
      <c r="C953" s="775">
        <f t="shared" si="2892"/>
        <v>0</v>
      </c>
      <c r="D953" s="775">
        <f t="shared" si="2892"/>
        <v>0</v>
      </c>
      <c r="E953" s="775">
        <f t="shared" si="2892"/>
        <v>0</v>
      </c>
      <c r="F953" s="775">
        <f t="shared" si="2892"/>
        <v>0</v>
      </c>
      <c r="G953" s="775">
        <f t="shared" si="2892"/>
        <v>0</v>
      </c>
      <c r="H953" s="775">
        <f t="shared" si="2892"/>
        <v>0</v>
      </c>
      <c r="I953" s="775">
        <f t="shared" si="2892"/>
        <v>0</v>
      </c>
      <c r="J953" s="775">
        <f t="shared" si="2892"/>
        <v>0</v>
      </c>
      <c r="K953" s="775">
        <f t="shared" si="2892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2893">SUM(T403)</f>
        <v>0</v>
      </c>
      <c r="U953" s="775">
        <f t="shared" si="2893"/>
        <v>0</v>
      </c>
      <c r="V953" s="775">
        <f t="shared" si="2893"/>
        <v>0</v>
      </c>
      <c r="W953" s="775">
        <f t="shared" si="2893"/>
        <v>0</v>
      </c>
      <c r="X953" s="775">
        <f t="shared" si="2893"/>
        <v>0</v>
      </c>
      <c r="Y953" s="775">
        <f t="shared" si="2893"/>
        <v>0</v>
      </c>
      <c r="Z953" s="775">
        <f t="shared" si="2893"/>
        <v>0</v>
      </c>
      <c r="AA953" s="775">
        <f t="shared" si="2893"/>
        <v>0</v>
      </c>
      <c r="AB953" s="775">
        <f t="shared" si="2893"/>
        <v>0</v>
      </c>
      <c r="AC953" s="775">
        <f t="shared" si="2893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2894">SUM(AL403)</f>
        <v>0</v>
      </c>
      <c r="AM953" s="775">
        <f t="shared" si="2894"/>
        <v>0</v>
      </c>
      <c r="AN953" s="775">
        <f t="shared" si="2894"/>
        <v>0</v>
      </c>
      <c r="AO953" s="775">
        <f t="shared" si="2894"/>
        <v>0</v>
      </c>
      <c r="AP953" s="775">
        <f t="shared" si="2894"/>
        <v>0</v>
      </c>
      <c r="AQ953" s="775">
        <f t="shared" si="2894"/>
        <v>0</v>
      </c>
      <c r="AR953" s="775">
        <f t="shared" si="2894"/>
        <v>0</v>
      </c>
      <c r="AS953" s="775">
        <f t="shared" si="2894"/>
        <v>0</v>
      </c>
      <c r="AT953" s="775">
        <f t="shared" si="2894"/>
        <v>0</v>
      </c>
      <c r="AU953" s="775">
        <f t="shared" si="2894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2895">SUM(BD403)</f>
        <v>0</v>
      </c>
      <c r="BE953" s="775">
        <f t="shared" si="2895"/>
        <v>0</v>
      </c>
      <c r="BF953" s="775">
        <f t="shared" si="2895"/>
        <v>0</v>
      </c>
      <c r="BG953" s="775">
        <f t="shared" si="2895"/>
        <v>0</v>
      </c>
      <c r="BH953" s="775">
        <f t="shared" si="2895"/>
        <v>0</v>
      </c>
      <c r="BI953" s="775">
        <f t="shared" si="2895"/>
        <v>0</v>
      </c>
      <c r="BJ953" s="775">
        <f t="shared" si="2895"/>
        <v>0</v>
      </c>
      <c r="BK953" s="775">
        <f t="shared" si="2895"/>
        <v>0</v>
      </c>
      <c r="BL953" s="775">
        <f t="shared" si="2895"/>
        <v>0</v>
      </c>
      <c r="BM953" s="775">
        <f t="shared" si="2895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2779"/>
        <v>0</v>
      </c>
      <c r="CA953" s="582">
        <f t="shared" si="2780"/>
        <v>0</v>
      </c>
      <c r="CB953" s="582">
        <f t="shared" si="2781"/>
        <v>0</v>
      </c>
      <c r="CC953" s="582">
        <f t="shared" si="2782"/>
        <v>0</v>
      </c>
      <c r="CD953" s="988">
        <f t="shared" si="2809"/>
        <v>0</v>
      </c>
      <c r="CE953" s="989">
        <f t="shared" si="2875"/>
        <v>0</v>
      </c>
      <c r="CF953" s="989">
        <f t="shared" si="2875"/>
        <v>0</v>
      </c>
      <c r="CG953" s="989">
        <f t="shared" si="2875"/>
        <v>0</v>
      </c>
      <c r="CH953" s="990">
        <f t="shared" si="2875"/>
        <v>0</v>
      </c>
      <c r="CI953" s="990">
        <f t="shared" si="2875"/>
        <v>0</v>
      </c>
      <c r="CJ953" s="989">
        <f t="shared" si="2875"/>
        <v>0</v>
      </c>
      <c r="CK953" s="989">
        <f t="shared" si="2875"/>
        <v>0</v>
      </c>
      <c r="CL953" s="989">
        <f t="shared" si="2875"/>
        <v>0</v>
      </c>
      <c r="CM953" s="988">
        <f t="shared" si="2875"/>
        <v>0</v>
      </c>
      <c r="CN953" s="533" t="str">
        <f t="shared" si="2784"/>
        <v/>
      </c>
      <c r="CO953" s="534" t="str">
        <f t="shared" si="2785"/>
        <v/>
      </c>
      <c r="CP953" s="535" t="str">
        <f t="shared" si="2786"/>
        <v/>
      </c>
      <c r="CQ953" s="535" t="str">
        <f t="shared" si="2787"/>
        <v/>
      </c>
      <c r="CR953" s="535">
        <f t="shared" si="2788"/>
        <v>0</v>
      </c>
      <c r="CS953" s="535">
        <f t="shared" si="2789"/>
        <v>0</v>
      </c>
      <c r="CT953" s="535">
        <f t="shared" si="2790"/>
        <v>0</v>
      </c>
      <c r="CU953" s="536">
        <f t="shared" si="2791"/>
        <v>0</v>
      </c>
      <c r="CV953" s="536">
        <f t="shared" si="2792"/>
        <v>0</v>
      </c>
      <c r="CW953" s="536">
        <f t="shared" si="2793"/>
        <v>0</v>
      </c>
      <c r="CX953" s="535">
        <f t="shared" si="2794"/>
        <v>0</v>
      </c>
      <c r="CY953" s="535">
        <f t="shared" si="2795"/>
        <v>0</v>
      </c>
      <c r="CZ953" s="535">
        <f t="shared" si="2796"/>
        <v>0</v>
      </c>
      <c r="DA953" s="535">
        <f t="shared" si="2797"/>
        <v>0</v>
      </c>
      <c r="DB953" s="535" t="str">
        <f t="shared" si="2798"/>
        <v/>
      </c>
      <c r="DC953" s="534" t="str">
        <f t="shared" si="2799"/>
        <v/>
      </c>
      <c r="DD953" s="533" t="str">
        <f t="shared" si="2800"/>
        <v/>
      </c>
      <c r="DE953" s="635">
        <f t="shared" si="2801"/>
        <v>10</v>
      </c>
      <c r="DF953" s="95">
        <f t="shared" si="2802"/>
        <v>10</v>
      </c>
      <c r="DG953" s="95">
        <f t="shared" si="2803"/>
        <v>10</v>
      </c>
      <c r="DH953" s="95">
        <f t="shared" si="2804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2896">SUM(B406)</f>
        <v>0</v>
      </c>
      <c r="C954" s="775">
        <f t="shared" si="2896"/>
        <v>0</v>
      </c>
      <c r="D954" s="775">
        <f t="shared" si="2896"/>
        <v>0</v>
      </c>
      <c r="E954" s="775">
        <f t="shared" si="2896"/>
        <v>0</v>
      </c>
      <c r="F954" s="775">
        <f t="shared" si="2896"/>
        <v>0</v>
      </c>
      <c r="G954" s="775">
        <f t="shared" si="2896"/>
        <v>0</v>
      </c>
      <c r="H954" s="775">
        <f t="shared" si="2896"/>
        <v>0</v>
      </c>
      <c r="I954" s="775">
        <f t="shared" si="2896"/>
        <v>0</v>
      </c>
      <c r="J954" s="775">
        <f t="shared" si="2896"/>
        <v>0</v>
      </c>
      <c r="K954" s="775">
        <f t="shared" si="2896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2897">SUM(T406)</f>
        <v>0</v>
      </c>
      <c r="U954" s="775">
        <f t="shared" si="2897"/>
        <v>0</v>
      </c>
      <c r="V954" s="775">
        <f t="shared" si="2897"/>
        <v>0</v>
      </c>
      <c r="W954" s="775">
        <f t="shared" si="2897"/>
        <v>0</v>
      </c>
      <c r="X954" s="775">
        <f t="shared" si="2897"/>
        <v>0</v>
      </c>
      <c r="Y954" s="775">
        <f t="shared" si="2897"/>
        <v>0</v>
      </c>
      <c r="Z954" s="775">
        <f t="shared" si="2897"/>
        <v>0</v>
      </c>
      <c r="AA954" s="775">
        <f t="shared" si="2897"/>
        <v>0</v>
      </c>
      <c r="AB954" s="775">
        <f t="shared" si="2897"/>
        <v>0</v>
      </c>
      <c r="AC954" s="775">
        <f t="shared" si="2897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2898">SUM(AL406)</f>
        <v>0</v>
      </c>
      <c r="AM954" s="775">
        <f t="shared" si="2898"/>
        <v>0</v>
      </c>
      <c r="AN954" s="775">
        <f t="shared" si="2898"/>
        <v>0</v>
      </c>
      <c r="AO954" s="775">
        <f t="shared" si="2898"/>
        <v>0</v>
      </c>
      <c r="AP954" s="775">
        <f t="shared" si="2898"/>
        <v>0</v>
      </c>
      <c r="AQ954" s="775">
        <f t="shared" si="2898"/>
        <v>0</v>
      </c>
      <c r="AR954" s="775">
        <f t="shared" si="2898"/>
        <v>0</v>
      </c>
      <c r="AS954" s="775">
        <f t="shared" si="2898"/>
        <v>0</v>
      </c>
      <c r="AT954" s="775">
        <f t="shared" si="2898"/>
        <v>0</v>
      </c>
      <c r="AU954" s="775">
        <f t="shared" si="2898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2899">SUM(BD406)</f>
        <v>0</v>
      </c>
      <c r="BE954" s="775">
        <f t="shared" si="2899"/>
        <v>0</v>
      </c>
      <c r="BF954" s="775">
        <f t="shared" si="2899"/>
        <v>0</v>
      </c>
      <c r="BG954" s="775">
        <f t="shared" si="2899"/>
        <v>0</v>
      </c>
      <c r="BH954" s="775">
        <f t="shared" si="2899"/>
        <v>0</v>
      </c>
      <c r="BI954" s="775">
        <f t="shared" si="2899"/>
        <v>0</v>
      </c>
      <c r="BJ954" s="775">
        <f t="shared" si="2899"/>
        <v>0</v>
      </c>
      <c r="BK954" s="775">
        <f t="shared" si="2899"/>
        <v>0</v>
      </c>
      <c r="BL954" s="775">
        <f t="shared" si="2899"/>
        <v>0</v>
      </c>
      <c r="BM954" s="775">
        <f t="shared" si="2899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2779"/>
        <v>0</v>
      </c>
      <c r="CA954" s="582">
        <f t="shared" si="2780"/>
        <v>0</v>
      </c>
      <c r="CB954" s="582">
        <f t="shared" si="2781"/>
        <v>0</v>
      </c>
      <c r="CC954" s="582">
        <f t="shared" si="2782"/>
        <v>0</v>
      </c>
      <c r="CD954" s="988">
        <f t="shared" si="2809"/>
        <v>0</v>
      </c>
      <c r="CE954" s="989">
        <f t="shared" si="2875"/>
        <v>0</v>
      </c>
      <c r="CF954" s="989">
        <f t="shared" si="2875"/>
        <v>0</v>
      </c>
      <c r="CG954" s="989">
        <f t="shared" si="2875"/>
        <v>0</v>
      </c>
      <c r="CH954" s="990">
        <f t="shared" si="2875"/>
        <v>0</v>
      </c>
      <c r="CI954" s="990">
        <f t="shared" si="2875"/>
        <v>0</v>
      </c>
      <c r="CJ954" s="989">
        <f t="shared" si="2875"/>
        <v>0</v>
      </c>
      <c r="CK954" s="989">
        <f t="shared" si="2875"/>
        <v>0</v>
      </c>
      <c r="CL954" s="989">
        <f t="shared" si="2875"/>
        <v>0</v>
      </c>
      <c r="CM954" s="988">
        <f t="shared" si="2875"/>
        <v>0</v>
      </c>
      <c r="CN954" s="533" t="str">
        <f t="shared" si="2784"/>
        <v/>
      </c>
      <c r="CO954" s="534" t="str">
        <f t="shared" si="2785"/>
        <v/>
      </c>
      <c r="CP954" s="535" t="str">
        <f t="shared" si="2786"/>
        <v/>
      </c>
      <c r="CQ954" s="535" t="str">
        <f t="shared" si="2787"/>
        <v/>
      </c>
      <c r="CR954" s="535">
        <f t="shared" si="2788"/>
        <v>0</v>
      </c>
      <c r="CS954" s="535">
        <f t="shared" si="2789"/>
        <v>0</v>
      </c>
      <c r="CT954" s="535">
        <f t="shared" si="2790"/>
        <v>0</v>
      </c>
      <c r="CU954" s="536">
        <f t="shared" si="2791"/>
        <v>0</v>
      </c>
      <c r="CV954" s="536">
        <f t="shared" si="2792"/>
        <v>0</v>
      </c>
      <c r="CW954" s="536">
        <f t="shared" si="2793"/>
        <v>0</v>
      </c>
      <c r="CX954" s="535">
        <f t="shared" si="2794"/>
        <v>0</v>
      </c>
      <c r="CY954" s="535">
        <f t="shared" si="2795"/>
        <v>0</v>
      </c>
      <c r="CZ954" s="535">
        <f t="shared" si="2796"/>
        <v>0</v>
      </c>
      <c r="DA954" s="535">
        <f t="shared" si="2797"/>
        <v>0</v>
      </c>
      <c r="DB954" s="535" t="str">
        <f t="shared" si="2798"/>
        <v/>
      </c>
      <c r="DC954" s="534" t="str">
        <f t="shared" si="2799"/>
        <v/>
      </c>
      <c r="DD954" s="533" t="str">
        <f t="shared" si="2800"/>
        <v/>
      </c>
      <c r="DE954" s="635">
        <f t="shared" si="2801"/>
        <v>10</v>
      </c>
      <c r="DF954" s="95">
        <f t="shared" si="2802"/>
        <v>10</v>
      </c>
      <c r="DG954" s="95">
        <f t="shared" si="2803"/>
        <v>10</v>
      </c>
      <c r="DH954" s="95">
        <f t="shared" si="2804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2900">SUM(B409)</f>
        <v>0</v>
      </c>
      <c r="C955" s="775">
        <f t="shared" si="2900"/>
        <v>0</v>
      </c>
      <c r="D955" s="775">
        <f t="shared" si="2900"/>
        <v>0</v>
      </c>
      <c r="E955" s="775">
        <f t="shared" si="2900"/>
        <v>0</v>
      </c>
      <c r="F955" s="775">
        <f t="shared" si="2900"/>
        <v>0</v>
      </c>
      <c r="G955" s="775">
        <f t="shared" si="2900"/>
        <v>0</v>
      </c>
      <c r="H955" s="775">
        <f t="shared" si="2900"/>
        <v>0</v>
      </c>
      <c r="I955" s="775">
        <f t="shared" si="2900"/>
        <v>0</v>
      </c>
      <c r="J955" s="775">
        <f t="shared" si="2900"/>
        <v>0</v>
      </c>
      <c r="K955" s="775">
        <f t="shared" si="2900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2901">SUM(T409)</f>
        <v>0</v>
      </c>
      <c r="U955" s="775">
        <f t="shared" si="2901"/>
        <v>0</v>
      </c>
      <c r="V955" s="775">
        <f t="shared" si="2901"/>
        <v>0</v>
      </c>
      <c r="W955" s="775">
        <f t="shared" si="2901"/>
        <v>0</v>
      </c>
      <c r="X955" s="775">
        <f t="shared" si="2901"/>
        <v>0</v>
      </c>
      <c r="Y955" s="775">
        <f t="shared" si="2901"/>
        <v>0</v>
      </c>
      <c r="Z955" s="775">
        <f t="shared" si="2901"/>
        <v>0</v>
      </c>
      <c r="AA955" s="775">
        <f t="shared" si="2901"/>
        <v>0</v>
      </c>
      <c r="AB955" s="775">
        <f t="shared" si="2901"/>
        <v>0</v>
      </c>
      <c r="AC955" s="775">
        <f t="shared" si="2901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2902">SUM(AL409)</f>
        <v>0</v>
      </c>
      <c r="AM955" s="775">
        <f t="shared" si="2902"/>
        <v>0</v>
      </c>
      <c r="AN955" s="775">
        <f t="shared" si="2902"/>
        <v>0</v>
      </c>
      <c r="AO955" s="775">
        <f t="shared" si="2902"/>
        <v>0</v>
      </c>
      <c r="AP955" s="775">
        <f t="shared" si="2902"/>
        <v>0</v>
      </c>
      <c r="AQ955" s="775">
        <f t="shared" si="2902"/>
        <v>0</v>
      </c>
      <c r="AR955" s="775">
        <f t="shared" si="2902"/>
        <v>0</v>
      </c>
      <c r="AS955" s="775">
        <f t="shared" si="2902"/>
        <v>0</v>
      </c>
      <c r="AT955" s="775">
        <f t="shared" si="2902"/>
        <v>0</v>
      </c>
      <c r="AU955" s="775">
        <f t="shared" si="2902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2903">SUM(BD409)</f>
        <v>0</v>
      </c>
      <c r="BE955" s="775">
        <f t="shared" si="2903"/>
        <v>0</v>
      </c>
      <c r="BF955" s="775">
        <f t="shared" si="2903"/>
        <v>0</v>
      </c>
      <c r="BG955" s="775">
        <f t="shared" si="2903"/>
        <v>0</v>
      </c>
      <c r="BH955" s="775">
        <f t="shared" si="2903"/>
        <v>0</v>
      </c>
      <c r="BI955" s="775">
        <f t="shared" si="2903"/>
        <v>0</v>
      </c>
      <c r="BJ955" s="775">
        <f t="shared" si="2903"/>
        <v>0</v>
      </c>
      <c r="BK955" s="775">
        <f t="shared" si="2903"/>
        <v>0</v>
      </c>
      <c r="BL955" s="775">
        <f t="shared" si="2903"/>
        <v>0</v>
      </c>
      <c r="BM955" s="775">
        <f t="shared" si="2903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2779"/>
        <v>0</v>
      </c>
      <c r="CA955" s="582">
        <f t="shared" si="2780"/>
        <v>0</v>
      </c>
      <c r="CB955" s="582">
        <f t="shared" si="2781"/>
        <v>0</v>
      </c>
      <c r="CC955" s="582">
        <f t="shared" si="2782"/>
        <v>0</v>
      </c>
      <c r="CD955" s="988">
        <f t="shared" si="2809"/>
        <v>0</v>
      </c>
      <c r="CE955" s="989">
        <f t="shared" si="2875"/>
        <v>0</v>
      </c>
      <c r="CF955" s="989">
        <f t="shared" si="2875"/>
        <v>0</v>
      </c>
      <c r="CG955" s="989">
        <f t="shared" si="2875"/>
        <v>0</v>
      </c>
      <c r="CH955" s="990">
        <f t="shared" si="2875"/>
        <v>0</v>
      </c>
      <c r="CI955" s="990">
        <f t="shared" si="2875"/>
        <v>0</v>
      </c>
      <c r="CJ955" s="989">
        <f t="shared" si="2875"/>
        <v>0</v>
      </c>
      <c r="CK955" s="989">
        <f t="shared" si="2875"/>
        <v>0</v>
      </c>
      <c r="CL955" s="989">
        <f t="shared" si="2875"/>
        <v>0</v>
      </c>
      <c r="CM955" s="988">
        <f t="shared" si="2875"/>
        <v>0</v>
      </c>
      <c r="CN955" s="533" t="str">
        <f t="shared" si="2784"/>
        <v/>
      </c>
      <c r="CO955" s="534" t="str">
        <f t="shared" si="2785"/>
        <v/>
      </c>
      <c r="CP955" s="535" t="str">
        <f t="shared" si="2786"/>
        <v/>
      </c>
      <c r="CQ955" s="535" t="str">
        <f t="shared" si="2787"/>
        <v/>
      </c>
      <c r="CR955" s="535">
        <f t="shared" si="2788"/>
        <v>0</v>
      </c>
      <c r="CS955" s="535">
        <f t="shared" si="2789"/>
        <v>0</v>
      </c>
      <c r="CT955" s="535">
        <f t="shared" si="2790"/>
        <v>0</v>
      </c>
      <c r="CU955" s="536">
        <f t="shared" si="2791"/>
        <v>0</v>
      </c>
      <c r="CV955" s="536">
        <f t="shared" si="2792"/>
        <v>0</v>
      </c>
      <c r="CW955" s="536">
        <f t="shared" si="2793"/>
        <v>0</v>
      </c>
      <c r="CX955" s="535">
        <f t="shared" si="2794"/>
        <v>0</v>
      </c>
      <c r="CY955" s="535">
        <f t="shared" si="2795"/>
        <v>0</v>
      </c>
      <c r="CZ955" s="535">
        <f t="shared" si="2796"/>
        <v>0</v>
      </c>
      <c r="DA955" s="535">
        <f t="shared" si="2797"/>
        <v>0</v>
      </c>
      <c r="DB955" s="535" t="str">
        <f t="shared" si="2798"/>
        <v/>
      </c>
      <c r="DC955" s="534" t="str">
        <f t="shared" si="2799"/>
        <v/>
      </c>
      <c r="DD955" s="533" t="str">
        <f t="shared" si="2800"/>
        <v/>
      </c>
      <c r="DE955" s="635">
        <f t="shared" si="2801"/>
        <v>10</v>
      </c>
      <c r="DF955" s="95">
        <f t="shared" si="2802"/>
        <v>10</v>
      </c>
      <c r="DG955" s="95">
        <f t="shared" si="2803"/>
        <v>10</v>
      </c>
      <c r="DH955" s="95">
        <f t="shared" si="2804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2904">SUM(B412)</f>
        <v>0</v>
      </c>
      <c r="C956" s="775">
        <f t="shared" si="2904"/>
        <v>0</v>
      </c>
      <c r="D956" s="775">
        <f t="shared" si="2904"/>
        <v>0</v>
      </c>
      <c r="E956" s="775">
        <f t="shared" si="2904"/>
        <v>0</v>
      </c>
      <c r="F956" s="775">
        <f t="shared" si="2904"/>
        <v>0</v>
      </c>
      <c r="G956" s="775">
        <f t="shared" si="2904"/>
        <v>0</v>
      </c>
      <c r="H956" s="775">
        <f t="shared" si="2904"/>
        <v>0</v>
      </c>
      <c r="I956" s="775">
        <f t="shared" si="2904"/>
        <v>0</v>
      </c>
      <c r="J956" s="775">
        <f t="shared" si="2904"/>
        <v>0</v>
      </c>
      <c r="K956" s="775">
        <f t="shared" si="2904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2905">SUM(T412)</f>
        <v>0</v>
      </c>
      <c r="U956" s="775">
        <f t="shared" si="2905"/>
        <v>0</v>
      </c>
      <c r="V956" s="775">
        <f t="shared" si="2905"/>
        <v>0</v>
      </c>
      <c r="W956" s="775">
        <f t="shared" si="2905"/>
        <v>0</v>
      </c>
      <c r="X956" s="775">
        <f t="shared" si="2905"/>
        <v>0</v>
      </c>
      <c r="Y956" s="775">
        <f t="shared" si="2905"/>
        <v>0</v>
      </c>
      <c r="Z956" s="775">
        <f t="shared" si="2905"/>
        <v>0</v>
      </c>
      <c r="AA956" s="775">
        <f t="shared" si="2905"/>
        <v>0</v>
      </c>
      <c r="AB956" s="775">
        <f t="shared" si="2905"/>
        <v>0</v>
      </c>
      <c r="AC956" s="775">
        <f t="shared" si="2905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2906">SUM(AL412)</f>
        <v>0</v>
      </c>
      <c r="AM956" s="775">
        <f t="shared" si="2906"/>
        <v>0</v>
      </c>
      <c r="AN956" s="775">
        <f t="shared" si="2906"/>
        <v>0</v>
      </c>
      <c r="AO956" s="775">
        <f t="shared" si="2906"/>
        <v>0</v>
      </c>
      <c r="AP956" s="775">
        <f t="shared" si="2906"/>
        <v>0</v>
      </c>
      <c r="AQ956" s="775">
        <f t="shared" si="2906"/>
        <v>0</v>
      </c>
      <c r="AR956" s="775">
        <f t="shared" si="2906"/>
        <v>0</v>
      </c>
      <c r="AS956" s="775">
        <f t="shared" si="2906"/>
        <v>0</v>
      </c>
      <c r="AT956" s="775">
        <f t="shared" si="2906"/>
        <v>0</v>
      </c>
      <c r="AU956" s="775">
        <f t="shared" si="2906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2907">SUM(BD412)</f>
        <v>0</v>
      </c>
      <c r="BE956" s="775">
        <f t="shared" si="2907"/>
        <v>0</v>
      </c>
      <c r="BF956" s="775">
        <f t="shared" si="2907"/>
        <v>0</v>
      </c>
      <c r="BG956" s="775">
        <f t="shared" si="2907"/>
        <v>0</v>
      </c>
      <c r="BH956" s="775">
        <f t="shared" si="2907"/>
        <v>0</v>
      </c>
      <c r="BI956" s="775">
        <f t="shared" si="2907"/>
        <v>0</v>
      </c>
      <c r="BJ956" s="775">
        <f t="shared" si="2907"/>
        <v>0</v>
      </c>
      <c r="BK956" s="775">
        <f t="shared" si="2907"/>
        <v>0</v>
      </c>
      <c r="BL956" s="775">
        <f t="shared" si="2907"/>
        <v>0</v>
      </c>
      <c r="BM956" s="775">
        <f t="shared" si="2907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2779"/>
        <v>0</v>
      </c>
      <c r="CA956" s="582">
        <f t="shared" si="2780"/>
        <v>0</v>
      </c>
      <c r="CB956" s="582">
        <f t="shared" si="2781"/>
        <v>0</v>
      </c>
      <c r="CC956" s="582">
        <f t="shared" si="2782"/>
        <v>0</v>
      </c>
      <c r="CD956" s="988">
        <f t="shared" si="2809"/>
        <v>0</v>
      </c>
      <c r="CE956" s="989">
        <f t="shared" si="2875"/>
        <v>0</v>
      </c>
      <c r="CF956" s="989">
        <f t="shared" si="2875"/>
        <v>0</v>
      </c>
      <c r="CG956" s="989">
        <f t="shared" si="2875"/>
        <v>0</v>
      </c>
      <c r="CH956" s="990">
        <f t="shared" si="2875"/>
        <v>0</v>
      </c>
      <c r="CI956" s="990">
        <f t="shared" si="2875"/>
        <v>0</v>
      </c>
      <c r="CJ956" s="989">
        <f t="shared" si="2875"/>
        <v>0</v>
      </c>
      <c r="CK956" s="989">
        <f t="shared" si="2875"/>
        <v>0</v>
      </c>
      <c r="CL956" s="989">
        <f t="shared" si="2875"/>
        <v>0</v>
      </c>
      <c r="CM956" s="988">
        <f t="shared" si="2875"/>
        <v>0</v>
      </c>
      <c r="CN956" s="533" t="str">
        <f t="shared" si="2784"/>
        <v/>
      </c>
      <c r="CO956" s="534" t="str">
        <f t="shared" si="2785"/>
        <v/>
      </c>
      <c r="CP956" s="535" t="str">
        <f t="shared" si="2786"/>
        <v/>
      </c>
      <c r="CQ956" s="535" t="str">
        <f t="shared" si="2787"/>
        <v/>
      </c>
      <c r="CR956" s="535">
        <f t="shared" si="2788"/>
        <v>0</v>
      </c>
      <c r="CS956" s="535">
        <f t="shared" si="2789"/>
        <v>0</v>
      </c>
      <c r="CT956" s="535">
        <f t="shared" si="2790"/>
        <v>0</v>
      </c>
      <c r="CU956" s="536">
        <f t="shared" si="2791"/>
        <v>0</v>
      </c>
      <c r="CV956" s="536">
        <f t="shared" si="2792"/>
        <v>0</v>
      </c>
      <c r="CW956" s="536">
        <f t="shared" si="2793"/>
        <v>0</v>
      </c>
      <c r="CX956" s="535">
        <f t="shared" si="2794"/>
        <v>0</v>
      </c>
      <c r="CY956" s="535">
        <f t="shared" si="2795"/>
        <v>0</v>
      </c>
      <c r="CZ956" s="535">
        <f t="shared" si="2796"/>
        <v>0</v>
      </c>
      <c r="DA956" s="535">
        <f t="shared" si="2797"/>
        <v>0</v>
      </c>
      <c r="DB956" s="535" t="str">
        <f t="shared" si="2798"/>
        <v/>
      </c>
      <c r="DC956" s="534" t="str">
        <f t="shared" si="2799"/>
        <v/>
      </c>
      <c r="DD956" s="533" t="str">
        <f t="shared" si="2800"/>
        <v/>
      </c>
      <c r="DE956" s="635">
        <f t="shared" si="2801"/>
        <v>10</v>
      </c>
      <c r="DF956" s="95">
        <f t="shared" si="2802"/>
        <v>10</v>
      </c>
      <c r="DG956" s="95">
        <f t="shared" si="2803"/>
        <v>10</v>
      </c>
      <c r="DH956" s="95">
        <f t="shared" si="2804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2908">SUM(B415)</f>
        <v>0</v>
      </c>
      <c r="C957" s="775">
        <f t="shared" si="2908"/>
        <v>0</v>
      </c>
      <c r="D957" s="775">
        <f t="shared" si="2908"/>
        <v>0</v>
      </c>
      <c r="E957" s="775">
        <f t="shared" si="2908"/>
        <v>0</v>
      </c>
      <c r="F957" s="775">
        <f t="shared" si="2908"/>
        <v>0</v>
      </c>
      <c r="G957" s="775">
        <f t="shared" si="2908"/>
        <v>0</v>
      </c>
      <c r="H957" s="775">
        <f t="shared" si="2908"/>
        <v>0</v>
      </c>
      <c r="I957" s="775">
        <f t="shared" si="2908"/>
        <v>0</v>
      </c>
      <c r="J957" s="775">
        <f t="shared" si="2908"/>
        <v>0</v>
      </c>
      <c r="K957" s="775">
        <f t="shared" si="2908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2909">SUM(T415)</f>
        <v>0</v>
      </c>
      <c r="U957" s="775">
        <f t="shared" si="2909"/>
        <v>0</v>
      </c>
      <c r="V957" s="775">
        <f t="shared" si="2909"/>
        <v>0</v>
      </c>
      <c r="W957" s="775">
        <f t="shared" si="2909"/>
        <v>0</v>
      </c>
      <c r="X957" s="775">
        <f t="shared" si="2909"/>
        <v>0</v>
      </c>
      <c r="Y957" s="775">
        <f t="shared" si="2909"/>
        <v>0</v>
      </c>
      <c r="Z957" s="775">
        <f t="shared" si="2909"/>
        <v>0</v>
      </c>
      <c r="AA957" s="775">
        <f t="shared" si="2909"/>
        <v>0</v>
      </c>
      <c r="AB957" s="775">
        <f t="shared" si="2909"/>
        <v>0</v>
      </c>
      <c r="AC957" s="775">
        <f t="shared" si="2909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2910">SUM(AL415)</f>
        <v>0</v>
      </c>
      <c r="AM957" s="775">
        <f t="shared" si="2910"/>
        <v>0</v>
      </c>
      <c r="AN957" s="775">
        <f t="shared" si="2910"/>
        <v>0</v>
      </c>
      <c r="AO957" s="775">
        <f t="shared" si="2910"/>
        <v>0</v>
      </c>
      <c r="AP957" s="775">
        <f t="shared" si="2910"/>
        <v>0</v>
      </c>
      <c r="AQ957" s="775">
        <f t="shared" si="2910"/>
        <v>0</v>
      </c>
      <c r="AR957" s="775">
        <f t="shared" si="2910"/>
        <v>0</v>
      </c>
      <c r="AS957" s="775">
        <f t="shared" si="2910"/>
        <v>0</v>
      </c>
      <c r="AT957" s="775">
        <f t="shared" si="2910"/>
        <v>0</v>
      </c>
      <c r="AU957" s="775">
        <f t="shared" si="2910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2911">SUM(BD415)</f>
        <v>0</v>
      </c>
      <c r="BE957" s="775">
        <f t="shared" si="2911"/>
        <v>0</v>
      </c>
      <c r="BF957" s="775">
        <f t="shared" si="2911"/>
        <v>0</v>
      </c>
      <c r="BG957" s="775">
        <f t="shared" si="2911"/>
        <v>0</v>
      </c>
      <c r="BH957" s="775">
        <f t="shared" si="2911"/>
        <v>0</v>
      </c>
      <c r="BI957" s="775">
        <f t="shared" si="2911"/>
        <v>0</v>
      </c>
      <c r="BJ957" s="775">
        <f t="shared" si="2911"/>
        <v>0</v>
      </c>
      <c r="BK957" s="775">
        <f t="shared" si="2911"/>
        <v>0</v>
      </c>
      <c r="BL957" s="775">
        <f t="shared" si="2911"/>
        <v>0</v>
      </c>
      <c r="BM957" s="775">
        <f t="shared" si="2911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2779"/>
        <v>0</v>
      </c>
      <c r="CA957" s="582">
        <f t="shared" si="2780"/>
        <v>0</v>
      </c>
      <c r="CB957" s="582">
        <f t="shared" si="2781"/>
        <v>0</v>
      </c>
      <c r="CC957" s="582">
        <f t="shared" si="2782"/>
        <v>0</v>
      </c>
      <c r="CD957" s="988">
        <f t="shared" si="2809"/>
        <v>0</v>
      </c>
      <c r="CE957" s="989">
        <f t="shared" si="2875"/>
        <v>0</v>
      </c>
      <c r="CF957" s="989">
        <f t="shared" si="2875"/>
        <v>0</v>
      </c>
      <c r="CG957" s="989">
        <f t="shared" si="2875"/>
        <v>0</v>
      </c>
      <c r="CH957" s="990">
        <f t="shared" si="2875"/>
        <v>0</v>
      </c>
      <c r="CI957" s="990">
        <f t="shared" si="2875"/>
        <v>0</v>
      </c>
      <c r="CJ957" s="989">
        <f t="shared" si="2875"/>
        <v>0</v>
      </c>
      <c r="CK957" s="989">
        <f t="shared" si="2875"/>
        <v>0</v>
      </c>
      <c r="CL957" s="989">
        <f t="shared" si="2875"/>
        <v>0</v>
      </c>
      <c r="CM957" s="988">
        <f t="shared" si="2875"/>
        <v>0</v>
      </c>
      <c r="CN957" s="533" t="str">
        <f t="shared" si="2784"/>
        <v/>
      </c>
      <c r="CO957" s="534" t="str">
        <f t="shared" si="2785"/>
        <v/>
      </c>
      <c r="CP957" s="535" t="str">
        <f t="shared" si="2786"/>
        <v/>
      </c>
      <c r="CQ957" s="535" t="str">
        <f t="shared" si="2787"/>
        <v/>
      </c>
      <c r="CR957" s="535">
        <f t="shared" si="2788"/>
        <v>0</v>
      </c>
      <c r="CS957" s="535">
        <f t="shared" si="2789"/>
        <v>0</v>
      </c>
      <c r="CT957" s="535">
        <f t="shared" si="2790"/>
        <v>0</v>
      </c>
      <c r="CU957" s="536">
        <f t="shared" si="2791"/>
        <v>0</v>
      </c>
      <c r="CV957" s="536">
        <f t="shared" si="2792"/>
        <v>0</v>
      </c>
      <c r="CW957" s="536">
        <f t="shared" si="2793"/>
        <v>0</v>
      </c>
      <c r="CX957" s="535">
        <f t="shared" si="2794"/>
        <v>0</v>
      </c>
      <c r="CY957" s="535">
        <f t="shared" si="2795"/>
        <v>0</v>
      </c>
      <c r="CZ957" s="535">
        <f t="shared" si="2796"/>
        <v>0</v>
      </c>
      <c r="DA957" s="535">
        <f t="shared" si="2797"/>
        <v>0</v>
      </c>
      <c r="DB957" s="535" t="str">
        <f t="shared" si="2798"/>
        <v/>
      </c>
      <c r="DC957" s="534" t="str">
        <f t="shared" si="2799"/>
        <v/>
      </c>
      <c r="DD957" s="533" t="str">
        <f t="shared" si="2800"/>
        <v/>
      </c>
      <c r="DE957" s="635">
        <f t="shared" si="2801"/>
        <v>10</v>
      </c>
      <c r="DF957" s="95">
        <f t="shared" si="2802"/>
        <v>10</v>
      </c>
      <c r="DG957" s="95">
        <f t="shared" si="2803"/>
        <v>10</v>
      </c>
      <c r="DH957" s="95">
        <f t="shared" si="2804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2912">SUM(B418)</f>
        <v>0</v>
      </c>
      <c r="C958" s="775">
        <f t="shared" si="2912"/>
        <v>0</v>
      </c>
      <c r="D958" s="775">
        <f t="shared" si="2912"/>
        <v>0</v>
      </c>
      <c r="E958" s="775">
        <f t="shared" si="2912"/>
        <v>0</v>
      </c>
      <c r="F958" s="775">
        <f t="shared" si="2912"/>
        <v>0</v>
      </c>
      <c r="G958" s="775">
        <f t="shared" si="2912"/>
        <v>0</v>
      </c>
      <c r="H958" s="775">
        <f t="shared" si="2912"/>
        <v>0</v>
      </c>
      <c r="I958" s="775">
        <f t="shared" si="2912"/>
        <v>0</v>
      </c>
      <c r="J958" s="775">
        <f t="shared" si="2912"/>
        <v>0</v>
      </c>
      <c r="K958" s="775">
        <f t="shared" si="2912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2913">SUM(T418)</f>
        <v>0</v>
      </c>
      <c r="U958" s="775">
        <f t="shared" si="2913"/>
        <v>0</v>
      </c>
      <c r="V958" s="775">
        <f t="shared" si="2913"/>
        <v>0</v>
      </c>
      <c r="W958" s="775">
        <f t="shared" si="2913"/>
        <v>0</v>
      </c>
      <c r="X958" s="775">
        <f t="shared" si="2913"/>
        <v>0</v>
      </c>
      <c r="Y958" s="775">
        <f t="shared" si="2913"/>
        <v>0</v>
      </c>
      <c r="Z958" s="775">
        <f t="shared" si="2913"/>
        <v>0</v>
      </c>
      <c r="AA958" s="775">
        <f t="shared" si="2913"/>
        <v>0</v>
      </c>
      <c r="AB958" s="775">
        <f t="shared" si="2913"/>
        <v>0</v>
      </c>
      <c r="AC958" s="775">
        <f t="shared" si="2913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2914">SUM(AL418)</f>
        <v>0</v>
      </c>
      <c r="AM958" s="775">
        <f t="shared" si="2914"/>
        <v>0</v>
      </c>
      <c r="AN958" s="775">
        <f t="shared" si="2914"/>
        <v>0</v>
      </c>
      <c r="AO958" s="775">
        <f t="shared" si="2914"/>
        <v>0</v>
      </c>
      <c r="AP958" s="775">
        <f t="shared" si="2914"/>
        <v>0</v>
      </c>
      <c r="AQ958" s="775">
        <f t="shared" si="2914"/>
        <v>0</v>
      </c>
      <c r="AR958" s="775">
        <f t="shared" si="2914"/>
        <v>0</v>
      </c>
      <c r="AS958" s="775">
        <f t="shared" si="2914"/>
        <v>0</v>
      </c>
      <c r="AT958" s="775">
        <f t="shared" si="2914"/>
        <v>0</v>
      </c>
      <c r="AU958" s="775">
        <f t="shared" si="2914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2915">SUM(BD418)</f>
        <v>0</v>
      </c>
      <c r="BE958" s="775">
        <f t="shared" si="2915"/>
        <v>0</v>
      </c>
      <c r="BF958" s="775">
        <f t="shared" si="2915"/>
        <v>0</v>
      </c>
      <c r="BG958" s="775">
        <f t="shared" si="2915"/>
        <v>0</v>
      </c>
      <c r="BH958" s="775">
        <f t="shared" si="2915"/>
        <v>0</v>
      </c>
      <c r="BI958" s="775">
        <f t="shared" si="2915"/>
        <v>0</v>
      </c>
      <c r="BJ958" s="775">
        <f t="shared" si="2915"/>
        <v>0</v>
      </c>
      <c r="BK958" s="775">
        <f t="shared" si="2915"/>
        <v>0</v>
      </c>
      <c r="BL958" s="775">
        <f t="shared" si="2915"/>
        <v>0</v>
      </c>
      <c r="BM958" s="775">
        <f t="shared" si="2915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2779"/>
        <v>0</v>
      </c>
      <c r="CA958" s="582">
        <f t="shared" si="2780"/>
        <v>0</v>
      </c>
      <c r="CB958" s="582">
        <f t="shared" si="2781"/>
        <v>0</v>
      </c>
      <c r="CC958" s="582">
        <f t="shared" si="2782"/>
        <v>0</v>
      </c>
      <c r="CD958" s="988">
        <f t="shared" si="2809"/>
        <v>0</v>
      </c>
      <c r="CE958" s="989">
        <f t="shared" si="2875"/>
        <v>0</v>
      </c>
      <c r="CF958" s="989">
        <f t="shared" si="2875"/>
        <v>0</v>
      </c>
      <c r="CG958" s="989">
        <f t="shared" si="2875"/>
        <v>0</v>
      </c>
      <c r="CH958" s="990">
        <f t="shared" si="2875"/>
        <v>0</v>
      </c>
      <c r="CI958" s="990">
        <f t="shared" si="2875"/>
        <v>0</v>
      </c>
      <c r="CJ958" s="989">
        <f t="shared" si="2875"/>
        <v>0</v>
      </c>
      <c r="CK958" s="989">
        <f t="shared" si="2875"/>
        <v>0</v>
      </c>
      <c r="CL958" s="989">
        <f t="shared" si="2875"/>
        <v>0</v>
      </c>
      <c r="CM958" s="988">
        <f t="shared" si="2875"/>
        <v>0</v>
      </c>
      <c r="CN958" s="533" t="str">
        <f t="shared" si="2784"/>
        <v/>
      </c>
      <c r="CO958" s="534" t="str">
        <f t="shared" si="2785"/>
        <v/>
      </c>
      <c r="CP958" s="535" t="str">
        <f t="shared" si="2786"/>
        <v/>
      </c>
      <c r="CQ958" s="535" t="str">
        <f t="shared" si="2787"/>
        <v/>
      </c>
      <c r="CR958" s="535">
        <f t="shared" si="2788"/>
        <v>0</v>
      </c>
      <c r="CS958" s="535">
        <f t="shared" si="2789"/>
        <v>0</v>
      </c>
      <c r="CT958" s="535">
        <f t="shared" si="2790"/>
        <v>0</v>
      </c>
      <c r="CU958" s="536">
        <f t="shared" si="2791"/>
        <v>0</v>
      </c>
      <c r="CV958" s="536">
        <f t="shared" si="2792"/>
        <v>0</v>
      </c>
      <c r="CW958" s="536">
        <f t="shared" si="2793"/>
        <v>0</v>
      </c>
      <c r="CX958" s="535">
        <f t="shared" si="2794"/>
        <v>0</v>
      </c>
      <c r="CY958" s="535">
        <f t="shared" si="2795"/>
        <v>0</v>
      </c>
      <c r="CZ958" s="535">
        <f t="shared" si="2796"/>
        <v>0</v>
      </c>
      <c r="DA958" s="535">
        <f t="shared" si="2797"/>
        <v>0</v>
      </c>
      <c r="DB958" s="535" t="str">
        <f t="shared" si="2798"/>
        <v/>
      </c>
      <c r="DC958" s="534" t="str">
        <f t="shared" si="2799"/>
        <v/>
      </c>
      <c r="DD958" s="533" t="str">
        <f t="shared" si="2800"/>
        <v/>
      </c>
      <c r="DE958" s="635">
        <f t="shared" si="2801"/>
        <v>10</v>
      </c>
      <c r="DF958" s="95">
        <f t="shared" si="2802"/>
        <v>10</v>
      </c>
      <c r="DG958" s="95">
        <f t="shared" si="2803"/>
        <v>10</v>
      </c>
      <c r="DH958" s="95">
        <f t="shared" si="2804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2916">SUM(B422)</f>
        <v>0</v>
      </c>
      <c r="C959" s="775">
        <f t="shared" si="2916"/>
        <v>0</v>
      </c>
      <c r="D959" s="775">
        <f t="shared" si="2916"/>
        <v>0</v>
      </c>
      <c r="E959" s="775">
        <f t="shared" si="2916"/>
        <v>0</v>
      </c>
      <c r="F959" s="775">
        <f t="shared" si="2916"/>
        <v>0</v>
      </c>
      <c r="G959" s="775">
        <f t="shared" si="2916"/>
        <v>0</v>
      </c>
      <c r="H959" s="775">
        <f t="shared" si="2916"/>
        <v>0</v>
      </c>
      <c r="I959" s="775">
        <f t="shared" si="2916"/>
        <v>0</v>
      </c>
      <c r="J959" s="775">
        <f t="shared" si="2916"/>
        <v>0</v>
      </c>
      <c r="K959" s="775">
        <f t="shared" si="2916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2917">SUM(T422)</f>
        <v>0</v>
      </c>
      <c r="U959" s="775">
        <f t="shared" si="2917"/>
        <v>0</v>
      </c>
      <c r="V959" s="775">
        <f t="shared" si="2917"/>
        <v>0</v>
      </c>
      <c r="W959" s="775">
        <f t="shared" si="2917"/>
        <v>0</v>
      </c>
      <c r="X959" s="775">
        <f t="shared" si="2917"/>
        <v>0</v>
      </c>
      <c r="Y959" s="775">
        <f t="shared" si="2917"/>
        <v>0</v>
      </c>
      <c r="Z959" s="775">
        <f t="shared" si="2917"/>
        <v>0</v>
      </c>
      <c r="AA959" s="775">
        <f t="shared" si="2917"/>
        <v>0</v>
      </c>
      <c r="AB959" s="775">
        <f t="shared" si="2917"/>
        <v>0</v>
      </c>
      <c r="AC959" s="775">
        <f t="shared" si="2917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2918">SUM(AL422)</f>
        <v>0</v>
      </c>
      <c r="AM959" s="775">
        <f t="shared" si="2918"/>
        <v>0</v>
      </c>
      <c r="AN959" s="775">
        <f t="shared" si="2918"/>
        <v>0</v>
      </c>
      <c r="AO959" s="775">
        <f t="shared" si="2918"/>
        <v>0</v>
      </c>
      <c r="AP959" s="775">
        <f t="shared" si="2918"/>
        <v>0</v>
      </c>
      <c r="AQ959" s="775">
        <f t="shared" si="2918"/>
        <v>0</v>
      </c>
      <c r="AR959" s="775">
        <f t="shared" si="2918"/>
        <v>0</v>
      </c>
      <c r="AS959" s="775">
        <f t="shared" si="2918"/>
        <v>0</v>
      </c>
      <c r="AT959" s="775">
        <f t="shared" si="2918"/>
        <v>0</v>
      </c>
      <c r="AU959" s="775">
        <f t="shared" si="2918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2919">SUM(BD422)</f>
        <v>0</v>
      </c>
      <c r="BE959" s="775">
        <f t="shared" si="2919"/>
        <v>0</v>
      </c>
      <c r="BF959" s="775">
        <f t="shared" si="2919"/>
        <v>0</v>
      </c>
      <c r="BG959" s="775">
        <f t="shared" si="2919"/>
        <v>0</v>
      </c>
      <c r="BH959" s="775">
        <f t="shared" si="2919"/>
        <v>0</v>
      </c>
      <c r="BI959" s="775">
        <f t="shared" si="2919"/>
        <v>0</v>
      </c>
      <c r="BJ959" s="775">
        <f t="shared" si="2919"/>
        <v>0</v>
      </c>
      <c r="BK959" s="775">
        <f t="shared" si="2919"/>
        <v>0</v>
      </c>
      <c r="BL959" s="775">
        <f t="shared" si="2919"/>
        <v>0</v>
      </c>
      <c r="BM959" s="775">
        <f t="shared" si="2919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2779"/>
        <v>0</v>
      </c>
      <c r="CA959" s="582">
        <f t="shared" si="2780"/>
        <v>0</v>
      </c>
      <c r="CB959" s="582">
        <f t="shared" si="2781"/>
        <v>0</v>
      </c>
      <c r="CC959" s="582">
        <f t="shared" si="2782"/>
        <v>0</v>
      </c>
      <c r="CD959" s="988">
        <f t="shared" si="2809"/>
        <v>0</v>
      </c>
      <c r="CE959" s="989">
        <f t="shared" si="2875"/>
        <v>0</v>
      </c>
      <c r="CF959" s="989">
        <f t="shared" si="2875"/>
        <v>0</v>
      </c>
      <c r="CG959" s="989">
        <f t="shared" si="2875"/>
        <v>0</v>
      </c>
      <c r="CH959" s="990">
        <f t="shared" si="2875"/>
        <v>0</v>
      </c>
      <c r="CI959" s="990">
        <f t="shared" si="2875"/>
        <v>0</v>
      </c>
      <c r="CJ959" s="989">
        <f t="shared" si="2875"/>
        <v>0</v>
      </c>
      <c r="CK959" s="989">
        <f t="shared" si="2875"/>
        <v>0</v>
      </c>
      <c r="CL959" s="989">
        <f t="shared" si="2875"/>
        <v>0</v>
      </c>
      <c r="CM959" s="988">
        <f t="shared" si="2875"/>
        <v>0</v>
      </c>
      <c r="CN959" s="533" t="str">
        <f t="shared" si="2784"/>
        <v/>
      </c>
      <c r="CO959" s="534" t="str">
        <f t="shared" si="2785"/>
        <v/>
      </c>
      <c r="CP959" s="535" t="str">
        <f t="shared" si="2786"/>
        <v/>
      </c>
      <c r="CQ959" s="535" t="str">
        <f t="shared" si="2787"/>
        <v/>
      </c>
      <c r="CR959" s="535">
        <f t="shared" si="2788"/>
        <v>0</v>
      </c>
      <c r="CS959" s="535">
        <f t="shared" si="2789"/>
        <v>0</v>
      </c>
      <c r="CT959" s="535">
        <f t="shared" si="2790"/>
        <v>0</v>
      </c>
      <c r="CU959" s="536">
        <f t="shared" si="2791"/>
        <v>0</v>
      </c>
      <c r="CV959" s="536">
        <f t="shared" si="2792"/>
        <v>0</v>
      </c>
      <c r="CW959" s="536">
        <f t="shared" si="2793"/>
        <v>0</v>
      </c>
      <c r="CX959" s="535">
        <f t="shared" si="2794"/>
        <v>0</v>
      </c>
      <c r="CY959" s="535">
        <f t="shared" si="2795"/>
        <v>0</v>
      </c>
      <c r="CZ959" s="535">
        <f t="shared" si="2796"/>
        <v>0</v>
      </c>
      <c r="DA959" s="535">
        <f t="shared" si="2797"/>
        <v>0</v>
      </c>
      <c r="DB959" s="535" t="str">
        <f t="shared" si="2798"/>
        <v/>
      </c>
      <c r="DC959" s="534" t="str">
        <f t="shared" si="2799"/>
        <v/>
      </c>
      <c r="DD959" s="533" t="str">
        <f t="shared" si="2800"/>
        <v/>
      </c>
      <c r="DE959" s="635">
        <f t="shared" si="2801"/>
        <v>10</v>
      </c>
      <c r="DF959" s="95">
        <f t="shared" si="2802"/>
        <v>10</v>
      </c>
      <c r="DG959" s="95">
        <f t="shared" si="2803"/>
        <v>10</v>
      </c>
      <c r="DH959" s="95">
        <f t="shared" si="2804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2920">SUM(B426)</f>
        <v>0</v>
      </c>
      <c r="C960" s="775">
        <f t="shared" si="2920"/>
        <v>0</v>
      </c>
      <c r="D960" s="775">
        <f t="shared" si="2920"/>
        <v>0</v>
      </c>
      <c r="E960" s="775">
        <f t="shared" si="2920"/>
        <v>0</v>
      </c>
      <c r="F960" s="775">
        <f t="shared" si="2920"/>
        <v>0</v>
      </c>
      <c r="G960" s="775">
        <f t="shared" si="2920"/>
        <v>0</v>
      </c>
      <c r="H960" s="775">
        <f t="shared" si="2920"/>
        <v>0</v>
      </c>
      <c r="I960" s="775">
        <f t="shared" si="2920"/>
        <v>0</v>
      </c>
      <c r="J960" s="775">
        <f t="shared" si="2920"/>
        <v>0</v>
      </c>
      <c r="K960" s="775">
        <f t="shared" si="2920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2921">SUM(T426)</f>
        <v>0</v>
      </c>
      <c r="U960" s="775">
        <f t="shared" si="2921"/>
        <v>0</v>
      </c>
      <c r="V960" s="775">
        <f t="shared" si="2921"/>
        <v>0</v>
      </c>
      <c r="W960" s="775">
        <f t="shared" si="2921"/>
        <v>0</v>
      </c>
      <c r="X960" s="775">
        <f t="shared" si="2921"/>
        <v>0</v>
      </c>
      <c r="Y960" s="775">
        <f t="shared" si="2921"/>
        <v>0</v>
      </c>
      <c r="Z960" s="775">
        <f t="shared" si="2921"/>
        <v>0</v>
      </c>
      <c r="AA960" s="775">
        <f t="shared" si="2921"/>
        <v>0</v>
      </c>
      <c r="AB960" s="775">
        <f t="shared" si="2921"/>
        <v>0</v>
      </c>
      <c r="AC960" s="775">
        <f t="shared" si="2921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2922">SUM(AL426)</f>
        <v>0</v>
      </c>
      <c r="AM960" s="775">
        <f t="shared" si="2922"/>
        <v>0</v>
      </c>
      <c r="AN960" s="775">
        <f t="shared" si="2922"/>
        <v>0</v>
      </c>
      <c r="AO960" s="775">
        <f t="shared" si="2922"/>
        <v>0</v>
      </c>
      <c r="AP960" s="775">
        <f t="shared" si="2922"/>
        <v>0</v>
      </c>
      <c r="AQ960" s="775">
        <f t="shared" si="2922"/>
        <v>0</v>
      </c>
      <c r="AR960" s="775">
        <f t="shared" si="2922"/>
        <v>0</v>
      </c>
      <c r="AS960" s="775">
        <f t="shared" si="2922"/>
        <v>0</v>
      </c>
      <c r="AT960" s="775">
        <f t="shared" si="2922"/>
        <v>0</v>
      </c>
      <c r="AU960" s="775">
        <f t="shared" si="2922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2923">SUM(BD426)</f>
        <v>0</v>
      </c>
      <c r="BE960" s="775">
        <f t="shared" si="2923"/>
        <v>0</v>
      </c>
      <c r="BF960" s="775">
        <f t="shared" si="2923"/>
        <v>0</v>
      </c>
      <c r="BG960" s="775">
        <f t="shared" si="2923"/>
        <v>0</v>
      </c>
      <c r="BH960" s="775">
        <f t="shared" si="2923"/>
        <v>0</v>
      </c>
      <c r="BI960" s="775">
        <f t="shared" si="2923"/>
        <v>0</v>
      </c>
      <c r="BJ960" s="775">
        <f t="shared" si="2923"/>
        <v>0</v>
      </c>
      <c r="BK960" s="775">
        <f t="shared" si="2923"/>
        <v>0</v>
      </c>
      <c r="BL960" s="775">
        <f t="shared" si="2923"/>
        <v>0</v>
      </c>
      <c r="BM960" s="775">
        <f t="shared" si="2923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2779"/>
        <v>0</v>
      </c>
      <c r="CA960" s="582">
        <f t="shared" si="2780"/>
        <v>0</v>
      </c>
      <c r="CB960" s="582">
        <f t="shared" si="2781"/>
        <v>0</v>
      </c>
      <c r="CC960" s="582">
        <f t="shared" si="2782"/>
        <v>0</v>
      </c>
      <c r="CD960" s="988">
        <f t="shared" si="2809"/>
        <v>0</v>
      </c>
      <c r="CE960" s="989">
        <f t="shared" si="2875"/>
        <v>0</v>
      </c>
      <c r="CF960" s="989">
        <f t="shared" si="2875"/>
        <v>0</v>
      </c>
      <c r="CG960" s="989">
        <f t="shared" si="2875"/>
        <v>0</v>
      </c>
      <c r="CH960" s="990">
        <f t="shared" si="2875"/>
        <v>0</v>
      </c>
      <c r="CI960" s="990">
        <f t="shared" si="2875"/>
        <v>0</v>
      </c>
      <c r="CJ960" s="989">
        <f t="shared" si="2875"/>
        <v>0</v>
      </c>
      <c r="CK960" s="989">
        <f t="shared" si="2875"/>
        <v>0</v>
      </c>
      <c r="CL960" s="989">
        <f t="shared" si="2875"/>
        <v>0</v>
      </c>
      <c r="CM960" s="988">
        <f t="shared" si="2875"/>
        <v>0</v>
      </c>
      <c r="CN960" s="533" t="str">
        <f t="shared" si="2784"/>
        <v/>
      </c>
      <c r="CO960" s="534" t="str">
        <f t="shared" si="2785"/>
        <v/>
      </c>
      <c r="CP960" s="535" t="str">
        <f t="shared" si="2786"/>
        <v/>
      </c>
      <c r="CQ960" s="535" t="str">
        <f t="shared" si="2787"/>
        <v/>
      </c>
      <c r="CR960" s="535">
        <f t="shared" si="2788"/>
        <v>0</v>
      </c>
      <c r="CS960" s="535">
        <f t="shared" si="2789"/>
        <v>0</v>
      </c>
      <c r="CT960" s="535">
        <f t="shared" si="2790"/>
        <v>0</v>
      </c>
      <c r="CU960" s="536">
        <f t="shared" si="2791"/>
        <v>0</v>
      </c>
      <c r="CV960" s="536">
        <f t="shared" si="2792"/>
        <v>0</v>
      </c>
      <c r="CW960" s="536">
        <f t="shared" si="2793"/>
        <v>0</v>
      </c>
      <c r="CX960" s="535">
        <f t="shared" si="2794"/>
        <v>0</v>
      </c>
      <c r="CY960" s="535">
        <f t="shared" si="2795"/>
        <v>0</v>
      </c>
      <c r="CZ960" s="535">
        <f t="shared" si="2796"/>
        <v>0</v>
      </c>
      <c r="DA960" s="535">
        <f t="shared" si="2797"/>
        <v>0</v>
      </c>
      <c r="DB960" s="535" t="str">
        <f t="shared" si="2798"/>
        <v/>
      </c>
      <c r="DC960" s="534" t="str">
        <f t="shared" si="2799"/>
        <v/>
      </c>
      <c r="DD960" s="533" t="str">
        <f t="shared" si="2800"/>
        <v/>
      </c>
      <c r="DE960" s="635">
        <f t="shared" si="2801"/>
        <v>10</v>
      </c>
      <c r="DF960" s="95">
        <f t="shared" si="2802"/>
        <v>10</v>
      </c>
      <c r="DG960" s="95">
        <f t="shared" si="2803"/>
        <v>10</v>
      </c>
      <c r="DH960" s="95">
        <f t="shared" si="2804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2924">SUM(B435)</f>
        <v>0</v>
      </c>
      <c r="C962" s="775">
        <f t="shared" si="2924"/>
        <v>0</v>
      </c>
      <c r="D962" s="775">
        <f t="shared" si="2924"/>
        <v>0</v>
      </c>
      <c r="E962" s="775">
        <f t="shared" si="2924"/>
        <v>0</v>
      </c>
      <c r="F962" s="775">
        <f t="shared" si="2924"/>
        <v>0</v>
      </c>
      <c r="G962" s="775">
        <f t="shared" si="2924"/>
        <v>0</v>
      </c>
      <c r="H962" s="775">
        <f t="shared" si="2924"/>
        <v>0</v>
      </c>
      <c r="I962" s="775">
        <f t="shared" si="2924"/>
        <v>0</v>
      </c>
      <c r="J962" s="775">
        <f t="shared" si="2924"/>
        <v>0</v>
      </c>
      <c r="K962" s="775">
        <f t="shared" si="2924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2925">SUM(T435)</f>
        <v>0</v>
      </c>
      <c r="U962" s="775">
        <f t="shared" si="2925"/>
        <v>0</v>
      </c>
      <c r="V962" s="775">
        <f t="shared" si="2925"/>
        <v>0</v>
      </c>
      <c r="W962" s="775">
        <f t="shared" si="2925"/>
        <v>0</v>
      </c>
      <c r="X962" s="775">
        <f t="shared" si="2925"/>
        <v>0</v>
      </c>
      <c r="Y962" s="775">
        <f t="shared" si="2925"/>
        <v>0</v>
      </c>
      <c r="Z962" s="775">
        <f t="shared" si="2925"/>
        <v>0</v>
      </c>
      <c r="AA962" s="775">
        <f t="shared" si="2925"/>
        <v>0</v>
      </c>
      <c r="AB962" s="775">
        <f t="shared" si="2925"/>
        <v>0</v>
      </c>
      <c r="AC962" s="775">
        <f t="shared" si="2925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2926">SUM(AL435)</f>
        <v>0</v>
      </c>
      <c r="AM962" s="775">
        <f t="shared" si="2926"/>
        <v>0</v>
      </c>
      <c r="AN962" s="775">
        <f t="shared" si="2926"/>
        <v>0</v>
      </c>
      <c r="AO962" s="775">
        <f t="shared" si="2926"/>
        <v>0</v>
      </c>
      <c r="AP962" s="775">
        <f t="shared" si="2926"/>
        <v>0</v>
      </c>
      <c r="AQ962" s="775">
        <f t="shared" si="2926"/>
        <v>0</v>
      </c>
      <c r="AR962" s="775">
        <f t="shared" si="2926"/>
        <v>0</v>
      </c>
      <c r="AS962" s="775">
        <f t="shared" si="2926"/>
        <v>0</v>
      </c>
      <c r="AT962" s="775">
        <f t="shared" si="2926"/>
        <v>0</v>
      </c>
      <c r="AU962" s="775">
        <f t="shared" si="2926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2927">SUM(BD435)</f>
        <v>0</v>
      </c>
      <c r="BE962" s="775">
        <f t="shared" si="2927"/>
        <v>0</v>
      </c>
      <c r="BF962" s="775">
        <f t="shared" si="2927"/>
        <v>0</v>
      </c>
      <c r="BG962" s="775">
        <f t="shared" si="2927"/>
        <v>0</v>
      </c>
      <c r="BH962" s="775">
        <f t="shared" si="2927"/>
        <v>0</v>
      </c>
      <c r="BI962" s="775">
        <f t="shared" si="2927"/>
        <v>0</v>
      </c>
      <c r="BJ962" s="775">
        <f t="shared" si="2927"/>
        <v>0</v>
      </c>
      <c r="BK962" s="775">
        <f t="shared" si="2927"/>
        <v>0</v>
      </c>
      <c r="BL962" s="775">
        <f t="shared" si="2927"/>
        <v>0</v>
      </c>
      <c r="BM962" s="775">
        <f t="shared" si="2927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292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2928"/>
        <v>0</v>
      </c>
      <c r="CF962" s="989">
        <f t="shared" si="2928"/>
        <v>0</v>
      </c>
      <c r="CG962" s="989">
        <f t="shared" si="2928"/>
        <v>0</v>
      </c>
      <c r="CH962" s="990">
        <f t="shared" si="2928"/>
        <v>0</v>
      </c>
      <c r="CI962" s="990">
        <f t="shared" si="2928"/>
        <v>0</v>
      </c>
      <c r="CJ962" s="989">
        <f t="shared" si="2928"/>
        <v>0</v>
      </c>
      <c r="CK962" s="989">
        <f t="shared" si="2928"/>
        <v>0</v>
      </c>
      <c r="CL962" s="989">
        <f t="shared" si="2928"/>
        <v>0</v>
      </c>
      <c r="CM962" s="988">
        <f t="shared" si="2928"/>
        <v>0</v>
      </c>
      <c r="CN962" s="533" t="str">
        <f t="shared" ref="CN962:CW963" si="2929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2929"/>
        <v/>
      </c>
      <c r="CP962" s="535" t="str">
        <f t="shared" si="2929"/>
        <v/>
      </c>
      <c r="CQ962" s="535" t="str">
        <f t="shared" si="2929"/>
        <v/>
      </c>
      <c r="CR962" s="535">
        <f t="shared" si="2929"/>
        <v>0</v>
      </c>
      <c r="CS962" s="535">
        <f t="shared" si="2929"/>
        <v>0</v>
      </c>
      <c r="CT962" s="535">
        <f t="shared" si="2929"/>
        <v>0</v>
      </c>
      <c r="CU962" s="536">
        <f t="shared" si="2929"/>
        <v>0</v>
      </c>
      <c r="CV962" s="536">
        <f t="shared" si="2929"/>
        <v>0</v>
      </c>
      <c r="CW962" s="536">
        <f t="shared" si="2929"/>
        <v>0</v>
      </c>
      <c r="CX962" s="535">
        <f t="shared" ref="CX962:DD963" si="2930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2930"/>
        <v>0</v>
      </c>
      <c r="CZ962" s="535">
        <f t="shared" si="2930"/>
        <v>0</v>
      </c>
      <c r="DA962" s="535">
        <f t="shared" si="2930"/>
        <v>0</v>
      </c>
      <c r="DB962" s="535" t="str">
        <f t="shared" si="2930"/>
        <v/>
      </c>
      <c r="DC962" s="534" t="str">
        <f t="shared" si="2930"/>
        <v/>
      </c>
      <c r="DD962" s="533" t="str">
        <f t="shared" si="2930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2931">SUM(B445)</f>
        <v>0</v>
      </c>
      <c r="C963" s="775">
        <f t="shared" si="2931"/>
        <v>0</v>
      </c>
      <c r="D963" s="775">
        <f t="shared" si="2931"/>
        <v>0</v>
      </c>
      <c r="E963" s="775">
        <f t="shared" si="2931"/>
        <v>0</v>
      </c>
      <c r="F963" s="775">
        <f t="shared" si="2931"/>
        <v>0</v>
      </c>
      <c r="G963" s="775">
        <f t="shared" si="2931"/>
        <v>0</v>
      </c>
      <c r="H963" s="775">
        <f t="shared" si="2931"/>
        <v>0</v>
      </c>
      <c r="I963" s="775">
        <f t="shared" si="2931"/>
        <v>0</v>
      </c>
      <c r="J963" s="775">
        <f t="shared" si="2931"/>
        <v>0</v>
      </c>
      <c r="K963" s="775">
        <f t="shared" si="2931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2932">SUM(T445)</f>
        <v>0</v>
      </c>
      <c r="U963" s="775">
        <f t="shared" si="2932"/>
        <v>0</v>
      </c>
      <c r="V963" s="775">
        <f t="shared" si="2932"/>
        <v>0</v>
      </c>
      <c r="W963" s="775">
        <f t="shared" si="2932"/>
        <v>0</v>
      </c>
      <c r="X963" s="775">
        <f t="shared" si="2932"/>
        <v>0</v>
      </c>
      <c r="Y963" s="775">
        <f t="shared" si="2932"/>
        <v>0</v>
      </c>
      <c r="Z963" s="775">
        <f t="shared" si="2932"/>
        <v>0</v>
      </c>
      <c r="AA963" s="775">
        <f t="shared" si="2932"/>
        <v>0</v>
      </c>
      <c r="AB963" s="775">
        <f t="shared" si="2932"/>
        <v>0</v>
      </c>
      <c r="AC963" s="775">
        <f t="shared" si="2932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2933">SUM(AL445)</f>
        <v>0</v>
      </c>
      <c r="AM963" s="775">
        <f t="shared" si="2933"/>
        <v>0</v>
      </c>
      <c r="AN963" s="775">
        <f t="shared" si="2933"/>
        <v>0</v>
      </c>
      <c r="AO963" s="775">
        <f t="shared" si="2933"/>
        <v>0</v>
      </c>
      <c r="AP963" s="775">
        <f t="shared" si="2933"/>
        <v>0</v>
      </c>
      <c r="AQ963" s="775">
        <f t="shared" si="2933"/>
        <v>0</v>
      </c>
      <c r="AR963" s="775">
        <f t="shared" si="2933"/>
        <v>0</v>
      </c>
      <c r="AS963" s="775">
        <f t="shared" si="2933"/>
        <v>0</v>
      </c>
      <c r="AT963" s="775">
        <f t="shared" si="2933"/>
        <v>0</v>
      </c>
      <c r="AU963" s="775">
        <f t="shared" si="2933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2934">SUM(BD445)</f>
        <v>0</v>
      </c>
      <c r="BE963" s="775">
        <f t="shared" si="2934"/>
        <v>0</v>
      </c>
      <c r="BF963" s="775">
        <f t="shared" si="2934"/>
        <v>0</v>
      </c>
      <c r="BG963" s="775">
        <f t="shared" si="2934"/>
        <v>0</v>
      </c>
      <c r="BH963" s="775">
        <f t="shared" si="2934"/>
        <v>0</v>
      </c>
      <c r="BI963" s="775">
        <f t="shared" si="2934"/>
        <v>0</v>
      </c>
      <c r="BJ963" s="775">
        <f t="shared" si="2934"/>
        <v>0</v>
      </c>
      <c r="BK963" s="775">
        <f t="shared" si="2934"/>
        <v>0</v>
      </c>
      <c r="BL963" s="775">
        <f t="shared" si="2934"/>
        <v>0</v>
      </c>
      <c r="BM963" s="775">
        <f t="shared" si="2934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2928"/>
        <v>0</v>
      </c>
      <c r="CE963" s="989">
        <f t="shared" ref="CE963:CM963" si="293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2935"/>
        <v>0</v>
      </c>
      <c r="CG963" s="989">
        <f t="shared" si="2935"/>
        <v>0</v>
      </c>
      <c r="CH963" s="990">
        <f t="shared" si="2935"/>
        <v>0</v>
      </c>
      <c r="CI963" s="990">
        <f t="shared" si="2935"/>
        <v>0</v>
      </c>
      <c r="CJ963" s="989">
        <f t="shared" si="2935"/>
        <v>0</v>
      </c>
      <c r="CK963" s="989">
        <f t="shared" si="2935"/>
        <v>0</v>
      </c>
      <c r="CL963" s="989">
        <f t="shared" si="2935"/>
        <v>0</v>
      </c>
      <c r="CM963" s="988">
        <f t="shared" si="2935"/>
        <v>0</v>
      </c>
      <c r="CN963" s="533" t="str">
        <f t="shared" si="2929"/>
        <v/>
      </c>
      <c r="CO963" s="534" t="str">
        <f t="shared" si="2929"/>
        <v/>
      </c>
      <c r="CP963" s="535" t="str">
        <f t="shared" si="2929"/>
        <v/>
      </c>
      <c r="CQ963" s="535" t="str">
        <f t="shared" si="2929"/>
        <v/>
      </c>
      <c r="CR963" s="535">
        <f t="shared" si="2929"/>
        <v>0</v>
      </c>
      <c r="CS963" s="535">
        <f t="shared" si="2929"/>
        <v>0</v>
      </c>
      <c r="CT963" s="535">
        <f t="shared" si="2929"/>
        <v>0</v>
      </c>
      <c r="CU963" s="536">
        <f t="shared" si="2929"/>
        <v>0</v>
      </c>
      <c r="CV963" s="536">
        <f t="shared" si="2929"/>
        <v>0</v>
      </c>
      <c r="CW963" s="536">
        <f t="shared" si="2929"/>
        <v>0</v>
      </c>
      <c r="CX963" s="535">
        <f t="shared" si="2930"/>
        <v>0</v>
      </c>
      <c r="CY963" s="535">
        <f t="shared" si="2930"/>
        <v>0</v>
      </c>
      <c r="CZ963" s="535">
        <f t="shared" si="2930"/>
        <v>0</v>
      </c>
      <c r="DA963" s="535">
        <f t="shared" si="2930"/>
        <v>0</v>
      </c>
      <c r="DB963" s="535" t="str">
        <f t="shared" si="2930"/>
        <v/>
      </c>
      <c r="DC963" s="534" t="str">
        <f t="shared" si="2930"/>
        <v/>
      </c>
      <c r="DD963" s="533" t="str">
        <f t="shared" si="2930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2936">SUM(B708)</f>
        <v>0</v>
      </c>
      <c r="C965" s="775">
        <f t="shared" si="2936"/>
        <v>0</v>
      </c>
      <c r="D965" s="775">
        <f t="shared" si="2936"/>
        <v>0</v>
      </c>
      <c r="E965" s="775">
        <f t="shared" si="2936"/>
        <v>0</v>
      </c>
      <c r="F965" s="775">
        <f t="shared" si="2936"/>
        <v>0</v>
      </c>
      <c r="G965" s="775">
        <f t="shared" si="2936"/>
        <v>0</v>
      </c>
      <c r="H965" s="775">
        <f t="shared" si="2936"/>
        <v>0</v>
      </c>
      <c r="I965" s="775">
        <f t="shared" si="2936"/>
        <v>0</v>
      </c>
      <c r="J965" s="775">
        <f t="shared" si="2936"/>
        <v>0</v>
      </c>
      <c r="K965" s="775">
        <f t="shared" si="2936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2937">SUM(T708)</f>
        <v>0</v>
      </c>
      <c r="U965" s="775">
        <f t="shared" si="2937"/>
        <v>0</v>
      </c>
      <c r="V965" s="775">
        <f t="shared" si="2937"/>
        <v>0</v>
      </c>
      <c r="W965" s="775">
        <f t="shared" si="2937"/>
        <v>0</v>
      </c>
      <c r="X965" s="775">
        <f t="shared" si="2937"/>
        <v>0</v>
      </c>
      <c r="Y965" s="775">
        <f t="shared" si="2937"/>
        <v>0</v>
      </c>
      <c r="Z965" s="775">
        <f t="shared" si="2937"/>
        <v>0</v>
      </c>
      <c r="AA965" s="775">
        <f t="shared" si="2937"/>
        <v>0</v>
      </c>
      <c r="AB965" s="775">
        <f t="shared" si="2937"/>
        <v>0</v>
      </c>
      <c r="AC965" s="775">
        <f t="shared" si="2937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2938">SUM(AL708)</f>
        <v>0</v>
      </c>
      <c r="AM965" s="775">
        <f t="shared" si="2938"/>
        <v>0</v>
      </c>
      <c r="AN965" s="775">
        <f t="shared" si="2938"/>
        <v>0</v>
      </c>
      <c r="AO965" s="775">
        <f t="shared" si="2938"/>
        <v>0</v>
      </c>
      <c r="AP965" s="775">
        <f t="shared" si="2938"/>
        <v>0</v>
      </c>
      <c r="AQ965" s="775">
        <f t="shared" si="2938"/>
        <v>0</v>
      </c>
      <c r="AR965" s="775">
        <f t="shared" si="2938"/>
        <v>0</v>
      </c>
      <c r="AS965" s="775">
        <f t="shared" si="2938"/>
        <v>0</v>
      </c>
      <c r="AT965" s="775">
        <f t="shared" si="2938"/>
        <v>0</v>
      </c>
      <c r="AU965" s="775">
        <f t="shared" si="2938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2939">SUM(BD708)</f>
        <v>0</v>
      </c>
      <c r="BE965" s="775">
        <f t="shared" si="2939"/>
        <v>0</v>
      </c>
      <c r="BF965" s="775">
        <f t="shared" si="2939"/>
        <v>0</v>
      </c>
      <c r="BG965" s="775">
        <f t="shared" si="2939"/>
        <v>0</v>
      </c>
      <c r="BH965" s="775">
        <f t="shared" si="2939"/>
        <v>0</v>
      </c>
      <c r="BI965" s="775">
        <f t="shared" si="2939"/>
        <v>0</v>
      </c>
      <c r="BJ965" s="775">
        <f t="shared" si="2939"/>
        <v>0</v>
      </c>
      <c r="BK965" s="775">
        <f t="shared" si="2939"/>
        <v>0</v>
      </c>
      <c r="BL965" s="775">
        <f t="shared" si="2939"/>
        <v>0</v>
      </c>
      <c r="BM965" s="775">
        <f t="shared" si="2939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3780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294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2940"/>
        <v>0</v>
      </c>
      <c r="CF965" s="989">
        <f t="shared" si="2940"/>
        <v>0</v>
      </c>
      <c r="CG965" s="989">
        <f t="shared" si="2940"/>
        <v>0</v>
      </c>
      <c r="CH965" s="990">
        <f t="shared" si="2940"/>
        <v>0</v>
      </c>
      <c r="CI965" s="990">
        <f t="shared" si="2940"/>
        <v>0</v>
      </c>
      <c r="CJ965" s="989">
        <f t="shared" si="2940"/>
        <v>0</v>
      </c>
      <c r="CK965" s="989">
        <f t="shared" si="2940"/>
        <v>0</v>
      </c>
      <c r="CL965" s="989">
        <f t="shared" si="2940"/>
        <v>0</v>
      </c>
      <c r="CM965" s="988">
        <f t="shared" si="2940"/>
        <v>0</v>
      </c>
      <c r="CN965" s="533" t="str">
        <f t="shared" ref="CN965:CW967" si="2941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2941"/>
        <v/>
      </c>
      <c r="CP965" s="535" t="str">
        <f t="shared" si="2941"/>
        <v/>
      </c>
      <c r="CQ965" s="535" t="str">
        <f t="shared" si="2941"/>
        <v/>
      </c>
      <c r="CR965" s="535">
        <f t="shared" si="2941"/>
        <v>0</v>
      </c>
      <c r="CS965" s="535">
        <f t="shared" si="2941"/>
        <v>0</v>
      </c>
      <c r="CT965" s="535">
        <f t="shared" si="2941"/>
        <v>0</v>
      </c>
      <c r="CU965" s="536">
        <f t="shared" si="2941"/>
        <v>0</v>
      </c>
      <c r="CV965" s="536">
        <f t="shared" si="2941"/>
        <v>0</v>
      </c>
      <c r="CW965" s="536">
        <f t="shared" si="2941"/>
        <v>0</v>
      </c>
      <c r="CX965" s="535">
        <f t="shared" ref="CX965:DD967" si="2942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2942"/>
        <v>0</v>
      </c>
      <c r="CZ965" s="535">
        <f t="shared" si="2942"/>
        <v>0</v>
      </c>
      <c r="DA965" s="535">
        <f t="shared" si="2942"/>
        <v>0</v>
      </c>
      <c r="DB965" s="535" t="str">
        <f t="shared" si="2942"/>
        <v/>
      </c>
      <c r="DC965" s="534" t="str">
        <f t="shared" si="2942"/>
        <v/>
      </c>
      <c r="DD965" s="533" t="str">
        <f t="shared" si="2942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2943">SUM(B714)</f>
        <v>0</v>
      </c>
      <c r="C966" s="775">
        <f t="shared" si="2943"/>
        <v>0</v>
      </c>
      <c r="D966" s="775">
        <f t="shared" si="2943"/>
        <v>0</v>
      </c>
      <c r="E966" s="775">
        <f t="shared" si="2943"/>
        <v>0</v>
      </c>
      <c r="F966" s="775">
        <f t="shared" si="2943"/>
        <v>0</v>
      </c>
      <c r="G966" s="775">
        <f t="shared" si="2943"/>
        <v>0</v>
      </c>
      <c r="H966" s="775">
        <f t="shared" si="2943"/>
        <v>0</v>
      </c>
      <c r="I966" s="775">
        <f t="shared" si="2943"/>
        <v>0</v>
      </c>
      <c r="J966" s="775">
        <f t="shared" si="2943"/>
        <v>0</v>
      </c>
      <c r="K966" s="775">
        <f t="shared" si="2943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2944">SUM(T714)</f>
        <v>0</v>
      </c>
      <c r="U966" s="775">
        <f t="shared" si="2944"/>
        <v>0</v>
      </c>
      <c r="V966" s="775">
        <f t="shared" si="2944"/>
        <v>0</v>
      </c>
      <c r="W966" s="775">
        <f t="shared" si="2944"/>
        <v>0</v>
      </c>
      <c r="X966" s="775">
        <f t="shared" si="2944"/>
        <v>0</v>
      </c>
      <c r="Y966" s="775">
        <f t="shared" si="2944"/>
        <v>0</v>
      </c>
      <c r="Z966" s="775">
        <f t="shared" si="2944"/>
        <v>0</v>
      </c>
      <c r="AA966" s="775">
        <f t="shared" si="2944"/>
        <v>0</v>
      </c>
      <c r="AB966" s="775">
        <f t="shared" si="2944"/>
        <v>0</v>
      </c>
      <c r="AC966" s="775">
        <f t="shared" si="2944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2945">SUM(AL714)</f>
        <v>0</v>
      </c>
      <c r="AM966" s="775">
        <f t="shared" si="2945"/>
        <v>0</v>
      </c>
      <c r="AN966" s="775">
        <f t="shared" si="2945"/>
        <v>0</v>
      </c>
      <c r="AO966" s="775">
        <f t="shared" si="2945"/>
        <v>0</v>
      </c>
      <c r="AP966" s="775">
        <f t="shared" si="2945"/>
        <v>0</v>
      </c>
      <c r="AQ966" s="775">
        <f t="shared" si="2945"/>
        <v>0</v>
      </c>
      <c r="AR966" s="775">
        <f t="shared" si="2945"/>
        <v>0</v>
      </c>
      <c r="AS966" s="775">
        <f t="shared" si="2945"/>
        <v>0</v>
      </c>
      <c r="AT966" s="775">
        <f t="shared" si="2945"/>
        <v>0</v>
      </c>
      <c r="AU966" s="775">
        <f t="shared" si="2945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2946">SUM(BD714)</f>
        <v>0</v>
      </c>
      <c r="BE966" s="775">
        <f t="shared" si="2946"/>
        <v>0</v>
      </c>
      <c r="BF966" s="775">
        <f t="shared" si="2946"/>
        <v>0</v>
      </c>
      <c r="BG966" s="775">
        <f t="shared" si="2946"/>
        <v>0</v>
      </c>
      <c r="BH966" s="775">
        <f t="shared" si="2946"/>
        <v>0</v>
      </c>
      <c r="BI966" s="775">
        <f t="shared" si="2946"/>
        <v>0</v>
      </c>
      <c r="BJ966" s="775">
        <f t="shared" si="2946"/>
        <v>0</v>
      </c>
      <c r="BK966" s="775">
        <f t="shared" si="2946"/>
        <v>0</v>
      </c>
      <c r="BL966" s="775">
        <f t="shared" si="2946"/>
        <v>0</v>
      </c>
      <c r="BM966" s="775">
        <f t="shared" si="2946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3850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294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2947"/>
        <v>0</v>
      </c>
      <c r="CG966" s="989">
        <f t="shared" si="2947"/>
        <v>0</v>
      </c>
      <c r="CH966" s="990">
        <f t="shared" si="2947"/>
        <v>0</v>
      </c>
      <c r="CI966" s="990">
        <f t="shared" si="2947"/>
        <v>0</v>
      </c>
      <c r="CJ966" s="989">
        <f t="shared" si="2947"/>
        <v>0</v>
      </c>
      <c r="CK966" s="989">
        <f t="shared" si="2947"/>
        <v>0</v>
      </c>
      <c r="CL966" s="989">
        <f t="shared" si="2947"/>
        <v>0</v>
      </c>
      <c r="CM966" s="988">
        <f t="shared" si="2947"/>
        <v>0</v>
      </c>
      <c r="CN966" s="533" t="str">
        <f t="shared" si="2941"/>
        <v/>
      </c>
      <c r="CO966" s="534" t="str">
        <f t="shared" si="2941"/>
        <v/>
      </c>
      <c r="CP966" s="535" t="str">
        <f t="shared" si="2941"/>
        <v/>
      </c>
      <c r="CQ966" s="535" t="str">
        <f t="shared" si="2941"/>
        <v/>
      </c>
      <c r="CR966" s="535">
        <f t="shared" si="2941"/>
        <v>0</v>
      </c>
      <c r="CS966" s="535">
        <f t="shared" si="2941"/>
        <v>0</v>
      </c>
      <c r="CT966" s="535">
        <f t="shared" si="2941"/>
        <v>0</v>
      </c>
      <c r="CU966" s="536">
        <f t="shared" si="2941"/>
        <v>0</v>
      </c>
      <c r="CV966" s="536">
        <f t="shared" si="2941"/>
        <v>0</v>
      </c>
      <c r="CW966" s="536">
        <f t="shared" si="2941"/>
        <v>0</v>
      </c>
      <c r="CX966" s="535">
        <f t="shared" si="2942"/>
        <v>0</v>
      </c>
      <c r="CY966" s="535">
        <f t="shared" si="2942"/>
        <v>0</v>
      </c>
      <c r="CZ966" s="535">
        <f t="shared" si="2942"/>
        <v>0</v>
      </c>
      <c r="DA966" s="535">
        <f t="shared" si="2942"/>
        <v>0</v>
      </c>
      <c r="DB966" s="535" t="str">
        <f t="shared" si="2942"/>
        <v/>
      </c>
      <c r="DC966" s="534" t="str">
        <f t="shared" si="2942"/>
        <v/>
      </c>
      <c r="DD966" s="533" t="str">
        <f t="shared" si="2942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2948">SUM(B720)</f>
        <v>0</v>
      </c>
      <c r="C967" s="775">
        <f t="shared" si="2948"/>
        <v>0</v>
      </c>
      <c r="D967" s="775">
        <f t="shared" si="2948"/>
        <v>0</v>
      </c>
      <c r="E967" s="775">
        <f t="shared" si="2948"/>
        <v>0</v>
      </c>
      <c r="F967" s="775">
        <f t="shared" si="2948"/>
        <v>0</v>
      </c>
      <c r="G967" s="775">
        <f t="shared" si="2948"/>
        <v>0</v>
      </c>
      <c r="H967" s="775">
        <f t="shared" si="2948"/>
        <v>0</v>
      </c>
      <c r="I967" s="775">
        <f t="shared" si="2948"/>
        <v>0</v>
      </c>
      <c r="J967" s="775">
        <f t="shared" si="2948"/>
        <v>0</v>
      </c>
      <c r="K967" s="775">
        <f t="shared" si="2948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2949">SUM(T720)</f>
        <v>0</v>
      </c>
      <c r="U967" s="775">
        <f t="shared" si="2949"/>
        <v>0</v>
      </c>
      <c r="V967" s="775">
        <f t="shared" si="2949"/>
        <v>0</v>
      </c>
      <c r="W967" s="775">
        <f t="shared" si="2949"/>
        <v>0</v>
      </c>
      <c r="X967" s="775">
        <f t="shared" si="2949"/>
        <v>0</v>
      </c>
      <c r="Y967" s="775">
        <f t="shared" si="2949"/>
        <v>0</v>
      </c>
      <c r="Z967" s="775">
        <f t="shared" si="2949"/>
        <v>0</v>
      </c>
      <c r="AA967" s="775">
        <f t="shared" si="2949"/>
        <v>0</v>
      </c>
      <c r="AB967" s="775">
        <f t="shared" si="2949"/>
        <v>0</v>
      </c>
      <c r="AC967" s="775">
        <f t="shared" si="2949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2950">SUM(AL720)</f>
        <v>0</v>
      </c>
      <c r="AM967" s="775">
        <f t="shared" si="2950"/>
        <v>0</v>
      </c>
      <c r="AN967" s="775">
        <f t="shared" si="2950"/>
        <v>0</v>
      </c>
      <c r="AO967" s="775">
        <f t="shared" si="2950"/>
        <v>0</v>
      </c>
      <c r="AP967" s="775">
        <f t="shared" si="2950"/>
        <v>0</v>
      </c>
      <c r="AQ967" s="775">
        <f t="shared" si="2950"/>
        <v>0</v>
      </c>
      <c r="AR967" s="775">
        <f t="shared" si="2950"/>
        <v>0</v>
      </c>
      <c r="AS967" s="775">
        <f t="shared" si="2950"/>
        <v>0</v>
      </c>
      <c r="AT967" s="775">
        <f t="shared" si="2950"/>
        <v>0</v>
      </c>
      <c r="AU967" s="775">
        <f t="shared" si="2950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2951">SUM(BD720)</f>
        <v>0</v>
      </c>
      <c r="BE967" s="775">
        <f t="shared" si="2951"/>
        <v>0</v>
      </c>
      <c r="BF967" s="775">
        <f t="shared" si="2951"/>
        <v>0</v>
      </c>
      <c r="BG967" s="775">
        <f t="shared" si="2951"/>
        <v>0</v>
      </c>
      <c r="BH967" s="775">
        <f t="shared" si="2951"/>
        <v>0</v>
      </c>
      <c r="BI967" s="775">
        <f t="shared" si="2951"/>
        <v>0</v>
      </c>
      <c r="BJ967" s="775">
        <f t="shared" si="2951"/>
        <v>0</v>
      </c>
      <c r="BK967" s="775">
        <f t="shared" si="2951"/>
        <v>0</v>
      </c>
      <c r="BL967" s="775">
        <f t="shared" si="2951"/>
        <v>0</v>
      </c>
      <c r="BM967" s="775">
        <f t="shared" si="2951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3000</v>
      </c>
      <c r="BW967" s="775">
        <f>SUM(BW720)</f>
        <v>3000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2947"/>
        <v>0</v>
      </c>
      <c r="CF967" s="989">
        <f t="shared" si="2947"/>
        <v>0</v>
      </c>
      <c r="CG967" s="989">
        <f t="shared" si="2947"/>
        <v>0</v>
      </c>
      <c r="CH967" s="990">
        <f t="shared" si="2947"/>
        <v>0</v>
      </c>
      <c r="CI967" s="990">
        <f t="shared" si="2947"/>
        <v>0</v>
      </c>
      <c r="CJ967" s="989">
        <f t="shared" si="2947"/>
        <v>0</v>
      </c>
      <c r="CK967" s="989">
        <f t="shared" si="2947"/>
        <v>0</v>
      </c>
      <c r="CL967" s="989">
        <f t="shared" si="2947"/>
        <v>0</v>
      </c>
      <c r="CM967" s="988">
        <f t="shared" si="2947"/>
        <v>0</v>
      </c>
      <c r="CN967" s="533" t="str">
        <f t="shared" si="2941"/>
        <v/>
      </c>
      <c r="CO967" s="534" t="str">
        <f t="shared" si="2941"/>
        <v/>
      </c>
      <c r="CP967" s="535" t="str">
        <f t="shared" si="2941"/>
        <v/>
      </c>
      <c r="CQ967" s="535" t="str">
        <f t="shared" si="2941"/>
        <v/>
      </c>
      <c r="CR967" s="535">
        <f t="shared" si="2941"/>
        <v>0</v>
      </c>
      <c r="CS967" s="535">
        <f t="shared" si="2941"/>
        <v>0</v>
      </c>
      <c r="CT967" s="535">
        <f t="shared" si="2941"/>
        <v>0</v>
      </c>
      <c r="CU967" s="536">
        <f t="shared" si="2941"/>
        <v>0</v>
      </c>
      <c r="CV967" s="536">
        <f t="shared" si="2941"/>
        <v>0</v>
      </c>
      <c r="CW967" s="536">
        <f t="shared" si="2941"/>
        <v>0</v>
      </c>
      <c r="CX967" s="535">
        <f t="shared" si="2942"/>
        <v>0</v>
      </c>
      <c r="CY967" s="535">
        <f t="shared" si="2942"/>
        <v>0</v>
      </c>
      <c r="CZ967" s="535">
        <f t="shared" si="2942"/>
        <v>0</v>
      </c>
      <c r="DA967" s="535">
        <f t="shared" si="2942"/>
        <v>0</v>
      </c>
      <c r="DB967" s="535" t="str">
        <f t="shared" si="2942"/>
        <v/>
      </c>
      <c r="DC967" s="534" t="str">
        <f t="shared" si="2942"/>
        <v/>
      </c>
      <c r="DD967" s="533" t="str">
        <f t="shared" si="2942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2952">SUM(B724)</f>
        <v>0</v>
      </c>
      <c r="C969" s="775">
        <f t="shared" si="2952"/>
        <v>0</v>
      </c>
      <c r="D969" s="775">
        <f t="shared" si="2952"/>
        <v>0</v>
      </c>
      <c r="E969" s="775">
        <f t="shared" si="2952"/>
        <v>0</v>
      </c>
      <c r="F969" s="775">
        <f t="shared" si="2952"/>
        <v>0</v>
      </c>
      <c r="G969" s="775">
        <f t="shared" si="2952"/>
        <v>0</v>
      </c>
      <c r="H969" s="775">
        <f t="shared" si="2952"/>
        <v>0</v>
      </c>
      <c r="I969" s="775">
        <f t="shared" si="2952"/>
        <v>0</v>
      </c>
      <c r="J969" s="775">
        <f t="shared" si="2952"/>
        <v>0</v>
      </c>
      <c r="K969" s="775">
        <f t="shared" si="2952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2953">SUM(T724)</f>
        <v>0</v>
      </c>
      <c r="U969" s="775">
        <f t="shared" si="2953"/>
        <v>0</v>
      </c>
      <c r="V969" s="775">
        <f t="shared" si="2953"/>
        <v>0</v>
      </c>
      <c r="W969" s="775">
        <f t="shared" si="2953"/>
        <v>0</v>
      </c>
      <c r="X969" s="775">
        <f t="shared" si="2953"/>
        <v>0</v>
      </c>
      <c r="Y969" s="775">
        <f t="shared" si="2953"/>
        <v>0</v>
      </c>
      <c r="Z969" s="775">
        <f t="shared" si="2953"/>
        <v>0</v>
      </c>
      <c r="AA969" s="775">
        <f t="shared" si="2953"/>
        <v>0</v>
      </c>
      <c r="AB969" s="775">
        <f t="shared" si="2953"/>
        <v>0</v>
      </c>
      <c r="AC969" s="775">
        <f t="shared" si="2953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2954">SUM(AL724)</f>
        <v>0</v>
      </c>
      <c r="AM969" s="775">
        <f t="shared" si="2954"/>
        <v>0</v>
      </c>
      <c r="AN969" s="775">
        <f t="shared" si="2954"/>
        <v>0</v>
      </c>
      <c r="AO969" s="775">
        <f t="shared" si="2954"/>
        <v>0</v>
      </c>
      <c r="AP969" s="775">
        <f t="shared" si="2954"/>
        <v>0</v>
      </c>
      <c r="AQ969" s="775">
        <f t="shared" si="2954"/>
        <v>0</v>
      </c>
      <c r="AR969" s="775">
        <f t="shared" si="2954"/>
        <v>0</v>
      </c>
      <c r="AS969" s="775">
        <f t="shared" si="2954"/>
        <v>0</v>
      </c>
      <c r="AT969" s="775">
        <f t="shared" si="2954"/>
        <v>0</v>
      </c>
      <c r="AU969" s="775">
        <f t="shared" si="2954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2955">SUM(BD724)</f>
        <v>0</v>
      </c>
      <c r="BE969" s="775">
        <f t="shared" si="2955"/>
        <v>0</v>
      </c>
      <c r="BF969" s="775">
        <f t="shared" si="2955"/>
        <v>0</v>
      </c>
      <c r="BG969" s="775">
        <f t="shared" si="2955"/>
        <v>0</v>
      </c>
      <c r="BH969" s="775">
        <f t="shared" si="2955"/>
        <v>0</v>
      </c>
      <c r="BI969" s="775">
        <f t="shared" si="2955"/>
        <v>0</v>
      </c>
      <c r="BJ969" s="775">
        <f t="shared" si="2955"/>
        <v>0</v>
      </c>
      <c r="BK969" s="775">
        <f t="shared" si="2955"/>
        <v>0</v>
      </c>
      <c r="BL969" s="775">
        <f t="shared" si="2955"/>
        <v>0</v>
      </c>
      <c r="BM969" s="775">
        <f t="shared" si="2955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295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2956"/>
        <v>0</v>
      </c>
      <c r="CF969" s="989">
        <f t="shared" si="2956"/>
        <v>0</v>
      </c>
      <c r="CG969" s="989">
        <f t="shared" si="2956"/>
        <v>0</v>
      </c>
      <c r="CH969" s="990">
        <f t="shared" si="2956"/>
        <v>0</v>
      </c>
      <c r="CI969" s="990">
        <f t="shared" si="2956"/>
        <v>0</v>
      </c>
      <c r="CJ969" s="989">
        <f t="shared" si="2956"/>
        <v>0</v>
      </c>
      <c r="CK969" s="989">
        <f t="shared" si="2956"/>
        <v>0</v>
      </c>
      <c r="CL969" s="989">
        <f t="shared" si="2956"/>
        <v>0</v>
      </c>
      <c r="CM969" s="988">
        <f t="shared" si="2956"/>
        <v>0</v>
      </c>
      <c r="CN969" s="533" t="str">
        <f t="shared" ref="CN969:CW970" si="2957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2957"/>
        <v/>
      </c>
      <c r="CP969" s="535" t="str">
        <f t="shared" si="2957"/>
        <v/>
      </c>
      <c r="CQ969" s="535" t="str">
        <f t="shared" si="2957"/>
        <v/>
      </c>
      <c r="CR969" s="535">
        <f t="shared" si="2957"/>
        <v>0</v>
      </c>
      <c r="CS969" s="535">
        <f t="shared" si="2957"/>
        <v>0</v>
      </c>
      <c r="CT969" s="535">
        <f t="shared" si="2957"/>
        <v>0</v>
      </c>
      <c r="CU969" s="536">
        <f t="shared" si="2957"/>
        <v>0</v>
      </c>
      <c r="CV969" s="536">
        <f t="shared" si="2957"/>
        <v>0</v>
      </c>
      <c r="CW969" s="536">
        <f t="shared" si="2957"/>
        <v>0</v>
      </c>
      <c r="CX969" s="535">
        <f t="shared" ref="CX969:DD970" si="2958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2958"/>
        <v>0</v>
      </c>
      <c r="CZ969" s="535">
        <f t="shared" si="2958"/>
        <v>0</v>
      </c>
      <c r="DA969" s="535">
        <f t="shared" si="2958"/>
        <v>0</v>
      </c>
      <c r="DB969" s="535" t="str">
        <f t="shared" si="2958"/>
        <v/>
      </c>
      <c r="DC969" s="534" t="str">
        <f t="shared" si="2958"/>
        <v/>
      </c>
      <c r="DD969" s="533" t="str">
        <f t="shared" si="2958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2959">SUM(B737)</f>
        <v>0</v>
      </c>
      <c r="C970" s="775">
        <f t="shared" si="2959"/>
        <v>0</v>
      </c>
      <c r="D970" s="775">
        <f t="shared" si="2959"/>
        <v>0</v>
      </c>
      <c r="E970" s="775">
        <f t="shared" si="2959"/>
        <v>0</v>
      </c>
      <c r="F970" s="775">
        <f t="shared" si="2959"/>
        <v>0</v>
      </c>
      <c r="G970" s="775">
        <f t="shared" si="2959"/>
        <v>0</v>
      </c>
      <c r="H970" s="775">
        <f t="shared" si="2959"/>
        <v>0</v>
      </c>
      <c r="I970" s="775">
        <f t="shared" si="2959"/>
        <v>0</v>
      </c>
      <c r="J970" s="775">
        <f t="shared" si="2959"/>
        <v>0</v>
      </c>
      <c r="K970" s="775">
        <f t="shared" si="2959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2960">SUM(T737)</f>
        <v>0</v>
      </c>
      <c r="U970" s="775">
        <f t="shared" si="2960"/>
        <v>0</v>
      </c>
      <c r="V970" s="775">
        <f t="shared" si="2960"/>
        <v>0</v>
      </c>
      <c r="W970" s="775">
        <f t="shared" si="2960"/>
        <v>0</v>
      </c>
      <c r="X970" s="775">
        <f t="shared" si="2960"/>
        <v>0</v>
      </c>
      <c r="Y970" s="775">
        <f t="shared" si="2960"/>
        <v>0</v>
      </c>
      <c r="Z970" s="775">
        <f t="shared" si="2960"/>
        <v>0</v>
      </c>
      <c r="AA970" s="775">
        <f t="shared" si="2960"/>
        <v>0</v>
      </c>
      <c r="AB970" s="775">
        <f t="shared" si="2960"/>
        <v>0</v>
      </c>
      <c r="AC970" s="775">
        <f t="shared" si="2960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2961">SUM(AL737)</f>
        <v>0</v>
      </c>
      <c r="AM970" s="775">
        <f t="shared" si="2961"/>
        <v>0</v>
      </c>
      <c r="AN970" s="775">
        <f t="shared" si="2961"/>
        <v>0</v>
      </c>
      <c r="AO970" s="775">
        <f t="shared" si="2961"/>
        <v>0</v>
      </c>
      <c r="AP970" s="775">
        <f t="shared" si="2961"/>
        <v>0</v>
      </c>
      <c r="AQ970" s="775">
        <f t="shared" si="2961"/>
        <v>0</v>
      </c>
      <c r="AR970" s="775">
        <f t="shared" si="2961"/>
        <v>0</v>
      </c>
      <c r="AS970" s="775">
        <f t="shared" si="2961"/>
        <v>0</v>
      </c>
      <c r="AT970" s="775">
        <f t="shared" si="2961"/>
        <v>0</v>
      </c>
      <c r="AU970" s="775">
        <f t="shared" si="2961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2962">SUM(BD737)</f>
        <v>0</v>
      </c>
      <c r="BE970" s="775">
        <f t="shared" si="2962"/>
        <v>0</v>
      </c>
      <c r="BF970" s="775">
        <f t="shared" si="2962"/>
        <v>0</v>
      </c>
      <c r="BG970" s="775">
        <f t="shared" si="2962"/>
        <v>0</v>
      </c>
      <c r="BH970" s="775">
        <f t="shared" si="2962"/>
        <v>0</v>
      </c>
      <c r="BI970" s="775">
        <f t="shared" si="2962"/>
        <v>0</v>
      </c>
      <c r="BJ970" s="775">
        <f t="shared" si="2962"/>
        <v>0</v>
      </c>
      <c r="BK970" s="775">
        <f t="shared" si="2962"/>
        <v>0</v>
      </c>
      <c r="BL970" s="775">
        <f t="shared" si="2962"/>
        <v>0</v>
      </c>
      <c r="BM970" s="775">
        <f t="shared" si="2962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4200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2956"/>
        <v>0</v>
      </c>
      <c r="CE970" s="989">
        <f t="shared" ref="CE970:CM970" si="296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2963"/>
        <v>0</v>
      </c>
      <c r="CG970" s="989">
        <f t="shared" si="2963"/>
        <v>0</v>
      </c>
      <c r="CH970" s="990">
        <f t="shared" si="2963"/>
        <v>0</v>
      </c>
      <c r="CI970" s="990">
        <f t="shared" si="2963"/>
        <v>0</v>
      </c>
      <c r="CJ970" s="989">
        <f t="shared" si="2963"/>
        <v>0</v>
      </c>
      <c r="CK970" s="989">
        <f t="shared" si="2963"/>
        <v>0</v>
      </c>
      <c r="CL970" s="989">
        <f t="shared" si="2963"/>
        <v>0</v>
      </c>
      <c r="CM970" s="988">
        <f t="shared" si="2963"/>
        <v>0</v>
      </c>
      <c r="CN970" s="533" t="str">
        <f t="shared" si="2957"/>
        <v/>
      </c>
      <c r="CO970" s="534" t="str">
        <f t="shared" si="2957"/>
        <v/>
      </c>
      <c r="CP970" s="535" t="str">
        <f t="shared" si="2957"/>
        <v/>
      </c>
      <c r="CQ970" s="535" t="str">
        <f t="shared" si="2957"/>
        <v/>
      </c>
      <c r="CR970" s="535">
        <f t="shared" si="2957"/>
        <v>0</v>
      </c>
      <c r="CS970" s="535">
        <f t="shared" si="2957"/>
        <v>0</v>
      </c>
      <c r="CT970" s="535">
        <f t="shared" si="2957"/>
        <v>0</v>
      </c>
      <c r="CU970" s="536">
        <f t="shared" si="2957"/>
        <v>0</v>
      </c>
      <c r="CV970" s="536">
        <f t="shared" si="2957"/>
        <v>0</v>
      </c>
      <c r="CW970" s="536">
        <f t="shared" si="2957"/>
        <v>0</v>
      </c>
      <c r="CX970" s="535">
        <f t="shared" si="2958"/>
        <v>0</v>
      </c>
      <c r="CY970" s="535">
        <f t="shared" si="2958"/>
        <v>0</v>
      </c>
      <c r="CZ970" s="535">
        <f t="shared" si="2958"/>
        <v>0</v>
      </c>
      <c r="DA970" s="535">
        <f t="shared" si="2958"/>
        <v>0</v>
      </c>
      <c r="DB970" s="535" t="str">
        <f t="shared" si="2958"/>
        <v/>
      </c>
      <c r="DC970" s="534" t="str">
        <f t="shared" si="2958"/>
        <v/>
      </c>
      <c r="DD970" s="533" t="str">
        <f t="shared" si="2958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2964">SUM(B732)</f>
        <v>0</v>
      </c>
      <c r="C972" s="775">
        <f t="shared" si="2964"/>
        <v>0</v>
      </c>
      <c r="D972" s="775">
        <f t="shared" si="2964"/>
        <v>0</v>
      </c>
      <c r="E972" s="775">
        <f t="shared" si="2964"/>
        <v>0</v>
      </c>
      <c r="F972" s="775">
        <f t="shared" si="2964"/>
        <v>0</v>
      </c>
      <c r="G972" s="775">
        <f t="shared" si="2964"/>
        <v>0</v>
      </c>
      <c r="H972" s="775">
        <f t="shared" si="2964"/>
        <v>0</v>
      </c>
      <c r="I972" s="775">
        <f t="shared" si="2964"/>
        <v>0</v>
      </c>
      <c r="J972" s="775">
        <f t="shared" si="2964"/>
        <v>0</v>
      </c>
      <c r="K972" s="775">
        <f t="shared" si="2964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2965">SUM(T732)</f>
        <v>0</v>
      </c>
      <c r="U972" s="775">
        <f t="shared" si="2965"/>
        <v>0</v>
      </c>
      <c r="V972" s="775">
        <f t="shared" si="2965"/>
        <v>0</v>
      </c>
      <c r="W972" s="775">
        <f t="shared" si="2965"/>
        <v>0</v>
      </c>
      <c r="X972" s="775">
        <f t="shared" si="2965"/>
        <v>0</v>
      </c>
      <c r="Y972" s="775">
        <f t="shared" si="2965"/>
        <v>0</v>
      </c>
      <c r="Z972" s="775">
        <f t="shared" si="2965"/>
        <v>0</v>
      </c>
      <c r="AA972" s="775">
        <f t="shared" si="2965"/>
        <v>0</v>
      </c>
      <c r="AB972" s="775">
        <f t="shared" si="2965"/>
        <v>0</v>
      </c>
      <c r="AC972" s="775">
        <f t="shared" si="2965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2966">SUM(AL732)</f>
        <v>0</v>
      </c>
      <c r="AM972" s="775">
        <f t="shared" si="2966"/>
        <v>0</v>
      </c>
      <c r="AN972" s="775">
        <f t="shared" si="2966"/>
        <v>0</v>
      </c>
      <c r="AO972" s="775">
        <f t="shared" si="2966"/>
        <v>0</v>
      </c>
      <c r="AP972" s="775">
        <f t="shared" si="2966"/>
        <v>0</v>
      </c>
      <c r="AQ972" s="775">
        <f t="shared" si="2966"/>
        <v>0</v>
      </c>
      <c r="AR972" s="775">
        <f t="shared" si="2966"/>
        <v>0</v>
      </c>
      <c r="AS972" s="775">
        <f t="shared" si="2966"/>
        <v>0</v>
      </c>
      <c r="AT972" s="775">
        <f t="shared" si="2966"/>
        <v>0</v>
      </c>
      <c r="AU972" s="775">
        <f t="shared" si="2966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>SUM(BJ732)</f>
        <v>0</v>
      </c>
      <c r="BK972" s="775">
        <f>SUM(BK732)</f>
        <v>0</v>
      </c>
      <c r="BL972" s="775">
        <f>SUM(BL732)</f>
        <v>0</v>
      </c>
      <c r="BM972" s="775">
        <f>SUM(BM732)</f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296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2967"/>
        <v>0</v>
      </c>
      <c r="CF972" s="989">
        <f t="shared" si="2967"/>
        <v>0</v>
      </c>
      <c r="CG972" s="989">
        <f t="shared" si="2967"/>
        <v>0</v>
      </c>
      <c r="CH972" s="990">
        <f t="shared" si="2967"/>
        <v>0</v>
      </c>
      <c r="CI972" s="990">
        <f t="shared" si="2967"/>
        <v>0</v>
      </c>
      <c r="CJ972" s="989">
        <f t="shared" si="2967"/>
        <v>0</v>
      </c>
      <c r="CK972" s="989">
        <f t="shared" si="2967"/>
        <v>0</v>
      </c>
      <c r="CL972" s="989">
        <f t="shared" si="2967"/>
        <v>0</v>
      </c>
      <c r="CM972" s="988" t="str">
        <f t="shared" si="2967"/>
        <v/>
      </c>
      <c r="CN972" s="533" t="str">
        <f t="shared" ref="CN972:CW973" si="296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2968"/>
        <v/>
      </c>
      <c r="CP972" s="535" t="str">
        <f t="shared" si="2968"/>
        <v/>
      </c>
      <c r="CQ972" s="535" t="str">
        <f t="shared" si="2968"/>
        <v/>
      </c>
      <c r="CR972" s="535" t="str">
        <f t="shared" si="2968"/>
        <v/>
      </c>
      <c r="CS972" s="535">
        <f t="shared" si="2968"/>
        <v>0</v>
      </c>
      <c r="CT972" s="535">
        <f t="shared" si="2968"/>
        <v>0</v>
      </c>
      <c r="CU972" s="536">
        <f t="shared" si="2968"/>
        <v>0</v>
      </c>
      <c r="CV972" s="536">
        <f t="shared" si="2968"/>
        <v>0</v>
      </c>
      <c r="CW972" s="536">
        <f t="shared" si="2968"/>
        <v>0</v>
      </c>
      <c r="CX972" s="535">
        <f t="shared" ref="CX972:DD973" si="296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2969"/>
        <v>0</v>
      </c>
      <c r="CZ972" s="535">
        <f t="shared" si="2969"/>
        <v>0</v>
      </c>
      <c r="DA972" s="535" t="str">
        <f t="shared" si="2969"/>
        <v/>
      </c>
      <c r="DB972" s="535" t="str">
        <f t="shared" si="2969"/>
        <v/>
      </c>
      <c r="DC972" s="534" t="str">
        <f t="shared" si="2969"/>
        <v/>
      </c>
      <c r="DD972" s="533" t="str">
        <f t="shared" si="296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2970">SUM(B755)</f>
        <v>0</v>
      </c>
      <c r="C973" s="775">
        <f t="shared" si="2970"/>
        <v>0</v>
      </c>
      <c r="D973" s="775">
        <f t="shared" si="2970"/>
        <v>0</v>
      </c>
      <c r="E973" s="775">
        <f t="shared" si="2970"/>
        <v>0</v>
      </c>
      <c r="F973" s="775">
        <f t="shared" si="2970"/>
        <v>0</v>
      </c>
      <c r="G973" s="775">
        <f t="shared" si="2970"/>
        <v>0</v>
      </c>
      <c r="H973" s="775">
        <f t="shared" si="2970"/>
        <v>0</v>
      </c>
      <c r="I973" s="775">
        <f t="shared" si="2970"/>
        <v>0</v>
      </c>
      <c r="J973" s="775">
        <f t="shared" si="2970"/>
        <v>0</v>
      </c>
      <c r="K973" s="775">
        <f t="shared" si="297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2971">SUM(T755)</f>
        <v>0</v>
      </c>
      <c r="U973" s="775">
        <f t="shared" si="2971"/>
        <v>0</v>
      </c>
      <c r="V973" s="775">
        <f t="shared" si="2971"/>
        <v>0</v>
      </c>
      <c r="W973" s="775">
        <f t="shared" si="2971"/>
        <v>0</v>
      </c>
      <c r="X973" s="775">
        <f t="shared" si="2971"/>
        <v>0</v>
      </c>
      <c r="Y973" s="775">
        <f t="shared" si="2971"/>
        <v>0</v>
      </c>
      <c r="Z973" s="775">
        <f t="shared" si="2971"/>
        <v>0</v>
      </c>
      <c r="AA973" s="775">
        <f t="shared" si="2971"/>
        <v>0</v>
      </c>
      <c r="AB973" s="775">
        <f t="shared" si="2971"/>
        <v>0</v>
      </c>
      <c r="AC973" s="775">
        <f t="shared" si="297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2972">SUM(AL755)</f>
        <v>0</v>
      </c>
      <c r="AM973" s="775">
        <f t="shared" si="2972"/>
        <v>0</v>
      </c>
      <c r="AN973" s="775">
        <f t="shared" si="2972"/>
        <v>0</v>
      </c>
      <c r="AO973" s="775">
        <f t="shared" si="2972"/>
        <v>0</v>
      </c>
      <c r="AP973" s="775">
        <f t="shared" si="2972"/>
        <v>0</v>
      </c>
      <c r="AQ973" s="775">
        <f t="shared" si="2972"/>
        <v>0</v>
      </c>
      <c r="AR973" s="775">
        <f t="shared" si="2972"/>
        <v>0</v>
      </c>
      <c r="AS973" s="775">
        <f t="shared" si="2972"/>
        <v>0</v>
      </c>
      <c r="AT973" s="775">
        <f t="shared" si="2972"/>
        <v>0</v>
      </c>
      <c r="AU973" s="775">
        <f t="shared" si="297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>SUM(BJ755)</f>
        <v>0</v>
      </c>
      <c r="BK973" s="775">
        <f>SUM(BK755)</f>
        <v>0</v>
      </c>
      <c r="BL973" s="775">
        <f>SUM(BL755)</f>
        <v>0</v>
      </c>
      <c r="BM973" s="775">
        <f>SUM(BM755)</f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4500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2967"/>
        <v/>
      </c>
      <c r="CE973" s="989">
        <f t="shared" ref="CE973:CM973" si="29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2973"/>
        <v>0</v>
      </c>
      <c r="CG973" s="989">
        <f t="shared" si="2973"/>
        <v>0</v>
      </c>
      <c r="CH973" s="990">
        <f t="shared" si="2973"/>
        <v>0</v>
      </c>
      <c r="CI973" s="990">
        <f t="shared" si="2973"/>
        <v>0</v>
      </c>
      <c r="CJ973" s="989">
        <f t="shared" si="2973"/>
        <v>0</v>
      </c>
      <c r="CK973" s="989">
        <f t="shared" si="2973"/>
        <v>0</v>
      </c>
      <c r="CL973" s="989">
        <f t="shared" si="2973"/>
        <v>0</v>
      </c>
      <c r="CM973" s="988" t="str">
        <f t="shared" si="2973"/>
        <v/>
      </c>
      <c r="CN973" s="533" t="str">
        <f t="shared" si="2968"/>
        <v/>
      </c>
      <c r="CO973" s="534" t="str">
        <f t="shared" si="2968"/>
        <v/>
      </c>
      <c r="CP973" s="535" t="str">
        <f t="shared" si="2968"/>
        <v/>
      </c>
      <c r="CQ973" s="535" t="str">
        <f t="shared" si="2968"/>
        <v/>
      </c>
      <c r="CR973" s="535" t="str">
        <f t="shared" si="2968"/>
        <v/>
      </c>
      <c r="CS973" s="535">
        <f t="shared" si="2968"/>
        <v>0</v>
      </c>
      <c r="CT973" s="535">
        <f t="shared" si="2968"/>
        <v>0</v>
      </c>
      <c r="CU973" s="536">
        <f t="shared" si="2968"/>
        <v>0</v>
      </c>
      <c r="CV973" s="536">
        <f t="shared" si="2968"/>
        <v>0</v>
      </c>
      <c r="CW973" s="536">
        <f t="shared" si="2968"/>
        <v>0</v>
      </c>
      <c r="CX973" s="535">
        <f t="shared" si="2969"/>
        <v>0</v>
      </c>
      <c r="CY973" s="535">
        <f t="shared" si="2969"/>
        <v>0</v>
      </c>
      <c r="CZ973" s="535">
        <f t="shared" si="2969"/>
        <v>0</v>
      </c>
      <c r="DA973" s="535" t="str">
        <f t="shared" si="2969"/>
        <v/>
      </c>
      <c r="DB973" s="535" t="str">
        <f t="shared" si="2969"/>
        <v/>
      </c>
      <c r="DC973" s="534" t="str">
        <f t="shared" si="2969"/>
        <v/>
      </c>
      <c r="DD973" s="533" t="str">
        <f t="shared" si="296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2974">SUM(B760)</f>
        <v>0</v>
      </c>
      <c r="C975" s="775">
        <f t="shared" si="2974"/>
        <v>0</v>
      </c>
      <c r="D975" s="775">
        <f t="shared" si="2974"/>
        <v>0</v>
      </c>
      <c r="E975" s="775">
        <f t="shared" si="2974"/>
        <v>0</v>
      </c>
      <c r="F975" s="775">
        <f t="shared" si="2974"/>
        <v>0</v>
      </c>
      <c r="G975" s="775">
        <f t="shared" si="2974"/>
        <v>0</v>
      </c>
      <c r="H975" s="775">
        <f t="shared" si="2974"/>
        <v>0</v>
      </c>
      <c r="I975" s="775">
        <f t="shared" si="2974"/>
        <v>0</v>
      </c>
      <c r="J975" s="775">
        <f t="shared" si="2974"/>
        <v>0</v>
      </c>
      <c r="K975" s="775">
        <f t="shared" si="2974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2975">SUM(T760)</f>
        <v>0</v>
      </c>
      <c r="U975" s="775">
        <f t="shared" si="2975"/>
        <v>0</v>
      </c>
      <c r="V975" s="775">
        <f t="shared" si="2975"/>
        <v>0</v>
      </c>
      <c r="W975" s="775">
        <f t="shared" si="2975"/>
        <v>0</v>
      </c>
      <c r="X975" s="775">
        <f t="shared" si="2975"/>
        <v>0</v>
      </c>
      <c r="Y975" s="775">
        <f t="shared" si="2975"/>
        <v>0</v>
      </c>
      <c r="Z975" s="775">
        <f t="shared" si="2975"/>
        <v>0</v>
      </c>
      <c r="AA975" s="775">
        <f t="shared" si="2975"/>
        <v>0</v>
      </c>
      <c r="AB975" s="775">
        <f t="shared" si="2975"/>
        <v>0</v>
      </c>
      <c r="AC975" s="775">
        <f t="shared" si="2975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2976">SUM(AL760)</f>
        <v>0</v>
      </c>
      <c r="AM975" s="775">
        <f t="shared" si="2976"/>
        <v>0</v>
      </c>
      <c r="AN975" s="775">
        <f t="shared" si="2976"/>
        <v>0</v>
      </c>
      <c r="AO975" s="775">
        <f t="shared" si="2976"/>
        <v>0</v>
      </c>
      <c r="AP975" s="775">
        <f t="shared" si="2976"/>
        <v>0</v>
      </c>
      <c r="AQ975" s="775">
        <f t="shared" si="2976"/>
        <v>0</v>
      </c>
      <c r="AR975" s="775">
        <f t="shared" si="2976"/>
        <v>0</v>
      </c>
      <c r="AS975" s="775">
        <f t="shared" si="2976"/>
        <v>0</v>
      </c>
      <c r="AT975" s="775">
        <f t="shared" si="2976"/>
        <v>0</v>
      </c>
      <c r="AU975" s="775">
        <f t="shared" si="2976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2977">SUM(BD760)</f>
        <v>0</v>
      </c>
      <c r="BE975" s="775">
        <f t="shared" si="2977"/>
        <v>0</v>
      </c>
      <c r="BF975" s="775">
        <f t="shared" si="2977"/>
        <v>0</v>
      </c>
      <c r="BG975" s="775">
        <f t="shared" si="2977"/>
        <v>0</v>
      </c>
      <c r="BH975" s="775">
        <f t="shared" si="2977"/>
        <v>0</v>
      </c>
      <c r="BI975" s="775">
        <f t="shared" si="2977"/>
        <v>0</v>
      </c>
      <c r="BJ975" s="775">
        <f t="shared" si="2977"/>
        <v>0</v>
      </c>
      <c r="BK975" s="775">
        <f t="shared" si="2977"/>
        <v>0</v>
      </c>
      <c r="BL975" s="775">
        <f t="shared" si="2977"/>
        <v>0</v>
      </c>
      <c r="BM975" s="775">
        <f t="shared" si="2977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27600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29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2978"/>
        <v>0</v>
      </c>
      <c r="CG975" s="989">
        <f t="shared" si="2978"/>
        <v>0</v>
      </c>
      <c r="CH975" s="990">
        <f t="shared" si="2978"/>
        <v>0</v>
      </c>
      <c r="CI975" s="990">
        <f t="shared" si="2978"/>
        <v>0</v>
      </c>
      <c r="CJ975" s="989">
        <f t="shared" si="2978"/>
        <v>0</v>
      </c>
      <c r="CK975" s="989">
        <f t="shared" si="2978"/>
        <v>0</v>
      </c>
      <c r="CL975" s="989">
        <f t="shared" si="2978"/>
        <v>0</v>
      </c>
      <c r="CM975" s="988">
        <f t="shared" si="2978"/>
        <v>0</v>
      </c>
      <c r="CN975" s="533" t="str">
        <f t="shared" ref="CN975:DD975" si="2979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2979"/>
        <v/>
      </c>
      <c r="CP975" s="535" t="str">
        <f t="shared" si="2979"/>
        <v/>
      </c>
      <c r="CQ975" s="535" t="str">
        <f t="shared" si="2979"/>
        <v/>
      </c>
      <c r="CR975" s="535">
        <f t="shared" si="2979"/>
        <v>0</v>
      </c>
      <c r="CS975" s="535">
        <f t="shared" si="2979"/>
        <v>0</v>
      </c>
      <c r="CT975" s="535">
        <f t="shared" si="2979"/>
        <v>0</v>
      </c>
      <c r="CU975" s="536">
        <f t="shared" si="2979"/>
        <v>0</v>
      </c>
      <c r="CV975" s="536">
        <f t="shared" si="2979"/>
        <v>0</v>
      </c>
      <c r="CW975" s="536">
        <f t="shared" si="2979"/>
        <v>0</v>
      </c>
      <c r="CX975" s="535">
        <f t="shared" si="2979"/>
        <v>0</v>
      </c>
      <c r="CY975" s="535">
        <f t="shared" si="2979"/>
        <v>0</v>
      </c>
      <c r="CZ975" s="535">
        <f t="shared" si="2979"/>
        <v>0</v>
      </c>
      <c r="DA975" s="535">
        <f t="shared" si="2979"/>
        <v>0</v>
      </c>
      <c r="DB975" s="535" t="str">
        <f t="shared" si="2979"/>
        <v/>
      </c>
      <c r="DC975" s="534" t="str">
        <f t="shared" si="2979"/>
        <v/>
      </c>
      <c r="DD975" s="533" t="str">
        <f t="shared" si="2979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2980">SUM(B743)</f>
        <v>0</v>
      </c>
      <c r="C977" s="775">
        <f t="shared" si="2980"/>
        <v>0</v>
      </c>
      <c r="D977" s="775">
        <f t="shared" si="2980"/>
        <v>0</v>
      </c>
      <c r="E977" s="775">
        <f t="shared" si="2980"/>
        <v>0</v>
      </c>
      <c r="F977" s="775">
        <f t="shared" si="2980"/>
        <v>0</v>
      </c>
      <c r="G977" s="775">
        <f t="shared" si="2980"/>
        <v>0</v>
      </c>
      <c r="H977" s="775">
        <f t="shared" si="2980"/>
        <v>0</v>
      </c>
      <c r="I977" s="775">
        <f t="shared" si="2980"/>
        <v>0</v>
      </c>
      <c r="J977" s="775">
        <f t="shared" si="2980"/>
        <v>0</v>
      </c>
      <c r="K977" s="775">
        <f t="shared" si="2980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2981">SUM(T743)</f>
        <v>0</v>
      </c>
      <c r="U977" s="775">
        <f t="shared" si="2981"/>
        <v>0</v>
      </c>
      <c r="V977" s="775">
        <f t="shared" si="2981"/>
        <v>0</v>
      </c>
      <c r="W977" s="775">
        <f t="shared" si="2981"/>
        <v>0</v>
      </c>
      <c r="X977" s="775">
        <f t="shared" si="2981"/>
        <v>0</v>
      </c>
      <c r="Y977" s="775">
        <f t="shared" si="2981"/>
        <v>0</v>
      </c>
      <c r="Z977" s="775">
        <f t="shared" si="2981"/>
        <v>0</v>
      </c>
      <c r="AA977" s="775">
        <f t="shared" si="2981"/>
        <v>0</v>
      </c>
      <c r="AB977" s="775">
        <f t="shared" si="2981"/>
        <v>0</v>
      </c>
      <c r="AC977" s="775">
        <f t="shared" si="2981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2982">SUM(AL743)</f>
        <v>0</v>
      </c>
      <c r="AM977" s="775">
        <f t="shared" si="2982"/>
        <v>0</v>
      </c>
      <c r="AN977" s="775">
        <f t="shared" si="2982"/>
        <v>0</v>
      </c>
      <c r="AO977" s="775">
        <f t="shared" si="2982"/>
        <v>0</v>
      </c>
      <c r="AP977" s="775">
        <f t="shared" si="2982"/>
        <v>0</v>
      </c>
      <c r="AQ977" s="775">
        <f t="shared" si="2982"/>
        <v>0</v>
      </c>
      <c r="AR977" s="775">
        <f t="shared" si="2982"/>
        <v>0</v>
      </c>
      <c r="AS977" s="775">
        <f t="shared" si="2982"/>
        <v>0</v>
      </c>
      <c r="AT977" s="775">
        <f t="shared" si="2982"/>
        <v>0</v>
      </c>
      <c r="AU977" s="775">
        <f t="shared" si="2982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2983">SUM(BD743)</f>
        <v>0</v>
      </c>
      <c r="BE977" s="775">
        <f t="shared" si="2983"/>
        <v>0</v>
      </c>
      <c r="BF977" s="775">
        <f t="shared" si="2983"/>
        <v>0</v>
      </c>
      <c r="BG977" s="775">
        <f t="shared" si="2983"/>
        <v>0</v>
      </c>
      <c r="BH977" s="775">
        <f t="shared" si="2983"/>
        <v>0</v>
      </c>
      <c r="BI977" s="775">
        <f t="shared" si="2983"/>
        <v>0</v>
      </c>
      <c r="BJ977" s="775">
        <f t="shared" si="2983"/>
        <v>0</v>
      </c>
      <c r="BK977" s="775">
        <f t="shared" si="2983"/>
        <v>0</v>
      </c>
      <c r="BL977" s="775">
        <f t="shared" si="2983"/>
        <v>0</v>
      </c>
      <c r="BM977" s="775">
        <f t="shared" si="2983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29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2984"/>
        <v>0</v>
      </c>
      <c r="CG977" s="989">
        <f t="shared" si="2984"/>
        <v>0</v>
      </c>
      <c r="CH977" s="990">
        <f t="shared" si="2984"/>
        <v>0</v>
      </c>
      <c r="CI977" s="990">
        <f t="shared" si="2984"/>
        <v>0</v>
      </c>
      <c r="CJ977" s="989">
        <f t="shared" si="2984"/>
        <v>0</v>
      </c>
      <c r="CK977" s="989">
        <f t="shared" si="2984"/>
        <v>0</v>
      </c>
      <c r="CL977" s="989">
        <f t="shared" si="2984"/>
        <v>0</v>
      </c>
      <c r="CM977" s="988">
        <f t="shared" si="2984"/>
        <v>0</v>
      </c>
      <c r="CN977" s="533" t="str">
        <f t="shared" ref="CN977:DD977" si="2985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2985"/>
        <v/>
      </c>
      <c r="CP977" s="535" t="str">
        <f t="shared" si="2985"/>
        <v/>
      </c>
      <c r="CQ977" s="535" t="str">
        <f t="shared" si="2985"/>
        <v/>
      </c>
      <c r="CR977" s="535">
        <f t="shared" si="2985"/>
        <v>0</v>
      </c>
      <c r="CS977" s="535">
        <f t="shared" si="2985"/>
        <v>0</v>
      </c>
      <c r="CT977" s="535">
        <f t="shared" si="2985"/>
        <v>0</v>
      </c>
      <c r="CU977" s="536">
        <f t="shared" si="2985"/>
        <v>0</v>
      </c>
      <c r="CV977" s="536">
        <f t="shared" si="2985"/>
        <v>0</v>
      </c>
      <c r="CW977" s="536">
        <f t="shared" si="2985"/>
        <v>0</v>
      </c>
      <c r="CX977" s="535">
        <f t="shared" si="2985"/>
        <v>0</v>
      </c>
      <c r="CY977" s="535">
        <f t="shared" si="2985"/>
        <v>0</v>
      </c>
      <c r="CZ977" s="535">
        <f t="shared" si="2985"/>
        <v>0</v>
      </c>
      <c r="DA977" s="535">
        <f t="shared" si="2985"/>
        <v>0</v>
      </c>
      <c r="DB977" s="535" t="str">
        <f t="shared" si="2985"/>
        <v/>
      </c>
      <c r="DC977" s="534" t="str">
        <f t="shared" si="2985"/>
        <v/>
      </c>
      <c r="DD977" s="533" t="str">
        <f t="shared" si="2985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2986">SUM(B749)</f>
        <v>0</v>
      </c>
      <c r="C979" s="775">
        <f t="shared" si="2986"/>
        <v>0</v>
      </c>
      <c r="D979" s="775">
        <f t="shared" si="2986"/>
        <v>0</v>
      </c>
      <c r="E979" s="775">
        <f t="shared" si="2986"/>
        <v>0</v>
      </c>
      <c r="F979" s="775">
        <f t="shared" si="2986"/>
        <v>0</v>
      </c>
      <c r="G979" s="775">
        <f t="shared" si="2986"/>
        <v>0</v>
      </c>
      <c r="H979" s="775">
        <f t="shared" si="2986"/>
        <v>0</v>
      </c>
      <c r="I979" s="775">
        <f t="shared" si="2986"/>
        <v>0</v>
      </c>
      <c r="J979" s="775">
        <f t="shared" si="2986"/>
        <v>0</v>
      </c>
      <c r="K979" s="775">
        <f t="shared" si="2986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2987">SUM(T749)</f>
        <v>0</v>
      </c>
      <c r="U979" s="775">
        <f t="shared" si="2987"/>
        <v>0</v>
      </c>
      <c r="V979" s="775">
        <f t="shared" si="2987"/>
        <v>0</v>
      </c>
      <c r="W979" s="775">
        <f t="shared" si="2987"/>
        <v>0</v>
      </c>
      <c r="X979" s="775">
        <f t="shared" si="2987"/>
        <v>0</v>
      </c>
      <c r="Y979" s="775">
        <f t="shared" si="2987"/>
        <v>0</v>
      </c>
      <c r="Z979" s="775">
        <f t="shared" si="2987"/>
        <v>0</v>
      </c>
      <c r="AA979" s="775">
        <f t="shared" si="2987"/>
        <v>0</v>
      </c>
      <c r="AB979" s="775">
        <f t="shared" si="2987"/>
        <v>0</v>
      </c>
      <c r="AC979" s="775">
        <f t="shared" si="2987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2988">SUM(AL749)</f>
        <v>0</v>
      </c>
      <c r="AM979" s="775">
        <f t="shared" si="2988"/>
        <v>0</v>
      </c>
      <c r="AN979" s="775">
        <f t="shared" si="2988"/>
        <v>0</v>
      </c>
      <c r="AO979" s="775">
        <f t="shared" si="2988"/>
        <v>0</v>
      </c>
      <c r="AP979" s="775">
        <f t="shared" si="2988"/>
        <v>0</v>
      </c>
      <c r="AQ979" s="775">
        <f t="shared" si="2988"/>
        <v>0</v>
      </c>
      <c r="AR979" s="775">
        <f t="shared" si="2988"/>
        <v>0</v>
      </c>
      <c r="AS979" s="775">
        <f t="shared" si="2988"/>
        <v>0</v>
      </c>
      <c r="AT979" s="775">
        <f t="shared" si="2988"/>
        <v>0</v>
      </c>
      <c r="AU979" s="775">
        <f t="shared" si="2988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2989">SUM(BD749)</f>
        <v>0</v>
      </c>
      <c r="BE979" s="775">
        <f t="shared" si="2989"/>
        <v>0</v>
      </c>
      <c r="BF979" s="775">
        <f t="shared" si="2989"/>
        <v>0</v>
      </c>
      <c r="BG979" s="775">
        <f t="shared" si="2989"/>
        <v>0</v>
      </c>
      <c r="BH979" s="775">
        <f t="shared" si="2989"/>
        <v>0</v>
      </c>
      <c r="BI979" s="775">
        <f t="shared" si="2989"/>
        <v>0</v>
      </c>
      <c r="BJ979" s="775">
        <f t="shared" si="2989"/>
        <v>0</v>
      </c>
      <c r="BK979" s="775">
        <f t="shared" si="2989"/>
        <v>0</v>
      </c>
      <c r="BL979" s="775">
        <f t="shared" si="2989"/>
        <v>0</v>
      </c>
      <c r="BM979" s="775">
        <f t="shared" si="2989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29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2990"/>
        <v>0</v>
      </c>
      <c r="CG979" s="989">
        <f t="shared" si="2990"/>
        <v>0</v>
      </c>
      <c r="CH979" s="990">
        <f t="shared" si="2990"/>
        <v>0</v>
      </c>
      <c r="CI979" s="990">
        <f t="shared" si="2990"/>
        <v>0</v>
      </c>
      <c r="CJ979" s="989">
        <f t="shared" si="2990"/>
        <v>0</v>
      </c>
      <c r="CK979" s="989">
        <f t="shared" si="2990"/>
        <v>0</v>
      </c>
      <c r="CL979" s="989">
        <f t="shared" si="2990"/>
        <v>0</v>
      </c>
      <c r="CM979" s="988">
        <f t="shared" si="2990"/>
        <v>0</v>
      </c>
      <c r="CN979" s="533" t="str">
        <f t="shared" ref="CN979:DD979" si="2991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2991"/>
        <v/>
      </c>
      <c r="CP979" s="535" t="str">
        <f t="shared" si="2991"/>
        <v/>
      </c>
      <c r="CQ979" s="535" t="str">
        <f t="shared" si="2991"/>
        <v/>
      </c>
      <c r="CR979" s="535">
        <f t="shared" si="2991"/>
        <v>0</v>
      </c>
      <c r="CS979" s="535">
        <f t="shared" si="2991"/>
        <v>0</v>
      </c>
      <c r="CT979" s="535">
        <f t="shared" si="2991"/>
        <v>0</v>
      </c>
      <c r="CU979" s="536">
        <f t="shared" si="2991"/>
        <v>0</v>
      </c>
      <c r="CV979" s="536">
        <f t="shared" si="2991"/>
        <v>0</v>
      </c>
      <c r="CW979" s="536">
        <f t="shared" si="2991"/>
        <v>0</v>
      </c>
      <c r="CX979" s="535">
        <f t="shared" si="2991"/>
        <v>0</v>
      </c>
      <c r="CY979" s="535">
        <f t="shared" si="2991"/>
        <v>0</v>
      </c>
      <c r="CZ979" s="535">
        <f t="shared" si="2991"/>
        <v>0</v>
      </c>
      <c r="DA979" s="535">
        <f t="shared" si="2991"/>
        <v>0</v>
      </c>
      <c r="DB979" s="535" t="str">
        <f t="shared" si="2991"/>
        <v/>
      </c>
      <c r="DC979" s="534" t="str">
        <f t="shared" si="2991"/>
        <v/>
      </c>
      <c r="DD979" s="533" t="str">
        <f t="shared" si="2991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2992">SUM(B765)</f>
        <v>0</v>
      </c>
      <c r="C981" s="775">
        <f t="shared" si="2992"/>
        <v>0</v>
      </c>
      <c r="D981" s="775">
        <f t="shared" si="2992"/>
        <v>0</v>
      </c>
      <c r="E981" s="775">
        <f t="shared" si="2992"/>
        <v>0</v>
      </c>
      <c r="F981" s="775">
        <f t="shared" si="2992"/>
        <v>0</v>
      </c>
      <c r="G981" s="775">
        <f t="shared" si="2992"/>
        <v>0</v>
      </c>
      <c r="H981" s="775">
        <f t="shared" si="2992"/>
        <v>0</v>
      </c>
      <c r="I981" s="775">
        <f t="shared" si="2992"/>
        <v>0</v>
      </c>
      <c r="J981" s="775">
        <f t="shared" si="2992"/>
        <v>0</v>
      </c>
      <c r="K981" s="775">
        <f t="shared" si="2992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2993">SUM(T765)</f>
        <v>0</v>
      </c>
      <c r="U981" s="775">
        <f t="shared" si="2993"/>
        <v>0</v>
      </c>
      <c r="V981" s="775">
        <f t="shared" si="2993"/>
        <v>0</v>
      </c>
      <c r="W981" s="775">
        <f t="shared" si="2993"/>
        <v>0</v>
      </c>
      <c r="X981" s="775">
        <f t="shared" si="2993"/>
        <v>0</v>
      </c>
      <c r="Y981" s="775">
        <f t="shared" si="2993"/>
        <v>0</v>
      </c>
      <c r="Z981" s="775">
        <f t="shared" si="2993"/>
        <v>0</v>
      </c>
      <c r="AA981" s="775">
        <f t="shared" si="2993"/>
        <v>0</v>
      </c>
      <c r="AB981" s="775">
        <f t="shared" si="2993"/>
        <v>0</v>
      </c>
      <c r="AC981" s="775">
        <f t="shared" si="2993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2994">SUM(AL765)</f>
        <v>0</v>
      </c>
      <c r="AM981" s="775">
        <f t="shared" si="2994"/>
        <v>0</v>
      </c>
      <c r="AN981" s="775">
        <f t="shared" si="2994"/>
        <v>0</v>
      </c>
      <c r="AO981" s="775">
        <f t="shared" si="2994"/>
        <v>0</v>
      </c>
      <c r="AP981" s="775">
        <f t="shared" si="2994"/>
        <v>0</v>
      </c>
      <c r="AQ981" s="775">
        <f t="shared" si="2994"/>
        <v>0</v>
      </c>
      <c r="AR981" s="775">
        <f t="shared" si="2994"/>
        <v>0</v>
      </c>
      <c r="AS981" s="775">
        <f t="shared" si="2994"/>
        <v>0</v>
      </c>
      <c r="AT981" s="775">
        <f t="shared" si="2994"/>
        <v>0</v>
      </c>
      <c r="AU981" s="775">
        <f t="shared" si="2994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2995">SUM(BD765)</f>
        <v>0</v>
      </c>
      <c r="BE981" s="775">
        <f t="shared" si="2995"/>
        <v>0</v>
      </c>
      <c r="BF981" s="775">
        <f t="shared" si="2995"/>
        <v>0</v>
      </c>
      <c r="BG981" s="775">
        <f t="shared" si="2995"/>
        <v>0</v>
      </c>
      <c r="BH981" s="775">
        <f t="shared" si="2995"/>
        <v>0</v>
      </c>
      <c r="BI981" s="775">
        <f t="shared" si="2995"/>
        <v>0</v>
      </c>
      <c r="BJ981" s="775">
        <f t="shared" si="2995"/>
        <v>0</v>
      </c>
      <c r="BK981" s="775">
        <f t="shared" si="2995"/>
        <v>0</v>
      </c>
      <c r="BL981" s="775">
        <f t="shared" si="2995"/>
        <v>0</v>
      </c>
      <c r="BM981" s="775">
        <f t="shared" si="2995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29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2996"/>
        <v>0</v>
      </c>
      <c r="CF981" s="989">
        <f t="shared" si="2996"/>
        <v>0</v>
      </c>
      <c r="CG981" s="989">
        <f t="shared" si="2996"/>
        <v>0</v>
      </c>
      <c r="CH981" s="990">
        <f t="shared" si="2996"/>
        <v>0</v>
      </c>
      <c r="CI981" s="990">
        <f t="shared" si="2996"/>
        <v>0</v>
      </c>
      <c r="CJ981" s="989">
        <f t="shared" si="2996"/>
        <v>0</v>
      </c>
      <c r="CK981" s="989">
        <f t="shared" si="2996"/>
        <v>0</v>
      </c>
      <c r="CL981" s="989">
        <f t="shared" si="2996"/>
        <v>0</v>
      </c>
      <c r="CM981" s="988">
        <f t="shared" si="2996"/>
        <v>0</v>
      </c>
      <c r="CN981" s="533" t="str">
        <f t="shared" ref="CN981:CW983" si="2997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2997"/>
        <v/>
      </c>
      <c r="CP981" s="535" t="str">
        <f t="shared" si="2997"/>
        <v/>
      </c>
      <c r="CQ981" s="535" t="str">
        <f t="shared" si="2997"/>
        <v/>
      </c>
      <c r="CR981" s="535">
        <f t="shared" si="2997"/>
        <v>0</v>
      </c>
      <c r="CS981" s="535">
        <f t="shared" si="2997"/>
        <v>0</v>
      </c>
      <c r="CT981" s="535">
        <f t="shared" si="2997"/>
        <v>0</v>
      </c>
      <c r="CU981" s="536">
        <f t="shared" si="2997"/>
        <v>0</v>
      </c>
      <c r="CV981" s="536">
        <f t="shared" si="2997"/>
        <v>0</v>
      </c>
      <c r="CW981" s="536">
        <f t="shared" si="2997"/>
        <v>0</v>
      </c>
      <c r="CX981" s="535">
        <f t="shared" ref="CX981:DD983" si="2998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2998"/>
        <v>0</v>
      </c>
      <c r="CZ981" s="535">
        <f t="shared" si="2998"/>
        <v>0</v>
      </c>
      <c r="DA981" s="535">
        <f t="shared" si="2998"/>
        <v>0</v>
      </c>
      <c r="DB981" s="535" t="str">
        <f t="shared" si="2998"/>
        <v/>
      </c>
      <c r="DC981" s="534" t="str">
        <f t="shared" si="2998"/>
        <v/>
      </c>
      <c r="DD981" s="533" t="str">
        <f t="shared" si="2998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2999">SUM(B770)</f>
        <v>0</v>
      </c>
      <c r="C982" s="775">
        <f t="shared" si="2999"/>
        <v>0</v>
      </c>
      <c r="D982" s="775">
        <f t="shared" si="2999"/>
        <v>0</v>
      </c>
      <c r="E982" s="775">
        <f t="shared" si="2999"/>
        <v>0</v>
      </c>
      <c r="F982" s="775">
        <f t="shared" si="2999"/>
        <v>0</v>
      </c>
      <c r="G982" s="775">
        <f t="shared" si="2999"/>
        <v>0</v>
      </c>
      <c r="H982" s="775">
        <f t="shared" si="2999"/>
        <v>0</v>
      </c>
      <c r="I982" s="775">
        <f t="shared" si="2999"/>
        <v>0</v>
      </c>
      <c r="J982" s="775">
        <f t="shared" si="2999"/>
        <v>0</v>
      </c>
      <c r="K982" s="775">
        <f t="shared" si="2999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000">SUM(T770)</f>
        <v>0</v>
      </c>
      <c r="U982" s="775">
        <f t="shared" si="3000"/>
        <v>0</v>
      </c>
      <c r="V982" s="775">
        <f t="shared" si="3000"/>
        <v>0</v>
      </c>
      <c r="W982" s="775">
        <f t="shared" si="3000"/>
        <v>0</v>
      </c>
      <c r="X982" s="775">
        <f t="shared" si="3000"/>
        <v>0</v>
      </c>
      <c r="Y982" s="775">
        <f t="shared" si="3000"/>
        <v>0</v>
      </c>
      <c r="Z982" s="775">
        <f t="shared" si="3000"/>
        <v>0</v>
      </c>
      <c r="AA982" s="775">
        <f t="shared" si="3000"/>
        <v>0</v>
      </c>
      <c r="AB982" s="775">
        <f t="shared" si="3000"/>
        <v>0</v>
      </c>
      <c r="AC982" s="775">
        <f t="shared" si="3000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001">SUM(AL770)</f>
        <v>0</v>
      </c>
      <c r="AM982" s="775">
        <f t="shared" si="3001"/>
        <v>0</v>
      </c>
      <c r="AN982" s="775">
        <f t="shared" si="3001"/>
        <v>0</v>
      </c>
      <c r="AO982" s="775">
        <f t="shared" si="3001"/>
        <v>0</v>
      </c>
      <c r="AP982" s="775">
        <f t="shared" si="3001"/>
        <v>0</v>
      </c>
      <c r="AQ982" s="775">
        <f t="shared" si="3001"/>
        <v>0</v>
      </c>
      <c r="AR982" s="775">
        <f t="shared" si="3001"/>
        <v>0</v>
      </c>
      <c r="AS982" s="775">
        <f t="shared" si="3001"/>
        <v>0</v>
      </c>
      <c r="AT982" s="775">
        <f t="shared" si="3001"/>
        <v>0</v>
      </c>
      <c r="AU982" s="775">
        <f t="shared" si="3001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002">SUM(BD770)</f>
        <v>0</v>
      </c>
      <c r="BE982" s="775">
        <f t="shared" si="3002"/>
        <v>0</v>
      </c>
      <c r="BF982" s="775">
        <f t="shared" si="3002"/>
        <v>0</v>
      </c>
      <c r="BG982" s="775">
        <f t="shared" si="3002"/>
        <v>0</v>
      </c>
      <c r="BH982" s="775">
        <f t="shared" si="3002"/>
        <v>0</v>
      </c>
      <c r="BI982" s="775">
        <f t="shared" si="3002"/>
        <v>0</v>
      </c>
      <c r="BJ982" s="775">
        <f t="shared" si="3002"/>
        <v>0</v>
      </c>
      <c r="BK982" s="775">
        <f t="shared" si="3002"/>
        <v>0</v>
      </c>
      <c r="BL982" s="775">
        <f t="shared" si="3002"/>
        <v>0</v>
      </c>
      <c r="BM982" s="775">
        <f t="shared" si="3002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0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003"/>
        <v>0</v>
      </c>
      <c r="CG982" s="989">
        <f t="shared" si="3003"/>
        <v>0</v>
      </c>
      <c r="CH982" s="990">
        <f t="shared" si="3003"/>
        <v>0</v>
      </c>
      <c r="CI982" s="990">
        <f t="shared" si="3003"/>
        <v>0</v>
      </c>
      <c r="CJ982" s="989">
        <f t="shared" si="3003"/>
        <v>0</v>
      </c>
      <c r="CK982" s="989">
        <f t="shared" si="3003"/>
        <v>0</v>
      </c>
      <c r="CL982" s="989">
        <f t="shared" si="3003"/>
        <v>0</v>
      </c>
      <c r="CM982" s="988">
        <f t="shared" si="3003"/>
        <v>0</v>
      </c>
      <c r="CN982" s="533" t="str">
        <f t="shared" si="2997"/>
        <v/>
      </c>
      <c r="CO982" s="534" t="str">
        <f t="shared" si="2997"/>
        <v/>
      </c>
      <c r="CP982" s="535" t="str">
        <f t="shared" si="2997"/>
        <v/>
      </c>
      <c r="CQ982" s="535" t="str">
        <f t="shared" si="2997"/>
        <v/>
      </c>
      <c r="CR982" s="535">
        <f t="shared" si="2997"/>
        <v>0</v>
      </c>
      <c r="CS982" s="535">
        <f t="shared" si="2997"/>
        <v>0</v>
      </c>
      <c r="CT982" s="535">
        <f t="shared" si="2997"/>
        <v>0</v>
      </c>
      <c r="CU982" s="536">
        <f t="shared" si="2997"/>
        <v>0</v>
      </c>
      <c r="CV982" s="536">
        <f t="shared" si="2997"/>
        <v>0</v>
      </c>
      <c r="CW982" s="536">
        <f t="shared" si="2997"/>
        <v>0</v>
      </c>
      <c r="CX982" s="535">
        <f t="shared" si="2998"/>
        <v>0</v>
      </c>
      <c r="CY982" s="535">
        <f t="shared" si="2998"/>
        <v>0</v>
      </c>
      <c r="CZ982" s="535">
        <f t="shared" si="2998"/>
        <v>0</v>
      </c>
      <c r="DA982" s="535">
        <f t="shared" si="2998"/>
        <v>0</v>
      </c>
      <c r="DB982" s="535" t="str">
        <f t="shared" si="2998"/>
        <v/>
      </c>
      <c r="DC982" s="534" t="str">
        <f t="shared" si="2998"/>
        <v/>
      </c>
      <c r="DD982" s="533" t="str">
        <f t="shared" si="2998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004">SUM(B727)</f>
        <v>0</v>
      </c>
      <c r="C983" s="775">
        <f t="shared" si="3004"/>
        <v>0</v>
      </c>
      <c r="D983" s="775">
        <f t="shared" si="3004"/>
        <v>0</v>
      </c>
      <c r="E983" s="775">
        <f t="shared" si="3004"/>
        <v>0</v>
      </c>
      <c r="F983" s="775">
        <f t="shared" si="3004"/>
        <v>0</v>
      </c>
      <c r="G983" s="775">
        <f t="shared" si="3004"/>
        <v>0</v>
      </c>
      <c r="H983" s="775">
        <f t="shared" si="3004"/>
        <v>0</v>
      </c>
      <c r="I983" s="775">
        <f t="shared" si="3004"/>
        <v>0</v>
      </c>
      <c r="J983" s="775">
        <f t="shared" si="3004"/>
        <v>0</v>
      </c>
      <c r="K983" s="775">
        <f t="shared" si="3004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005">SUM(T727)</f>
        <v>0</v>
      </c>
      <c r="U983" s="775">
        <f t="shared" si="3005"/>
        <v>0</v>
      </c>
      <c r="V983" s="775">
        <f t="shared" si="3005"/>
        <v>0</v>
      </c>
      <c r="W983" s="775">
        <f t="shared" si="3005"/>
        <v>0</v>
      </c>
      <c r="X983" s="775">
        <f t="shared" si="3005"/>
        <v>0</v>
      </c>
      <c r="Y983" s="775">
        <f t="shared" si="3005"/>
        <v>0</v>
      </c>
      <c r="Z983" s="775">
        <f t="shared" si="3005"/>
        <v>0</v>
      </c>
      <c r="AA983" s="775">
        <f t="shared" si="3005"/>
        <v>0</v>
      </c>
      <c r="AB983" s="775">
        <f t="shared" si="3005"/>
        <v>0</v>
      </c>
      <c r="AC983" s="775">
        <f t="shared" si="3005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006">SUM(AL727)</f>
        <v>0</v>
      </c>
      <c r="AM983" s="775">
        <f t="shared" si="3006"/>
        <v>0</v>
      </c>
      <c r="AN983" s="775">
        <f t="shared" si="3006"/>
        <v>0</v>
      </c>
      <c r="AO983" s="775">
        <f t="shared" si="3006"/>
        <v>0</v>
      </c>
      <c r="AP983" s="775">
        <f t="shared" si="3006"/>
        <v>0</v>
      </c>
      <c r="AQ983" s="775">
        <f t="shared" si="3006"/>
        <v>0</v>
      </c>
      <c r="AR983" s="775">
        <f t="shared" si="3006"/>
        <v>0</v>
      </c>
      <c r="AS983" s="775">
        <f t="shared" si="3006"/>
        <v>0</v>
      </c>
      <c r="AT983" s="775">
        <f t="shared" si="3006"/>
        <v>0</v>
      </c>
      <c r="AU983" s="775">
        <f t="shared" si="3006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007">SUM(BD727)</f>
        <v>0</v>
      </c>
      <c r="BE983" s="775">
        <f t="shared" si="3007"/>
        <v>0</v>
      </c>
      <c r="BF983" s="775">
        <f t="shared" si="3007"/>
        <v>0</v>
      </c>
      <c r="BG983" s="775">
        <f t="shared" si="3007"/>
        <v>0</v>
      </c>
      <c r="BH983" s="775">
        <f t="shared" si="3007"/>
        <v>0</v>
      </c>
      <c r="BI983" s="775">
        <f t="shared" si="3007"/>
        <v>0</v>
      </c>
      <c r="BJ983" s="775">
        <f t="shared" si="3007"/>
        <v>0</v>
      </c>
      <c r="BK983" s="775">
        <f t="shared" si="3007"/>
        <v>0</v>
      </c>
      <c r="BL983" s="775">
        <f t="shared" si="3007"/>
        <v>0</v>
      </c>
      <c r="BM983" s="775">
        <f t="shared" si="3007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003"/>
        <v>0</v>
      </c>
      <c r="CF983" s="989">
        <f t="shared" si="3003"/>
        <v>0</v>
      </c>
      <c r="CG983" s="989">
        <f t="shared" si="3003"/>
        <v>0</v>
      </c>
      <c r="CH983" s="990">
        <f t="shared" si="3003"/>
        <v>0</v>
      </c>
      <c r="CI983" s="990">
        <f t="shared" si="3003"/>
        <v>0</v>
      </c>
      <c r="CJ983" s="989">
        <f t="shared" si="3003"/>
        <v>0</v>
      </c>
      <c r="CK983" s="989">
        <f t="shared" si="3003"/>
        <v>0</v>
      </c>
      <c r="CL983" s="989">
        <f t="shared" si="3003"/>
        <v>0</v>
      </c>
      <c r="CM983" s="988">
        <f t="shared" si="3003"/>
        <v>0</v>
      </c>
      <c r="CN983" s="533" t="str">
        <f t="shared" si="2997"/>
        <v/>
      </c>
      <c r="CO983" s="534" t="str">
        <f t="shared" si="2997"/>
        <v/>
      </c>
      <c r="CP983" s="535" t="str">
        <f t="shared" si="2997"/>
        <v/>
      </c>
      <c r="CQ983" s="535" t="str">
        <f t="shared" si="2997"/>
        <v/>
      </c>
      <c r="CR983" s="535">
        <f t="shared" si="2997"/>
        <v>0</v>
      </c>
      <c r="CS983" s="535">
        <f t="shared" si="2997"/>
        <v>0</v>
      </c>
      <c r="CT983" s="535">
        <f t="shared" si="2997"/>
        <v>0</v>
      </c>
      <c r="CU983" s="536">
        <f t="shared" si="2997"/>
        <v>0</v>
      </c>
      <c r="CV983" s="536">
        <f t="shared" si="2997"/>
        <v>0</v>
      </c>
      <c r="CW983" s="536">
        <f t="shared" si="2997"/>
        <v>0</v>
      </c>
      <c r="CX983" s="535">
        <f t="shared" si="2998"/>
        <v>0</v>
      </c>
      <c r="CY983" s="535">
        <f t="shared" si="2998"/>
        <v>0</v>
      </c>
      <c r="CZ983" s="535">
        <f t="shared" si="2998"/>
        <v>0</v>
      </c>
      <c r="DA983" s="535">
        <f t="shared" si="2998"/>
        <v>0</v>
      </c>
      <c r="DB983" s="535" t="str">
        <f t="shared" si="2998"/>
        <v/>
      </c>
      <c r="DC983" s="534" t="str">
        <f t="shared" si="2998"/>
        <v/>
      </c>
      <c r="DD983" s="533" t="str">
        <f t="shared" si="2998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008">SUM(B904:B984)</f>
        <v>0</v>
      </c>
      <c r="C985" s="775">
        <f t="shared" si="3008"/>
        <v>0</v>
      </c>
      <c r="D985" s="775">
        <f t="shared" si="3008"/>
        <v>0</v>
      </c>
      <c r="E985" s="775">
        <f t="shared" si="3008"/>
        <v>0</v>
      </c>
      <c r="F985" s="775">
        <f t="shared" si="3008"/>
        <v>0</v>
      </c>
      <c r="G985" s="775">
        <f t="shared" si="3008"/>
        <v>0</v>
      </c>
      <c r="H985" s="775">
        <f t="shared" si="3008"/>
        <v>0</v>
      </c>
      <c r="I985" s="775">
        <f t="shared" si="3008"/>
        <v>0</v>
      </c>
      <c r="J985" s="775">
        <f t="shared" si="3008"/>
        <v>0</v>
      </c>
      <c r="K985" s="775">
        <f t="shared" si="3008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009">SUM(T904:T984)</f>
        <v>0</v>
      </c>
      <c r="U985" s="775">
        <f t="shared" si="3009"/>
        <v>0</v>
      </c>
      <c r="V985" s="775">
        <f t="shared" si="3009"/>
        <v>0</v>
      </c>
      <c r="W985" s="775">
        <f t="shared" si="3009"/>
        <v>0</v>
      </c>
      <c r="X985" s="775">
        <f t="shared" si="3009"/>
        <v>0</v>
      </c>
      <c r="Y985" s="775">
        <f t="shared" si="3009"/>
        <v>0</v>
      </c>
      <c r="Z985" s="775">
        <f t="shared" si="3009"/>
        <v>0</v>
      </c>
      <c r="AA985" s="775">
        <f t="shared" si="3009"/>
        <v>0</v>
      </c>
      <c r="AB985" s="775">
        <f t="shared" si="3009"/>
        <v>0</v>
      </c>
      <c r="AC985" s="775">
        <f t="shared" si="3009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010">SUM(AL904:AL984)</f>
        <v>0</v>
      </c>
      <c r="AM985" s="775">
        <f t="shared" si="3010"/>
        <v>0</v>
      </c>
      <c r="AN985" s="775">
        <f t="shared" si="3010"/>
        <v>0</v>
      </c>
      <c r="AO985" s="775">
        <f t="shared" si="3010"/>
        <v>0</v>
      </c>
      <c r="AP985" s="775">
        <f t="shared" si="3010"/>
        <v>0</v>
      </c>
      <c r="AQ985" s="775">
        <f t="shared" si="3010"/>
        <v>0</v>
      </c>
      <c r="AR985" s="775">
        <f t="shared" si="3010"/>
        <v>0</v>
      </c>
      <c r="AS985" s="775">
        <f t="shared" si="3010"/>
        <v>0</v>
      </c>
      <c r="AT985" s="775">
        <f t="shared" si="3010"/>
        <v>0</v>
      </c>
      <c r="AU985" s="775">
        <f t="shared" si="3010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011">SUM(BD904:BD984)</f>
        <v>0</v>
      </c>
      <c r="BE985" s="775">
        <f t="shared" si="3011"/>
        <v>0</v>
      </c>
      <c r="BF985" s="775">
        <f t="shared" si="3011"/>
        <v>0</v>
      </c>
      <c r="BG985" s="775">
        <f t="shared" si="3011"/>
        <v>0</v>
      </c>
      <c r="BH985" s="775">
        <f t="shared" si="3011"/>
        <v>0</v>
      </c>
      <c r="BI985" s="775">
        <f t="shared" si="3011"/>
        <v>0</v>
      </c>
      <c r="BJ985" s="775">
        <f t="shared" si="3011"/>
        <v>0</v>
      </c>
      <c r="BK985" s="775">
        <f t="shared" si="3011"/>
        <v>0</v>
      </c>
      <c r="BL985" s="775">
        <f t="shared" si="3011"/>
        <v>0</v>
      </c>
      <c r="BM985" s="775">
        <f t="shared" si="3011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26016</v>
      </c>
      <c r="BW985" s="775">
        <f>SUM(BW904:BW984)</f>
        <v>31986</v>
      </c>
      <c r="BX985" s="775">
        <f>SUM(BX904:BX984)</f>
        <v>57600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0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012"/>
        <v>0</v>
      </c>
      <c r="CG985" s="989">
        <f t="shared" si="3012"/>
        <v>0</v>
      </c>
      <c r="CH985" s="990">
        <f t="shared" si="3012"/>
        <v>0</v>
      </c>
      <c r="CI985" s="990">
        <f t="shared" si="3012"/>
        <v>0</v>
      </c>
      <c r="CJ985" s="989">
        <f t="shared" si="3012"/>
        <v>0</v>
      </c>
      <c r="CK985" s="989">
        <f t="shared" si="3012"/>
        <v>0</v>
      </c>
      <c r="CL985" s="989">
        <f t="shared" si="3012"/>
        <v>0</v>
      </c>
      <c r="CM985" s="988">
        <f t="shared" si="3012"/>
        <v>0</v>
      </c>
      <c r="CN985" s="533" t="str">
        <f t="shared" ref="CN985:DD985" si="3013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013"/>
        <v/>
      </c>
      <c r="CP985" s="535" t="str">
        <f t="shared" si="3013"/>
        <v/>
      </c>
      <c r="CQ985" s="535" t="str">
        <f t="shared" si="3013"/>
        <v/>
      </c>
      <c r="CR985" s="535">
        <f t="shared" si="3013"/>
        <v>0</v>
      </c>
      <c r="CS985" s="535">
        <f t="shared" si="3013"/>
        <v>0</v>
      </c>
      <c r="CT985" s="535">
        <f t="shared" si="3013"/>
        <v>0</v>
      </c>
      <c r="CU985" s="536">
        <f t="shared" si="3013"/>
        <v>0</v>
      </c>
      <c r="CV985" s="536">
        <f t="shared" si="3013"/>
        <v>0</v>
      </c>
      <c r="CW985" s="536">
        <f t="shared" si="3013"/>
        <v>0</v>
      </c>
      <c r="CX985" s="535">
        <f t="shared" si="3013"/>
        <v>0</v>
      </c>
      <c r="CY985" s="535">
        <f t="shared" si="3013"/>
        <v>0</v>
      </c>
      <c r="CZ985" s="535">
        <f t="shared" si="3013"/>
        <v>0</v>
      </c>
      <c r="DA985" s="535">
        <f t="shared" si="3013"/>
        <v>0</v>
      </c>
      <c r="DB985" s="535" t="str">
        <f t="shared" si="3013"/>
        <v/>
      </c>
      <c r="DC985" s="534" t="str">
        <f t="shared" si="3013"/>
        <v/>
      </c>
      <c r="DD985" s="533" t="str">
        <f t="shared" si="3013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014">SUM(C457,C466,C475,C484,C493,C502,C635)</f>
        <v>0</v>
      </c>
      <c r="D988" s="775">
        <f t="shared" si="3014"/>
        <v>0</v>
      </c>
      <c r="E988" s="775">
        <f t="shared" si="3014"/>
        <v>0</v>
      </c>
      <c r="F988" s="775">
        <f t="shared" si="3014"/>
        <v>0</v>
      </c>
      <c r="G988" s="775">
        <f t="shared" si="3014"/>
        <v>0</v>
      </c>
      <c r="H988" s="775">
        <f t="shared" si="3014"/>
        <v>0</v>
      </c>
      <c r="I988" s="775">
        <f t="shared" si="3014"/>
        <v>0</v>
      </c>
      <c r="J988" s="775">
        <f t="shared" si="3014"/>
        <v>0</v>
      </c>
      <c r="K988" s="775">
        <f t="shared" si="3014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015">SUM(U457,U466,U475,U484,U493,U502,U635)</f>
        <v>0</v>
      </c>
      <c r="V988" s="775">
        <f t="shared" si="3015"/>
        <v>0</v>
      </c>
      <c r="W988" s="775">
        <f t="shared" si="3015"/>
        <v>0</v>
      </c>
      <c r="X988" s="775">
        <f t="shared" si="3015"/>
        <v>0</v>
      </c>
      <c r="Y988" s="775">
        <f t="shared" si="3015"/>
        <v>0</v>
      </c>
      <c r="Z988" s="775">
        <f t="shared" si="3015"/>
        <v>0</v>
      </c>
      <c r="AA988" s="775">
        <f t="shared" si="3015"/>
        <v>0</v>
      </c>
      <c r="AB988" s="775">
        <f t="shared" si="3015"/>
        <v>0</v>
      </c>
      <c r="AC988" s="775">
        <f t="shared" si="3015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016">SUM(AM457,AM466,AM475,AM484,AM493,AM502,AM635)</f>
        <v>0</v>
      </c>
      <c r="AN988" s="775">
        <f t="shared" si="3016"/>
        <v>0</v>
      </c>
      <c r="AO988" s="775">
        <f t="shared" si="3016"/>
        <v>0</v>
      </c>
      <c r="AP988" s="775">
        <f t="shared" si="3016"/>
        <v>0</v>
      </c>
      <c r="AQ988" s="775">
        <f t="shared" si="3016"/>
        <v>0</v>
      </c>
      <c r="AR988" s="775">
        <f t="shared" si="3016"/>
        <v>0</v>
      </c>
      <c r="AS988" s="775">
        <f t="shared" si="3016"/>
        <v>0</v>
      </c>
      <c r="AT988" s="775">
        <f t="shared" si="3016"/>
        <v>0</v>
      </c>
      <c r="AU988" s="775">
        <f t="shared" si="3016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017">SUM(BE457,BE466,BE475,BE484,BE493,BE502,BE635)</f>
        <v>0</v>
      </c>
      <c r="BF988" s="775">
        <f t="shared" si="3017"/>
        <v>0</v>
      </c>
      <c r="BG988" s="775">
        <f t="shared" si="3017"/>
        <v>0</v>
      </c>
      <c r="BH988" s="775">
        <f t="shared" si="3017"/>
        <v>0</v>
      </c>
      <c r="BI988" s="775">
        <f t="shared" si="3017"/>
        <v>0</v>
      </c>
      <c r="BJ988" s="775">
        <f t="shared" si="3017"/>
        <v>0</v>
      </c>
      <c r="BK988" s="775">
        <f t="shared" si="3017"/>
        <v>0</v>
      </c>
      <c r="BL988" s="775">
        <f t="shared" si="3017"/>
        <v>0</v>
      </c>
      <c r="BM988" s="775">
        <f t="shared" si="3017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>SUM(BW457,BW466,BW475,BW484,BW493,BW502,BW635)</f>
        <v>7060</v>
      </c>
      <c r="BX988" s="775">
        <f>SUM(BX457,BX466,BX475,BX484,BX493,BX502,BX635)</f>
        <v>9960</v>
      </c>
      <c r="BY988" s="775">
        <f>SUM(BY457,BY466,BY475,BY484,BY493,BY502,BY635)</f>
        <v>0</v>
      </c>
      <c r="BZ988" s="582">
        <f t="shared" ref="BZ988:BZ1002" si="3018">IF(DE988&lt;3,"",(SUM(B988:R988)-MIN(B988:R988)-MAX(B988:R988))/(DE988-2))</f>
        <v>0</v>
      </c>
      <c r="CA988" s="582">
        <f t="shared" ref="CA988:CA1002" si="3019">IF(DF988&lt;3,"",(SUM(T988:AJ988)-MIN(T988:AJ988)-MAX(T988:AJ988))/(DF988-2))</f>
        <v>0</v>
      </c>
      <c r="CB988" s="582">
        <f t="shared" ref="CB988:CB1002" si="3020">IF(DG988&lt;3,"",(SUM(AL988:BB988)-MIN(AL988:BB988)-MAX(AL988:BB988))/(DG988-2))</f>
        <v>0</v>
      </c>
      <c r="CC988" s="582">
        <f t="shared" ref="CC988:CC1002" si="3021">IF(DH988&lt;3,"",(SUM(BD988:BT988)-MIN(BD988:BT988)-MAX(BD988:BT988))/(DH988-2))</f>
        <v>0</v>
      </c>
      <c r="CD988" s="988">
        <f t="shared" ref="CD988:CM1002" si="302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022"/>
        <v>0</v>
      </c>
      <c r="CF988" s="989">
        <f t="shared" si="3022"/>
        <v>0</v>
      </c>
      <c r="CG988" s="989">
        <f t="shared" si="3022"/>
        <v>0</v>
      </c>
      <c r="CH988" s="990">
        <f t="shared" si="3022"/>
        <v>0</v>
      </c>
      <c r="CI988" s="990">
        <f t="shared" si="3022"/>
        <v>0</v>
      </c>
      <c r="CJ988" s="989">
        <f t="shared" si="3022"/>
        <v>0</v>
      </c>
      <c r="CK988" s="989">
        <f t="shared" si="3022"/>
        <v>0</v>
      </c>
      <c r="CL988" s="989">
        <f t="shared" si="3022"/>
        <v>0</v>
      </c>
      <c r="CM988" s="988">
        <f t="shared" si="3022"/>
        <v>0</v>
      </c>
      <c r="CN988" s="1037" t="str">
        <f t="shared" ref="CN988:DC1002" si="302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023"/>
        <v/>
      </c>
      <c r="CP988" s="1010" t="str">
        <f t="shared" si="3023"/>
        <v/>
      </c>
      <c r="CQ988" s="1010" t="str">
        <f t="shared" si="3023"/>
        <v/>
      </c>
      <c r="CR988" s="1010">
        <f t="shared" si="3023"/>
        <v>0</v>
      </c>
      <c r="CS988" s="1010">
        <f t="shared" si="3023"/>
        <v>0</v>
      </c>
      <c r="CT988" s="1010">
        <f t="shared" si="3023"/>
        <v>0</v>
      </c>
      <c r="CU988" s="1011">
        <f t="shared" si="3023"/>
        <v>0</v>
      </c>
      <c r="CV988" s="1011">
        <f t="shared" si="3023"/>
        <v>0</v>
      </c>
      <c r="CW988" s="1011">
        <f t="shared" si="3023"/>
        <v>0</v>
      </c>
      <c r="CX988" s="1010">
        <f t="shared" si="3023"/>
        <v>0</v>
      </c>
      <c r="CY988" s="1010">
        <f t="shared" si="3023"/>
        <v>0</v>
      </c>
      <c r="CZ988" s="1010">
        <f t="shared" si="3023"/>
        <v>0</v>
      </c>
      <c r="DA988" s="1010">
        <f t="shared" si="3023"/>
        <v>0</v>
      </c>
      <c r="DB988" s="1010" t="str">
        <f t="shared" si="3023"/>
        <v/>
      </c>
      <c r="DC988" s="1009" t="str">
        <f t="shared" si="3023"/>
        <v/>
      </c>
      <c r="DD988" s="1037" t="str">
        <f t="shared" ref="DD988:DD1002" si="302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025">COUNT(B988:R988)</f>
        <v>10</v>
      </c>
      <c r="DF988" s="95">
        <f t="shared" ref="DF988:DF1002" si="3026">COUNT(T988:AJ988)</f>
        <v>10</v>
      </c>
      <c r="DG988" s="95">
        <f t="shared" ref="DG988:DG1002" si="3027">COUNT(AL988:BB988)</f>
        <v>10</v>
      </c>
      <c r="DH988" s="95">
        <f t="shared" ref="DH988:DH1002" si="3028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 t="shared" ref="B989:K989" si="3029">SUM(B508,B514,B520,B526,B532,B538,B544,B550,B556,B562,B568,B574,B580,B586,B592,B605,B611,B623,B772:B773)</f>
        <v>0</v>
      </c>
      <c r="C989" s="775">
        <f t="shared" si="3029"/>
        <v>0</v>
      </c>
      <c r="D989" s="775">
        <f t="shared" si="3029"/>
        <v>0</v>
      </c>
      <c r="E989" s="775">
        <f t="shared" si="3029"/>
        <v>0</v>
      </c>
      <c r="F989" s="775">
        <f t="shared" si="3029"/>
        <v>0</v>
      </c>
      <c r="G989" s="775">
        <f t="shared" si="3029"/>
        <v>0</v>
      </c>
      <c r="H989" s="775">
        <f t="shared" si="3029"/>
        <v>0</v>
      </c>
      <c r="I989" s="775">
        <f t="shared" si="3029"/>
        <v>0</v>
      </c>
      <c r="J989" s="775">
        <f t="shared" si="3029"/>
        <v>0</v>
      </c>
      <c r="K989" s="775">
        <f t="shared" si="3029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030">SUM(U508,U514,U520,U526,U532,U538,U544,U550,U556,U562,U568,U574,U580,U586,U592,U605,U611,U623,U772:U773)</f>
        <v>0</v>
      </c>
      <c r="V989" s="775">
        <f t="shared" si="3030"/>
        <v>0</v>
      </c>
      <c r="W989" s="775">
        <f t="shared" si="3030"/>
        <v>0</v>
      </c>
      <c r="X989" s="775">
        <f t="shared" si="3030"/>
        <v>0</v>
      </c>
      <c r="Y989" s="775">
        <f t="shared" si="3030"/>
        <v>0</v>
      </c>
      <c r="Z989" s="775">
        <f t="shared" si="3030"/>
        <v>0</v>
      </c>
      <c r="AA989" s="775">
        <f t="shared" si="3030"/>
        <v>0</v>
      </c>
      <c r="AB989" s="775">
        <f t="shared" si="3030"/>
        <v>0</v>
      </c>
      <c r="AC989" s="775">
        <f t="shared" si="3030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031">SUM(AM508,AM514,AM520,AM526,AM532,AM538,AM544,AM550,AM556,AM562,AM568,AM574,AM580,AM586,AM592,AM605,AM611,AM623,AM772:AM773)</f>
        <v>0</v>
      </c>
      <c r="AN989" s="775">
        <f t="shared" si="3031"/>
        <v>0</v>
      </c>
      <c r="AO989" s="775">
        <f t="shared" si="3031"/>
        <v>0</v>
      </c>
      <c r="AP989" s="775">
        <f t="shared" si="3031"/>
        <v>0</v>
      </c>
      <c r="AQ989" s="775">
        <f t="shared" si="3031"/>
        <v>0</v>
      </c>
      <c r="AR989" s="775">
        <f t="shared" si="3031"/>
        <v>0</v>
      </c>
      <c r="AS989" s="775">
        <f t="shared" si="3031"/>
        <v>0</v>
      </c>
      <c r="AT989" s="775">
        <f t="shared" si="3031"/>
        <v>0</v>
      </c>
      <c r="AU989" s="775">
        <f t="shared" si="3031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032">SUM(BE508,BE514,BE520,BE526,BE532,BE538,BE544,BE550,BE556,BE562,BE568,BE574,BE580,BE586,BE592,BE605,BE611,BE623,BE772:BE773)</f>
        <v>0</v>
      </c>
      <c r="BF989" s="775">
        <f t="shared" si="3032"/>
        <v>0</v>
      </c>
      <c r="BG989" s="775">
        <f t="shared" si="3032"/>
        <v>0</v>
      </c>
      <c r="BH989" s="775">
        <f t="shared" si="3032"/>
        <v>0</v>
      </c>
      <c r="BI989" s="775">
        <f t="shared" si="3032"/>
        <v>0</v>
      </c>
      <c r="BJ989" s="775">
        <f t="shared" si="3032"/>
        <v>0</v>
      </c>
      <c r="BK989" s="775">
        <f t="shared" si="3032"/>
        <v>0</v>
      </c>
      <c r="BL989" s="775">
        <f t="shared" si="3032"/>
        <v>0</v>
      </c>
      <c r="BM989" s="775">
        <f t="shared" si="3032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>SUM(BW508,BW514,BW520,BW526,BW532,BW538,BW544,BW550,BW556,BW562,BW568,BW574,BW580,BW586,BW592,BW605,BW611,BW623,BW772:BW773)</f>
        <v>6381.920000000001</v>
      </c>
      <c r="BX989" s="775">
        <f>SUM(BX508,BX514,BX520,BX526,BX532,BX538,BX544,BX550,BX556,BX562,BX568,BX574,BX580,BX586,BX592,BX605,BX611,BX623,BX772:BX773)</f>
        <v>8576.9200000000019</v>
      </c>
      <c r="BY989" s="775">
        <f>SUM(BY508,BY514,BY520,BY526,BY532,BY538,BY544,BY550,BY556,BY562,BY568,BY574,BY580,BY586,BY592,BY605,BY611,BY623,BY772:BY773)</f>
        <v>0</v>
      </c>
      <c r="BZ989" s="582">
        <f t="shared" si="3018"/>
        <v>0</v>
      </c>
      <c r="CA989" s="582">
        <f t="shared" si="3019"/>
        <v>0</v>
      </c>
      <c r="CB989" s="582">
        <f t="shared" si="3020"/>
        <v>0</v>
      </c>
      <c r="CC989" s="582">
        <f t="shared" si="3021"/>
        <v>0</v>
      </c>
      <c r="CD989" s="988">
        <f t="shared" si="3022"/>
        <v>0</v>
      </c>
      <c r="CE989" s="989">
        <f t="shared" si="3022"/>
        <v>0</v>
      </c>
      <c r="CF989" s="989">
        <f t="shared" si="3022"/>
        <v>0</v>
      </c>
      <c r="CG989" s="989">
        <f t="shared" si="3022"/>
        <v>0</v>
      </c>
      <c r="CH989" s="990">
        <f t="shared" si="3022"/>
        <v>0</v>
      </c>
      <c r="CI989" s="990">
        <f t="shared" si="3022"/>
        <v>0</v>
      </c>
      <c r="CJ989" s="989">
        <f t="shared" si="3022"/>
        <v>0</v>
      </c>
      <c r="CK989" s="989">
        <f t="shared" si="3022"/>
        <v>0</v>
      </c>
      <c r="CL989" s="989">
        <f t="shared" si="3022"/>
        <v>0</v>
      </c>
      <c r="CM989" s="988">
        <f t="shared" si="3022"/>
        <v>0</v>
      </c>
      <c r="CN989" s="1037" t="str">
        <f t="shared" si="3023"/>
        <v/>
      </c>
      <c r="CO989" s="1009" t="str">
        <f t="shared" si="3023"/>
        <v/>
      </c>
      <c r="CP989" s="1010" t="str">
        <f t="shared" si="3023"/>
        <v/>
      </c>
      <c r="CQ989" s="1010" t="str">
        <f t="shared" si="3023"/>
        <v/>
      </c>
      <c r="CR989" s="1010">
        <f t="shared" si="3023"/>
        <v>0</v>
      </c>
      <c r="CS989" s="1010">
        <f t="shared" si="3023"/>
        <v>0</v>
      </c>
      <c r="CT989" s="1010">
        <f t="shared" si="3023"/>
        <v>0</v>
      </c>
      <c r="CU989" s="1011">
        <f t="shared" si="3023"/>
        <v>0</v>
      </c>
      <c r="CV989" s="1011">
        <f t="shared" si="3023"/>
        <v>0</v>
      </c>
      <c r="CW989" s="1011">
        <f t="shared" si="3023"/>
        <v>0</v>
      </c>
      <c r="CX989" s="1010">
        <f t="shared" si="3023"/>
        <v>0</v>
      </c>
      <c r="CY989" s="1010">
        <f t="shared" si="3023"/>
        <v>0</v>
      </c>
      <c r="CZ989" s="1010">
        <f t="shared" si="3023"/>
        <v>0</v>
      </c>
      <c r="DA989" s="1010">
        <f t="shared" si="3023"/>
        <v>0</v>
      </c>
      <c r="DB989" s="1010" t="str">
        <f t="shared" si="3023"/>
        <v/>
      </c>
      <c r="DC989" s="1009" t="str">
        <f t="shared" si="3023"/>
        <v/>
      </c>
      <c r="DD989" s="1037" t="str">
        <f t="shared" si="3024"/>
        <v/>
      </c>
      <c r="DE989" s="635">
        <f t="shared" si="3025"/>
        <v>10</v>
      </c>
      <c r="DF989" s="95">
        <f t="shared" si="3026"/>
        <v>10</v>
      </c>
      <c r="DG989" s="95">
        <f t="shared" si="3027"/>
        <v>10</v>
      </c>
      <c r="DH989" s="95">
        <f t="shared" si="3028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033">SUM(C599,C617,C629)</f>
        <v>0</v>
      </c>
      <c r="D990" s="775">
        <f t="shared" si="3033"/>
        <v>0</v>
      </c>
      <c r="E990" s="775">
        <f t="shared" si="3033"/>
        <v>0</v>
      </c>
      <c r="F990" s="775">
        <f t="shared" si="3033"/>
        <v>0</v>
      </c>
      <c r="G990" s="775">
        <f t="shared" si="3033"/>
        <v>0</v>
      </c>
      <c r="H990" s="775">
        <f t="shared" si="3033"/>
        <v>0</v>
      </c>
      <c r="I990" s="775">
        <f t="shared" si="3033"/>
        <v>0</v>
      </c>
      <c r="J990" s="775">
        <f t="shared" si="3033"/>
        <v>0</v>
      </c>
      <c r="K990" s="775">
        <f t="shared" si="3033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034">SUM(U599,U617,U629)</f>
        <v>0</v>
      </c>
      <c r="V990" s="775">
        <f t="shared" si="3034"/>
        <v>0</v>
      </c>
      <c r="W990" s="775">
        <f t="shared" si="3034"/>
        <v>0</v>
      </c>
      <c r="X990" s="775">
        <f t="shared" si="3034"/>
        <v>0</v>
      </c>
      <c r="Y990" s="775">
        <f t="shared" si="3034"/>
        <v>0</v>
      </c>
      <c r="Z990" s="775">
        <f t="shared" si="3034"/>
        <v>0</v>
      </c>
      <c r="AA990" s="775">
        <f t="shared" si="3034"/>
        <v>0</v>
      </c>
      <c r="AB990" s="775">
        <f t="shared" si="3034"/>
        <v>0</v>
      </c>
      <c r="AC990" s="775">
        <f t="shared" si="3034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035">SUM(AM599,AM617,AM629)</f>
        <v>0</v>
      </c>
      <c r="AN990" s="775">
        <f t="shared" si="3035"/>
        <v>0</v>
      </c>
      <c r="AO990" s="775">
        <f t="shared" si="3035"/>
        <v>0</v>
      </c>
      <c r="AP990" s="775">
        <f t="shared" si="3035"/>
        <v>0</v>
      </c>
      <c r="AQ990" s="775">
        <f t="shared" si="3035"/>
        <v>0</v>
      </c>
      <c r="AR990" s="775">
        <f t="shared" si="3035"/>
        <v>0</v>
      </c>
      <c r="AS990" s="775">
        <f t="shared" si="3035"/>
        <v>0</v>
      </c>
      <c r="AT990" s="775">
        <f t="shared" si="3035"/>
        <v>0</v>
      </c>
      <c r="AU990" s="775">
        <f t="shared" si="3035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036">SUM(BE599,BE617,BE629)</f>
        <v>0</v>
      </c>
      <c r="BF990" s="775">
        <f t="shared" si="3036"/>
        <v>0</v>
      </c>
      <c r="BG990" s="775">
        <f t="shared" si="3036"/>
        <v>0</v>
      </c>
      <c r="BH990" s="775">
        <f t="shared" si="3036"/>
        <v>0</v>
      </c>
      <c r="BI990" s="775">
        <f t="shared" si="3036"/>
        <v>0</v>
      </c>
      <c r="BJ990" s="775">
        <f t="shared" si="3036"/>
        <v>0</v>
      </c>
      <c r="BK990" s="775">
        <f t="shared" si="3036"/>
        <v>0</v>
      </c>
      <c r="BL990" s="775">
        <f t="shared" si="3036"/>
        <v>0</v>
      </c>
      <c r="BM990" s="775">
        <f t="shared" si="3036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>SUM(BW599,BW617,BW629)</f>
        <v>0</v>
      </c>
      <c r="BX990" s="775">
        <f>SUM(BX599,BX617,BX629)</f>
        <v>0</v>
      </c>
      <c r="BY990" s="775">
        <f>SUM(BY599,BY617,BY629)</f>
        <v>0</v>
      </c>
      <c r="BZ990" s="582">
        <f t="shared" si="3018"/>
        <v>0</v>
      </c>
      <c r="CA990" s="582">
        <f t="shared" si="3019"/>
        <v>0</v>
      </c>
      <c r="CB990" s="582">
        <f t="shared" si="3020"/>
        <v>0</v>
      </c>
      <c r="CC990" s="582">
        <f t="shared" si="3021"/>
        <v>0</v>
      </c>
      <c r="CD990" s="988">
        <f t="shared" si="3022"/>
        <v>0</v>
      </c>
      <c r="CE990" s="989">
        <f t="shared" si="3022"/>
        <v>0</v>
      </c>
      <c r="CF990" s="989">
        <f t="shared" si="3022"/>
        <v>0</v>
      </c>
      <c r="CG990" s="989">
        <f t="shared" si="3022"/>
        <v>0</v>
      </c>
      <c r="CH990" s="990">
        <f t="shared" si="3022"/>
        <v>0</v>
      </c>
      <c r="CI990" s="990">
        <f t="shared" si="3022"/>
        <v>0</v>
      </c>
      <c r="CJ990" s="989">
        <f t="shared" si="3022"/>
        <v>0</v>
      </c>
      <c r="CK990" s="989">
        <f t="shared" si="3022"/>
        <v>0</v>
      </c>
      <c r="CL990" s="989">
        <f t="shared" si="3022"/>
        <v>0</v>
      </c>
      <c r="CM990" s="988">
        <f t="shared" si="3022"/>
        <v>0</v>
      </c>
      <c r="CN990" s="1037" t="str">
        <f t="shared" si="3023"/>
        <v/>
      </c>
      <c r="CO990" s="1009" t="str">
        <f t="shared" si="3023"/>
        <v/>
      </c>
      <c r="CP990" s="1010" t="str">
        <f t="shared" si="3023"/>
        <v/>
      </c>
      <c r="CQ990" s="1010" t="str">
        <f t="shared" si="3023"/>
        <v/>
      </c>
      <c r="CR990" s="1010">
        <f t="shared" si="3023"/>
        <v>0</v>
      </c>
      <c r="CS990" s="1010">
        <f t="shared" si="3023"/>
        <v>0</v>
      </c>
      <c r="CT990" s="1010">
        <f t="shared" si="3023"/>
        <v>0</v>
      </c>
      <c r="CU990" s="1011">
        <f t="shared" si="3023"/>
        <v>0</v>
      </c>
      <c r="CV990" s="1011">
        <f t="shared" si="3023"/>
        <v>0</v>
      </c>
      <c r="CW990" s="1011">
        <f t="shared" si="3023"/>
        <v>0</v>
      </c>
      <c r="CX990" s="1010">
        <f t="shared" si="3023"/>
        <v>0</v>
      </c>
      <c r="CY990" s="1010">
        <f t="shared" si="3023"/>
        <v>0</v>
      </c>
      <c r="CZ990" s="1010">
        <f t="shared" si="3023"/>
        <v>0</v>
      </c>
      <c r="DA990" s="1010">
        <f t="shared" si="3023"/>
        <v>0</v>
      </c>
      <c r="DB990" s="1010" t="str">
        <f t="shared" si="3023"/>
        <v/>
      </c>
      <c r="DC990" s="1009" t="str">
        <f t="shared" si="3023"/>
        <v/>
      </c>
      <c r="DD990" s="1037" t="str">
        <f t="shared" si="3024"/>
        <v/>
      </c>
      <c r="DE990" s="635">
        <f t="shared" si="3025"/>
        <v>10</v>
      </c>
      <c r="DF990" s="95">
        <f t="shared" si="3026"/>
        <v>10</v>
      </c>
      <c r="DG990" s="95">
        <f t="shared" si="3027"/>
        <v>10</v>
      </c>
      <c r="DH990" s="95">
        <f t="shared" si="3028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037">SUM(B642)</f>
        <v>0</v>
      </c>
      <c r="C991" s="775">
        <f t="shared" si="3037"/>
        <v>0</v>
      </c>
      <c r="D991" s="775">
        <f t="shared" si="3037"/>
        <v>0</v>
      </c>
      <c r="E991" s="775">
        <f t="shared" si="3037"/>
        <v>0</v>
      </c>
      <c r="F991" s="775">
        <f t="shared" si="3037"/>
        <v>0</v>
      </c>
      <c r="G991" s="775">
        <f t="shared" si="3037"/>
        <v>0</v>
      </c>
      <c r="H991" s="775">
        <f t="shared" si="3037"/>
        <v>0</v>
      </c>
      <c r="I991" s="775">
        <f t="shared" si="3037"/>
        <v>0</v>
      </c>
      <c r="J991" s="775">
        <f t="shared" si="3037"/>
        <v>0</v>
      </c>
      <c r="K991" s="775">
        <f t="shared" si="3037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038">SUM(T642)</f>
        <v>0</v>
      </c>
      <c r="U991" s="775">
        <f t="shared" si="3038"/>
        <v>0</v>
      </c>
      <c r="V991" s="775">
        <f t="shared" si="3038"/>
        <v>0</v>
      </c>
      <c r="W991" s="775">
        <f t="shared" si="3038"/>
        <v>0</v>
      </c>
      <c r="X991" s="775">
        <f t="shared" si="3038"/>
        <v>0</v>
      </c>
      <c r="Y991" s="775">
        <f t="shared" si="3038"/>
        <v>0</v>
      </c>
      <c r="Z991" s="775">
        <f t="shared" si="3038"/>
        <v>0</v>
      </c>
      <c r="AA991" s="775">
        <f t="shared" si="3038"/>
        <v>0</v>
      </c>
      <c r="AB991" s="775">
        <f t="shared" si="3038"/>
        <v>0</v>
      </c>
      <c r="AC991" s="775">
        <f t="shared" si="3038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039">SUM(AL642)</f>
        <v>0</v>
      </c>
      <c r="AM991" s="775">
        <f t="shared" si="3039"/>
        <v>0</v>
      </c>
      <c r="AN991" s="775">
        <f t="shared" si="3039"/>
        <v>0</v>
      </c>
      <c r="AO991" s="775">
        <f t="shared" si="3039"/>
        <v>0</v>
      </c>
      <c r="AP991" s="775">
        <f t="shared" si="3039"/>
        <v>0</v>
      </c>
      <c r="AQ991" s="775">
        <f t="shared" si="3039"/>
        <v>0</v>
      </c>
      <c r="AR991" s="775">
        <f t="shared" si="3039"/>
        <v>0</v>
      </c>
      <c r="AS991" s="775">
        <f t="shared" si="3039"/>
        <v>0</v>
      </c>
      <c r="AT991" s="775">
        <f t="shared" si="3039"/>
        <v>0</v>
      </c>
      <c r="AU991" s="775">
        <f t="shared" si="3039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040">SUM(BD642)</f>
        <v>0</v>
      </c>
      <c r="BE991" s="775">
        <f t="shared" si="3040"/>
        <v>0</v>
      </c>
      <c r="BF991" s="775">
        <f t="shared" si="3040"/>
        <v>0</v>
      </c>
      <c r="BG991" s="775">
        <f t="shared" si="3040"/>
        <v>0</v>
      </c>
      <c r="BH991" s="775">
        <f t="shared" si="3040"/>
        <v>0</v>
      </c>
      <c r="BI991" s="775">
        <f t="shared" si="3040"/>
        <v>0</v>
      </c>
      <c r="BJ991" s="775">
        <f t="shared" si="3040"/>
        <v>0</v>
      </c>
      <c r="BK991" s="775">
        <f t="shared" si="3040"/>
        <v>0</v>
      </c>
      <c r="BL991" s="775">
        <f t="shared" si="3040"/>
        <v>0</v>
      </c>
      <c r="BM991" s="775">
        <f t="shared" si="3040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>SUM(BV642)</f>
        <v>576</v>
      </c>
      <c r="BW991" s="775">
        <f>SUM(BW642)</f>
        <v>330</v>
      </c>
      <c r="BX991" s="775">
        <f>SUM(BX642)</f>
        <v>432</v>
      </c>
      <c r="BY991" s="775">
        <f>SUM(BY642)</f>
        <v>0</v>
      </c>
      <c r="BZ991" s="582">
        <f t="shared" si="3018"/>
        <v>0</v>
      </c>
      <c r="CA991" s="582">
        <f t="shared" si="3019"/>
        <v>0</v>
      </c>
      <c r="CB991" s="582">
        <f t="shared" si="3020"/>
        <v>0</v>
      </c>
      <c r="CC991" s="582">
        <f t="shared" si="3021"/>
        <v>0</v>
      </c>
      <c r="CD991" s="988">
        <f t="shared" si="3022"/>
        <v>0</v>
      </c>
      <c r="CE991" s="989">
        <f t="shared" si="3022"/>
        <v>0</v>
      </c>
      <c r="CF991" s="989">
        <f t="shared" si="3022"/>
        <v>0</v>
      </c>
      <c r="CG991" s="989">
        <f t="shared" si="3022"/>
        <v>0</v>
      </c>
      <c r="CH991" s="990">
        <f t="shared" si="3022"/>
        <v>0</v>
      </c>
      <c r="CI991" s="990">
        <f t="shared" si="3022"/>
        <v>0</v>
      </c>
      <c r="CJ991" s="989">
        <f t="shared" si="3022"/>
        <v>0</v>
      </c>
      <c r="CK991" s="989">
        <f t="shared" si="3022"/>
        <v>0</v>
      </c>
      <c r="CL991" s="989">
        <f t="shared" si="3022"/>
        <v>0</v>
      </c>
      <c r="CM991" s="988">
        <f t="shared" si="3022"/>
        <v>0</v>
      </c>
      <c r="CN991" s="1037" t="str">
        <f t="shared" si="3023"/>
        <v/>
      </c>
      <c r="CO991" s="1009" t="str">
        <f t="shared" si="3023"/>
        <v/>
      </c>
      <c r="CP991" s="1010" t="str">
        <f t="shared" si="3023"/>
        <v/>
      </c>
      <c r="CQ991" s="1010" t="str">
        <f t="shared" si="3023"/>
        <v/>
      </c>
      <c r="CR991" s="1010">
        <f t="shared" si="3023"/>
        <v>0</v>
      </c>
      <c r="CS991" s="1010">
        <f t="shared" si="3023"/>
        <v>0</v>
      </c>
      <c r="CT991" s="1010">
        <f t="shared" si="3023"/>
        <v>0</v>
      </c>
      <c r="CU991" s="1011">
        <f t="shared" si="3023"/>
        <v>0</v>
      </c>
      <c r="CV991" s="1011">
        <f t="shared" si="3023"/>
        <v>0</v>
      </c>
      <c r="CW991" s="1011">
        <f t="shared" si="3023"/>
        <v>0</v>
      </c>
      <c r="CX991" s="1010">
        <f t="shared" si="3023"/>
        <v>0</v>
      </c>
      <c r="CY991" s="1010">
        <f t="shared" si="3023"/>
        <v>0</v>
      </c>
      <c r="CZ991" s="1010">
        <f t="shared" si="3023"/>
        <v>0</v>
      </c>
      <c r="DA991" s="1010">
        <f t="shared" si="3023"/>
        <v>0</v>
      </c>
      <c r="DB991" s="1010" t="str">
        <f t="shared" si="3023"/>
        <v/>
      </c>
      <c r="DC991" s="1009" t="str">
        <f t="shared" si="3023"/>
        <v/>
      </c>
      <c r="DD991" s="1037" t="str">
        <f t="shared" si="3024"/>
        <v/>
      </c>
      <c r="DE991" s="635">
        <f t="shared" si="3025"/>
        <v>10</v>
      </c>
      <c r="DF991" s="95">
        <f t="shared" si="3026"/>
        <v>10</v>
      </c>
      <c r="DG991" s="95">
        <f t="shared" si="3027"/>
        <v>10</v>
      </c>
      <c r="DH991" s="95">
        <f t="shared" si="3028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041">SUM(C774,C775,C776,C782:C783,C806)</f>
        <v>0</v>
      </c>
      <c r="D992" s="775">
        <f t="shared" si="3041"/>
        <v>0</v>
      </c>
      <c r="E992" s="775">
        <f t="shared" si="3041"/>
        <v>0</v>
      </c>
      <c r="F992" s="775">
        <f t="shared" si="3041"/>
        <v>0</v>
      </c>
      <c r="G992" s="775">
        <f t="shared" si="3041"/>
        <v>0</v>
      </c>
      <c r="H992" s="775">
        <f t="shared" si="3041"/>
        <v>0</v>
      </c>
      <c r="I992" s="775">
        <f t="shared" si="3041"/>
        <v>0</v>
      </c>
      <c r="J992" s="775">
        <f t="shared" si="3041"/>
        <v>0</v>
      </c>
      <c r="K992" s="775">
        <f t="shared" si="304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042">SUM(U774,U775,U776,U782:U783,U806)</f>
        <v>0</v>
      </c>
      <c r="V992" s="775">
        <f t="shared" si="3042"/>
        <v>0</v>
      </c>
      <c r="W992" s="775">
        <f t="shared" si="3042"/>
        <v>0</v>
      </c>
      <c r="X992" s="775">
        <f t="shared" si="3042"/>
        <v>0</v>
      </c>
      <c r="Y992" s="775">
        <f t="shared" si="3042"/>
        <v>0</v>
      </c>
      <c r="Z992" s="775">
        <f t="shared" si="3042"/>
        <v>0</v>
      </c>
      <c r="AA992" s="775">
        <f t="shared" si="3042"/>
        <v>0</v>
      </c>
      <c r="AB992" s="775">
        <f t="shared" si="3042"/>
        <v>0</v>
      </c>
      <c r="AC992" s="775">
        <f t="shared" si="304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043">SUM(AM774,AM775,AM776,AM782:AM783,AM806)</f>
        <v>0</v>
      </c>
      <c r="AN992" s="775">
        <f t="shared" si="3043"/>
        <v>0</v>
      </c>
      <c r="AO992" s="775">
        <f t="shared" si="3043"/>
        <v>0</v>
      </c>
      <c r="AP992" s="775">
        <f t="shared" si="3043"/>
        <v>0</v>
      </c>
      <c r="AQ992" s="775">
        <f t="shared" si="3043"/>
        <v>0</v>
      </c>
      <c r="AR992" s="775">
        <f t="shared" si="3043"/>
        <v>0</v>
      </c>
      <c r="AS992" s="775">
        <f t="shared" si="3043"/>
        <v>0</v>
      </c>
      <c r="AT992" s="775">
        <f t="shared" si="3043"/>
        <v>0</v>
      </c>
      <c r="AU992" s="775">
        <f t="shared" si="304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044">SUM(BE774,BE775,BE776,BE782:BE783,BE806)</f>
        <v>0</v>
      </c>
      <c r="BF992" s="775">
        <f t="shared" si="3044"/>
        <v>0</v>
      </c>
      <c r="BG992" s="775">
        <f t="shared" si="3044"/>
        <v>0</v>
      </c>
      <c r="BH992" s="775">
        <f t="shared" si="3044"/>
        <v>0</v>
      </c>
      <c r="BI992" s="775">
        <f t="shared" si="3044"/>
        <v>0</v>
      </c>
      <c r="BJ992" s="775">
        <f t="shared" si="3044"/>
        <v>0</v>
      </c>
      <c r="BK992" s="775">
        <f t="shared" si="3044"/>
        <v>0</v>
      </c>
      <c r="BL992" s="775">
        <f t="shared" si="3044"/>
        <v>0</v>
      </c>
      <c r="BM992" s="775">
        <f t="shared" si="304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1100</v>
      </c>
      <c r="BW992" s="775">
        <f>SUM(BW774,BW775,BW776,BW782:BW783,BW806)</f>
        <v>2156</v>
      </c>
      <c r="BX992" s="775">
        <f>SUM(BX774,BX775,BX776,BX782:BX783,BX806)</f>
        <v>5277</v>
      </c>
      <c r="BY992" s="775">
        <f>SUM(BY774,BY775,BY776,BY782:BY783,BY806)</f>
        <v>0</v>
      </c>
      <c r="BZ992" s="582">
        <f t="shared" si="3018"/>
        <v>0</v>
      </c>
      <c r="CA992" s="582">
        <f t="shared" si="3019"/>
        <v>0</v>
      </c>
      <c r="CB992" s="582">
        <f t="shared" si="3020"/>
        <v>0</v>
      </c>
      <c r="CC992" s="582">
        <f t="shared" si="3021"/>
        <v>0</v>
      </c>
      <c r="CD992" s="988">
        <f t="shared" si="3022"/>
        <v>0</v>
      </c>
      <c r="CE992" s="989">
        <f t="shared" si="3022"/>
        <v>0</v>
      </c>
      <c r="CF992" s="989">
        <f t="shared" si="3022"/>
        <v>0</v>
      </c>
      <c r="CG992" s="989">
        <f t="shared" si="3022"/>
        <v>0</v>
      </c>
      <c r="CH992" s="990">
        <f t="shared" si="3022"/>
        <v>0</v>
      </c>
      <c r="CI992" s="990">
        <f t="shared" si="3022"/>
        <v>0</v>
      </c>
      <c r="CJ992" s="989">
        <f t="shared" si="3022"/>
        <v>0</v>
      </c>
      <c r="CK992" s="989">
        <f t="shared" si="3022"/>
        <v>0</v>
      </c>
      <c r="CL992" s="989">
        <f t="shared" si="3022"/>
        <v>0</v>
      </c>
      <c r="CM992" s="988">
        <f t="shared" si="3022"/>
        <v>0</v>
      </c>
      <c r="CN992" s="1037" t="str">
        <f t="shared" si="3023"/>
        <v/>
      </c>
      <c r="CO992" s="1009" t="str">
        <f t="shared" si="3023"/>
        <v/>
      </c>
      <c r="CP992" s="1010" t="str">
        <f t="shared" si="3023"/>
        <v/>
      </c>
      <c r="CQ992" s="1010" t="str">
        <f t="shared" si="3023"/>
        <v/>
      </c>
      <c r="CR992" s="1010">
        <f t="shared" si="3023"/>
        <v>0</v>
      </c>
      <c r="CS992" s="1010">
        <f t="shared" si="3023"/>
        <v>0</v>
      </c>
      <c r="CT992" s="1010">
        <f t="shared" si="3023"/>
        <v>0</v>
      </c>
      <c r="CU992" s="1011">
        <f t="shared" si="3023"/>
        <v>0</v>
      </c>
      <c r="CV992" s="1011">
        <f t="shared" si="3023"/>
        <v>0</v>
      </c>
      <c r="CW992" s="1011">
        <f t="shared" si="3023"/>
        <v>0</v>
      </c>
      <c r="CX992" s="1010">
        <f t="shared" si="3023"/>
        <v>0</v>
      </c>
      <c r="CY992" s="1010">
        <f t="shared" si="3023"/>
        <v>0</v>
      </c>
      <c r="CZ992" s="1010">
        <f t="shared" si="3023"/>
        <v>0</v>
      </c>
      <c r="DA992" s="1010">
        <f t="shared" si="3023"/>
        <v>0</v>
      </c>
      <c r="DB992" s="1010" t="str">
        <f t="shared" si="3023"/>
        <v/>
      </c>
      <c r="DC992" s="1009" t="str">
        <f t="shared" si="3023"/>
        <v/>
      </c>
      <c r="DD992" s="1037" t="str">
        <f t="shared" si="3024"/>
        <v/>
      </c>
      <c r="DE992" s="635">
        <f t="shared" si="3025"/>
        <v>10</v>
      </c>
      <c r="DF992" s="95">
        <f t="shared" si="3026"/>
        <v>10</v>
      </c>
      <c r="DG992" s="95">
        <f t="shared" si="3027"/>
        <v>10</v>
      </c>
      <c r="DH992" s="95">
        <f t="shared" si="3028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045">SUM(B781,B790)</f>
        <v>0</v>
      </c>
      <c r="C993" s="775">
        <f t="shared" si="3045"/>
        <v>0</v>
      </c>
      <c r="D993" s="775">
        <f t="shared" si="3045"/>
        <v>0</v>
      </c>
      <c r="E993" s="775">
        <f t="shared" si="3045"/>
        <v>0</v>
      </c>
      <c r="F993" s="775">
        <f t="shared" si="3045"/>
        <v>0</v>
      </c>
      <c r="G993" s="775">
        <f t="shared" si="3045"/>
        <v>0</v>
      </c>
      <c r="H993" s="775">
        <f t="shared" si="3045"/>
        <v>0</v>
      </c>
      <c r="I993" s="775">
        <f t="shared" si="3045"/>
        <v>0</v>
      </c>
      <c r="J993" s="775">
        <f t="shared" si="3045"/>
        <v>0</v>
      </c>
      <c r="K993" s="775">
        <f t="shared" si="3045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046">SUM(T781,T790)</f>
        <v>0</v>
      </c>
      <c r="U993" s="775">
        <f t="shared" si="3046"/>
        <v>0</v>
      </c>
      <c r="V993" s="775">
        <f t="shared" si="3046"/>
        <v>0</v>
      </c>
      <c r="W993" s="775">
        <f t="shared" si="3046"/>
        <v>0</v>
      </c>
      <c r="X993" s="775">
        <f t="shared" si="3046"/>
        <v>0</v>
      </c>
      <c r="Y993" s="775">
        <f t="shared" si="3046"/>
        <v>0</v>
      </c>
      <c r="Z993" s="775">
        <f t="shared" si="3046"/>
        <v>0</v>
      </c>
      <c r="AA993" s="775">
        <f t="shared" si="3046"/>
        <v>0</v>
      </c>
      <c r="AB993" s="775">
        <f t="shared" si="3046"/>
        <v>0</v>
      </c>
      <c r="AC993" s="775">
        <f t="shared" si="3046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047">SUM(AL781,AL790)</f>
        <v>0</v>
      </c>
      <c r="AM993" s="775">
        <f t="shared" si="3047"/>
        <v>0</v>
      </c>
      <c r="AN993" s="775">
        <f t="shared" si="3047"/>
        <v>0</v>
      </c>
      <c r="AO993" s="775">
        <f t="shared" si="3047"/>
        <v>0</v>
      </c>
      <c r="AP993" s="775">
        <f t="shared" si="3047"/>
        <v>0</v>
      </c>
      <c r="AQ993" s="775">
        <f t="shared" si="3047"/>
        <v>0</v>
      </c>
      <c r="AR993" s="775">
        <f t="shared" si="3047"/>
        <v>0</v>
      </c>
      <c r="AS993" s="775">
        <f t="shared" si="3047"/>
        <v>0</v>
      </c>
      <c r="AT993" s="775">
        <f t="shared" si="3047"/>
        <v>0</v>
      </c>
      <c r="AU993" s="775">
        <f t="shared" si="3047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048">SUM(BD781,BD790)</f>
        <v>0</v>
      </c>
      <c r="BE993" s="775">
        <f t="shared" si="3048"/>
        <v>0</v>
      </c>
      <c r="BF993" s="775">
        <f t="shared" si="3048"/>
        <v>0</v>
      </c>
      <c r="BG993" s="775">
        <f t="shared" si="3048"/>
        <v>0</v>
      </c>
      <c r="BH993" s="775">
        <f t="shared" si="3048"/>
        <v>0</v>
      </c>
      <c r="BI993" s="775">
        <f t="shared" si="3048"/>
        <v>0</v>
      </c>
      <c r="BJ993" s="775">
        <f t="shared" si="3048"/>
        <v>0</v>
      </c>
      <c r="BK993" s="775">
        <f t="shared" si="3048"/>
        <v>0</v>
      </c>
      <c r="BL993" s="775">
        <f t="shared" si="3048"/>
        <v>0</v>
      </c>
      <c r="BM993" s="775">
        <f t="shared" si="3048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>SUM(BV781,BV790)</f>
        <v>0</v>
      </c>
      <c r="BW993" s="775">
        <f>SUM(BW781,BW790)</f>
        <v>0</v>
      </c>
      <c r="BX993" s="775">
        <f>SUM(BX781,BX790)</f>
        <v>0</v>
      </c>
      <c r="BY993" s="775">
        <f>SUM(BY781,BY790)</f>
        <v>0</v>
      </c>
      <c r="BZ993" s="582">
        <f t="shared" si="3018"/>
        <v>0</v>
      </c>
      <c r="CA993" s="582">
        <f t="shared" si="3019"/>
        <v>0</v>
      </c>
      <c r="CB993" s="582">
        <f t="shared" si="3020"/>
        <v>0</v>
      </c>
      <c r="CC993" s="582">
        <f t="shared" si="3021"/>
        <v>0</v>
      </c>
      <c r="CD993" s="988">
        <f t="shared" si="3022"/>
        <v>0</v>
      </c>
      <c r="CE993" s="989">
        <f t="shared" si="3022"/>
        <v>0</v>
      </c>
      <c r="CF993" s="989">
        <f t="shared" si="3022"/>
        <v>0</v>
      </c>
      <c r="CG993" s="989">
        <f t="shared" si="3022"/>
        <v>0</v>
      </c>
      <c r="CH993" s="990">
        <f t="shared" si="3022"/>
        <v>0</v>
      </c>
      <c r="CI993" s="990">
        <f t="shared" si="3022"/>
        <v>0</v>
      </c>
      <c r="CJ993" s="989">
        <f t="shared" si="3022"/>
        <v>0</v>
      </c>
      <c r="CK993" s="989">
        <f t="shared" si="3022"/>
        <v>0</v>
      </c>
      <c r="CL993" s="989">
        <f t="shared" si="3022"/>
        <v>0</v>
      </c>
      <c r="CM993" s="988">
        <f t="shared" si="3022"/>
        <v>0</v>
      </c>
      <c r="CN993" s="1037" t="str">
        <f t="shared" si="3023"/>
        <v/>
      </c>
      <c r="CO993" s="1009" t="str">
        <f t="shared" si="3023"/>
        <v/>
      </c>
      <c r="CP993" s="1010" t="str">
        <f t="shared" si="3023"/>
        <v/>
      </c>
      <c r="CQ993" s="1010" t="str">
        <f t="shared" si="3023"/>
        <v/>
      </c>
      <c r="CR993" s="1010">
        <f t="shared" si="3023"/>
        <v>0</v>
      </c>
      <c r="CS993" s="1010">
        <f t="shared" si="3023"/>
        <v>0</v>
      </c>
      <c r="CT993" s="1010">
        <f t="shared" si="3023"/>
        <v>0</v>
      </c>
      <c r="CU993" s="1011">
        <f t="shared" si="3023"/>
        <v>0</v>
      </c>
      <c r="CV993" s="1011">
        <f t="shared" si="3023"/>
        <v>0</v>
      </c>
      <c r="CW993" s="1011">
        <f t="shared" si="3023"/>
        <v>0</v>
      </c>
      <c r="CX993" s="1010">
        <f t="shared" si="3023"/>
        <v>0</v>
      </c>
      <c r="CY993" s="1010">
        <f t="shared" si="3023"/>
        <v>0</v>
      </c>
      <c r="CZ993" s="1010">
        <f t="shared" si="3023"/>
        <v>0</v>
      </c>
      <c r="DA993" s="1010">
        <f t="shared" si="3023"/>
        <v>0</v>
      </c>
      <c r="DB993" s="1010" t="str">
        <f t="shared" si="3023"/>
        <v/>
      </c>
      <c r="DC993" s="1009" t="str">
        <f t="shared" si="3023"/>
        <v/>
      </c>
      <c r="DD993" s="1037" t="str">
        <f t="shared" si="3024"/>
        <v/>
      </c>
      <c r="DE993" s="635">
        <f t="shared" si="3025"/>
        <v>10</v>
      </c>
      <c r="DF993" s="95">
        <f t="shared" si="3026"/>
        <v>10</v>
      </c>
      <c r="DG993" s="95">
        <f t="shared" si="3027"/>
        <v>10</v>
      </c>
      <c r="DH993" s="95">
        <f t="shared" si="3028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049">SUM(B784:B785,B791:B798)</f>
        <v>0</v>
      </c>
      <c r="C994" s="775">
        <f t="shared" si="3049"/>
        <v>0</v>
      </c>
      <c r="D994" s="775">
        <f t="shared" si="3049"/>
        <v>0</v>
      </c>
      <c r="E994" s="775">
        <f t="shared" si="3049"/>
        <v>0</v>
      </c>
      <c r="F994" s="775">
        <f t="shared" si="3049"/>
        <v>0</v>
      </c>
      <c r="G994" s="775">
        <f t="shared" si="3049"/>
        <v>0</v>
      </c>
      <c r="H994" s="775">
        <f t="shared" si="3049"/>
        <v>0</v>
      </c>
      <c r="I994" s="775">
        <f t="shared" si="3049"/>
        <v>0</v>
      </c>
      <c r="J994" s="775">
        <f t="shared" si="3049"/>
        <v>0</v>
      </c>
      <c r="K994" s="775">
        <f t="shared" si="3049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050">SUM(T784:T785,T791:T798)</f>
        <v>0</v>
      </c>
      <c r="U994" s="775">
        <f t="shared" si="3050"/>
        <v>0</v>
      </c>
      <c r="V994" s="775">
        <f t="shared" si="3050"/>
        <v>0</v>
      </c>
      <c r="W994" s="775">
        <f t="shared" si="3050"/>
        <v>0</v>
      </c>
      <c r="X994" s="775">
        <f t="shared" si="3050"/>
        <v>0</v>
      </c>
      <c r="Y994" s="775">
        <f t="shared" si="3050"/>
        <v>0</v>
      </c>
      <c r="Z994" s="775">
        <f t="shared" si="3050"/>
        <v>0</v>
      </c>
      <c r="AA994" s="775">
        <f t="shared" si="3050"/>
        <v>0</v>
      </c>
      <c r="AB994" s="775">
        <f t="shared" si="3050"/>
        <v>0</v>
      </c>
      <c r="AC994" s="775">
        <f t="shared" si="3050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051">SUM(AL784:AL785,AL791:AL798)</f>
        <v>0</v>
      </c>
      <c r="AM994" s="775">
        <f t="shared" si="3051"/>
        <v>0</v>
      </c>
      <c r="AN994" s="775">
        <f t="shared" si="3051"/>
        <v>0</v>
      </c>
      <c r="AO994" s="775">
        <f>SUM(AO784:AO785,AO772:AO798)</f>
        <v>0</v>
      </c>
      <c r="AP994" s="775">
        <f t="shared" si="3051"/>
        <v>0</v>
      </c>
      <c r="AQ994" s="775">
        <f t="shared" si="3051"/>
        <v>0</v>
      </c>
      <c r="AR994" s="775">
        <f t="shared" si="3051"/>
        <v>0</v>
      </c>
      <c r="AS994" s="775">
        <f t="shared" si="3051"/>
        <v>0</v>
      </c>
      <c r="AT994" s="775">
        <f t="shared" si="3051"/>
        <v>0</v>
      </c>
      <c r="AU994" s="775">
        <f t="shared" si="3051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052">SUM(BD784:BD785,BD791:BD798)</f>
        <v>0</v>
      </c>
      <c r="BE994" s="775">
        <f t="shared" si="3052"/>
        <v>0</v>
      </c>
      <c r="BF994" s="775">
        <f t="shared" si="3052"/>
        <v>0</v>
      </c>
      <c r="BG994" s="775">
        <f t="shared" si="3052"/>
        <v>0</v>
      </c>
      <c r="BH994" s="775">
        <f t="shared" si="3052"/>
        <v>0</v>
      </c>
      <c r="BI994" s="775">
        <f t="shared" si="3052"/>
        <v>0</v>
      </c>
      <c r="BJ994" s="775">
        <f t="shared" si="3052"/>
        <v>0</v>
      </c>
      <c r="BK994" s="775">
        <f t="shared" si="3052"/>
        <v>0</v>
      </c>
      <c r="BL994" s="775">
        <f t="shared" si="3052"/>
        <v>0</v>
      </c>
      <c r="BM994" s="775">
        <f t="shared" si="3052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>SUM(BV784:BV785,BV791:BV798)</f>
        <v>773</v>
      </c>
      <c r="BW994" s="775">
        <f>SUM(BW784:BW785,BW791:BW798)</f>
        <v>631</v>
      </c>
      <c r="BX994" s="775">
        <f>SUM(BX784:BX785,BX791:BX798)</f>
        <v>3100</v>
      </c>
      <c r="BY994" s="775">
        <f>SUM(BY784:BY785,BY791:BY798)</f>
        <v>0</v>
      </c>
      <c r="BZ994" s="582">
        <f t="shared" si="3018"/>
        <v>0</v>
      </c>
      <c r="CA994" s="582">
        <f t="shared" si="3019"/>
        <v>0</v>
      </c>
      <c r="CB994" s="582">
        <f t="shared" si="3020"/>
        <v>0</v>
      </c>
      <c r="CC994" s="582">
        <f t="shared" si="3021"/>
        <v>0</v>
      </c>
      <c r="CD994" s="988">
        <f t="shared" si="3022"/>
        <v>0</v>
      </c>
      <c r="CE994" s="989">
        <f t="shared" si="3022"/>
        <v>0</v>
      </c>
      <c r="CF994" s="989">
        <f t="shared" si="3022"/>
        <v>0</v>
      </c>
      <c r="CG994" s="989">
        <f t="shared" si="3022"/>
        <v>0</v>
      </c>
      <c r="CH994" s="990">
        <f t="shared" si="3022"/>
        <v>0</v>
      </c>
      <c r="CI994" s="990">
        <f t="shared" si="3022"/>
        <v>0</v>
      </c>
      <c r="CJ994" s="989">
        <f t="shared" si="3022"/>
        <v>0</v>
      </c>
      <c r="CK994" s="989">
        <f t="shared" si="3022"/>
        <v>0</v>
      </c>
      <c r="CL994" s="989">
        <f t="shared" si="3022"/>
        <v>0</v>
      </c>
      <c r="CM994" s="988">
        <f t="shared" si="3022"/>
        <v>0</v>
      </c>
      <c r="CN994" s="1037" t="str">
        <f t="shared" si="3023"/>
        <v/>
      </c>
      <c r="CO994" s="1009" t="str">
        <f t="shared" si="3023"/>
        <v/>
      </c>
      <c r="CP994" s="1010" t="str">
        <f t="shared" si="3023"/>
        <v/>
      </c>
      <c r="CQ994" s="1010" t="str">
        <f t="shared" si="3023"/>
        <v/>
      </c>
      <c r="CR994" s="1010">
        <f t="shared" si="3023"/>
        <v>0</v>
      </c>
      <c r="CS994" s="1010">
        <f t="shared" si="3023"/>
        <v>0</v>
      </c>
      <c r="CT994" s="1010">
        <f t="shared" si="3023"/>
        <v>0</v>
      </c>
      <c r="CU994" s="1011">
        <f t="shared" si="3023"/>
        <v>0</v>
      </c>
      <c r="CV994" s="1011">
        <f t="shared" si="3023"/>
        <v>0</v>
      </c>
      <c r="CW994" s="1011">
        <f t="shared" si="3023"/>
        <v>0</v>
      </c>
      <c r="CX994" s="1010">
        <f t="shared" si="3023"/>
        <v>0</v>
      </c>
      <c r="CY994" s="1010">
        <f t="shared" si="3023"/>
        <v>0</v>
      </c>
      <c r="CZ994" s="1010">
        <f t="shared" si="3023"/>
        <v>0</v>
      </c>
      <c r="DA994" s="1010">
        <f t="shared" si="3023"/>
        <v>0</v>
      </c>
      <c r="DB994" s="1010" t="str">
        <f t="shared" si="3023"/>
        <v/>
      </c>
      <c r="DC994" s="1009" t="str">
        <f t="shared" si="3023"/>
        <v/>
      </c>
      <c r="DD994" s="1037" t="str">
        <f t="shared" si="3024"/>
        <v/>
      </c>
      <c r="DE994" s="635">
        <f t="shared" si="3025"/>
        <v>10</v>
      </c>
      <c r="DF994" s="95">
        <f t="shared" si="3026"/>
        <v>10</v>
      </c>
      <c r="DG994" s="95">
        <f t="shared" si="3027"/>
        <v>10</v>
      </c>
      <c r="DH994" s="95">
        <f t="shared" si="3028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053">SUM(B799,B800)</f>
        <v>0</v>
      </c>
      <c r="C995" s="775">
        <f t="shared" si="3053"/>
        <v>0</v>
      </c>
      <c r="D995" s="775">
        <f t="shared" si="3053"/>
        <v>0</v>
      </c>
      <c r="E995" s="775">
        <f t="shared" si="3053"/>
        <v>0</v>
      </c>
      <c r="F995" s="775">
        <f t="shared" si="3053"/>
        <v>0</v>
      </c>
      <c r="G995" s="775">
        <f t="shared" si="3053"/>
        <v>0</v>
      </c>
      <c r="H995" s="775">
        <f t="shared" si="3053"/>
        <v>0</v>
      </c>
      <c r="I995" s="775">
        <f t="shared" si="3053"/>
        <v>0</v>
      </c>
      <c r="J995" s="775">
        <f t="shared" si="3053"/>
        <v>0</v>
      </c>
      <c r="K995" s="775">
        <f t="shared" si="3053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054">SUM(T799,T800)</f>
        <v>0</v>
      </c>
      <c r="U995" s="775">
        <f t="shared" si="3054"/>
        <v>0</v>
      </c>
      <c r="V995" s="775">
        <f t="shared" si="3054"/>
        <v>0</v>
      </c>
      <c r="W995" s="775">
        <f t="shared" si="3054"/>
        <v>0</v>
      </c>
      <c r="X995" s="775">
        <f t="shared" si="3054"/>
        <v>0</v>
      </c>
      <c r="Y995" s="775">
        <f t="shared" si="3054"/>
        <v>0</v>
      </c>
      <c r="Z995" s="775">
        <f t="shared" si="3054"/>
        <v>0</v>
      </c>
      <c r="AA995" s="775">
        <f t="shared" si="3054"/>
        <v>0</v>
      </c>
      <c r="AB995" s="775">
        <f t="shared" si="3054"/>
        <v>0</v>
      </c>
      <c r="AC995" s="775">
        <f t="shared" si="3054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055">SUM(AL799,AL800)</f>
        <v>0</v>
      </c>
      <c r="AM995" s="775">
        <f t="shared" si="3055"/>
        <v>0</v>
      </c>
      <c r="AN995" s="775">
        <f t="shared" si="3055"/>
        <v>0</v>
      </c>
      <c r="AO995" s="775">
        <f t="shared" si="3055"/>
        <v>0</v>
      </c>
      <c r="AP995" s="775">
        <f t="shared" si="3055"/>
        <v>0</v>
      </c>
      <c r="AQ995" s="775">
        <f t="shared" si="3055"/>
        <v>0</v>
      </c>
      <c r="AR995" s="775">
        <f t="shared" si="3055"/>
        <v>0</v>
      </c>
      <c r="AS995" s="775">
        <f t="shared" si="3055"/>
        <v>0</v>
      </c>
      <c r="AT995" s="775">
        <f t="shared" si="3055"/>
        <v>0</v>
      </c>
      <c r="AU995" s="775">
        <f t="shared" si="3055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056">SUM(BD799,BD800)</f>
        <v>0</v>
      </c>
      <c r="BE995" s="775">
        <f t="shared" si="3056"/>
        <v>0</v>
      </c>
      <c r="BF995" s="775">
        <f t="shared" si="3056"/>
        <v>0</v>
      </c>
      <c r="BG995" s="775">
        <f t="shared" si="3056"/>
        <v>0</v>
      </c>
      <c r="BH995" s="775">
        <f t="shared" si="3056"/>
        <v>0</v>
      </c>
      <c r="BI995" s="775">
        <f t="shared" si="3056"/>
        <v>0</v>
      </c>
      <c r="BJ995" s="775">
        <f t="shared" si="3056"/>
        <v>0</v>
      </c>
      <c r="BK995" s="775">
        <f t="shared" si="3056"/>
        <v>0</v>
      </c>
      <c r="BL995" s="775">
        <f t="shared" si="3056"/>
        <v>0</v>
      </c>
      <c r="BM995" s="775">
        <f t="shared" si="3056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>SUM(BV799,BV800)</f>
        <v>1588</v>
      </c>
      <c r="BW995" s="775">
        <f>SUM(BW799,BW800)</f>
        <v>3275</v>
      </c>
      <c r="BX995" s="775">
        <f>SUM(BX799,BX800)</f>
        <v>4293</v>
      </c>
      <c r="BY995" s="775">
        <f>SUM(BY799,BY800)</f>
        <v>0</v>
      </c>
      <c r="BZ995" s="582">
        <f t="shared" si="3018"/>
        <v>0</v>
      </c>
      <c r="CA995" s="582">
        <f t="shared" si="3019"/>
        <v>0</v>
      </c>
      <c r="CB995" s="582">
        <f t="shared" si="3020"/>
        <v>0</v>
      </c>
      <c r="CC995" s="582">
        <f t="shared" si="3021"/>
        <v>0</v>
      </c>
      <c r="CD995" s="988">
        <f t="shared" si="3022"/>
        <v>0</v>
      </c>
      <c r="CE995" s="989">
        <f t="shared" si="3022"/>
        <v>0</v>
      </c>
      <c r="CF995" s="989">
        <f t="shared" si="3022"/>
        <v>0</v>
      </c>
      <c r="CG995" s="989">
        <f t="shared" si="3022"/>
        <v>0</v>
      </c>
      <c r="CH995" s="990">
        <f t="shared" si="3022"/>
        <v>0</v>
      </c>
      <c r="CI995" s="990">
        <f t="shared" si="3022"/>
        <v>0</v>
      </c>
      <c r="CJ995" s="989">
        <f t="shared" si="3022"/>
        <v>0</v>
      </c>
      <c r="CK995" s="989">
        <f t="shared" si="3022"/>
        <v>0</v>
      </c>
      <c r="CL995" s="989">
        <f t="shared" si="3022"/>
        <v>0</v>
      </c>
      <c r="CM995" s="988">
        <f t="shared" si="3022"/>
        <v>0</v>
      </c>
      <c r="CN995" s="1037" t="str">
        <f t="shared" si="3023"/>
        <v/>
      </c>
      <c r="CO995" s="1009" t="str">
        <f t="shared" si="3023"/>
        <v/>
      </c>
      <c r="CP995" s="1010" t="str">
        <f t="shared" si="3023"/>
        <v/>
      </c>
      <c r="CQ995" s="1010" t="str">
        <f t="shared" si="3023"/>
        <v/>
      </c>
      <c r="CR995" s="1010">
        <f t="shared" si="3023"/>
        <v>0</v>
      </c>
      <c r="CS995" s="1010">
        <f t="shared" si="3023"/>
        <v>0</v>
      </c>
      <c r="CT995" s="1010">
        <f t="shared" si="3023"/>
        <v>0</v>
      </c>
      <c r="CU995" s="1011">
        <f t="shared" si="3023"/>
        <v>0</v>
      </c>
      <c r="CV995" s="1011">
        <f t="shared" si="3023"/>
        <v>0</v>
      </c>
      <c r="CW995" s="1011">
        <f t="shared" si="3023"/>
        <v>0</v>
      </c>
      <c r="CX995" s="1010">
        <f t="shared" si="3023"/>
        <v>0</v>
      </c>
      <c r="CY995" s="1010">
        <f t="shared" si="3023"/>
        <v>0</v>
      </c>
      <c r="CZ995" s="1010">
        <f t="shared" si="3023"/>
        <v>0</v>
      </c>
      <c r="DA995" s="1010">
        <f t="shared" si="3023"/>
        <v>0</v>
      </c>
      <c r="DB995" s="1010" t="str">
        <f t="shared" si="3023"/>
        <v/>
      </c>
      <c r="DC995" s="1009" t="str">
        <f t="shared" si="3023"/>
        <v/>
      </c>
      <c r="DD995" s="1037" t="str">
        <f t="shared" si="3024"/>
        <v/>
      </c>
      <c r="DE995" s="635">
        <f t="shared" si="3025"/>
        <v>10</v>
      </c>
      <c r="DF995" s="95">
        <f t="shared" si="3026"/>
        <v>10</v>
      </c>
      <c r="DG995" s="95">
        <f t="shared" si="3027"/>
        <v>10</v>
      </c>
      <c r="DH995" s="95">
        <f t="shared" si="3028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057">SUM(B801)</f>
        <v>0</v>
      </c>
      <c r="C996" s="775">
        <f t="shared" si="3057"/>
        <v>0</v>
      </c>
      <c r="D996" s="775">
        <f t="shared" si="3057"/>
        <v>0</v>
      </c>
      <c r="E996" s="775">
        <f t="shared" si="3057"/>
        <v>0</v>
      </c>
      <c r="F996" s="775">
        <f t="shared" si="3057"/>
        <v>0</v>
      </c>
      <c r="G996" s="775">
        <f t="shared" si="3057"/>
        <v>0</v>
      </c>
      <c r="H996" s="775">
        <f t="shared" si="3057"/>
        <v>0</v>
      </c>
      <c r="I996" s="775">
        <f t="shared" si="3057"/>
        <v>0</v>
      </c>
      <c r="J996" s="775">
        <f t="shared" si="3057"/>
        <v>0</v>
      </c>
      <c r="K996" s="775">
        <f t="shared" si="30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058">SUM(T801)</f>
        <v>0</v>
      </c>
      <c r="U996" s="775">
        <f t="shared" si="3058"/>
        <v>0</v>
      </c>
      <c r="V996" s="775">
        <f t="shared" si="3058"/>
        <v>0</v>
      </c>
      <c r="W996" s="775">
        <f t="shared" si="3058"/>
        <v>0</v>
      </c>
      <c r="X996" s="775">
        <f t="shared" si="3058"/>
        <v>0</v>
      </c>
      <c r="Y996" s="775">
        <f t="shared" si="3058"/>
        <v>0</v>
      </c>
      <c r="Z996" s="775">
        <f t="shared" si="3058"/>
        <v>0</v>
      </c>
      <c r="AA996" s="775">
        <f t="shared" si="3058"/>
        <v>0</v>
      </c>
      <c r="AB996" s="775">
        <f t="shared" si="3058"/>
        <v>0</v>
      </c>
      <c r="AC996" s="775">
        <f t="shared" si="30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059">SUM(AL801)</f>
        <v>0</v>
      </c>
      <c r="AM996" s="775">
        <f t="shared" si="3059"/>
        <v>0</v>
      </c>
      <c r="AN996" s="775">
        <f t="shared" si="3059"/>
        <v>0</v>
      </c>
      <c r="AO996" s="775">
        <f t="shared" si="3059"/>
        <v>0</v>
      </c>
      <c r="AP996" s="775">
        <f t="shared" si="3059"/>
        <v>0</v>
      </c>
      <c r="AQ996" s="775">
        <f t="shared" si="3059"/>
        <v>0</v>
      </c>
      <c r="AR996" s="775">
        <f t="shared" si="3059"/>
        <v>0</v>
      </c>
      <c r="AS996" s="775">
        <f t="shared" si="3059"/>
        <v>0</v>
      </c>
      <c r="AT996" s="775">
        <f t="shared" si="3059"/>
        <v>0</v>
      </c>
      <c r="AU996" s="775">
        <f t="shared" si="30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060">SUM(BD801)</f>
        <v>0</v>
      </c>
      <c r="BE996" s="775">
        <f t="shared" si="3060"/>
        <v>0</v>
      </c>
      <c r="BF996" s="775">
        <f t="shared" si="3060"/>
        <v>0</v>
      </c>
      <c r="BG996" s="775">
        <f t="shared" si="3060"/>
        <v>0</v>
      </c>
      <c r="BH996" s="775">
        <f t="shared" si="3060"/>
        <v>0</v>
      </c>
      <c r="BI996" s="775">
        <f t="shared" si="3060"/>
        <v>0</v>
      </c>
      <c r="BJ996" s="775">
        <f t="shared" si="3060"/>
        <v>0</v>
      </c>
      <c r="BK996" s="775">
        <f t="shared" si="3060"/>
        <v>0</v>
      </c>
      <c r="BL996" s="775">
        <f t="shared" si="3060"/>
        <v>0</v>
      </c>
      <c r="BM996" s="775">
        <f t="shared" si="30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>SUM(BV801)</f>
        <v>1200</v>
      </c>
      <c r="BW996" s="775">
        <f>SUM(BW801)</f>
        <v>2250</v>
      </c>
      <c r="BX996" s="775">
        <f>SUM(BX801)</f>
        <v>5500</v>
      </c>
      <c r="BY996" s="775">
        <f>SUM(BY801)</f>
        <v>0</v>
      </c>
      <c r="BZ996" s="582">
        <f t="shared" si="3018"/>
        <v>0</v>
      </c>
      <c r="CA996" s="582">
        <f t="shared" si="3019"/>
        <v>0</v>
      </c>
      <c r="CB996" s="582">
        <f t="shared" si="3020"/>
        <v>0</v>
      </c>
      <c r="CC996" s="582">
        <f t="shared" si="3021"/>
        <v>0</v>
      </c>
      <c r="CD996" s="988">
        <f t="shared" si="3022"/>
        <v>0</v>
      </c>
      <c r="CE996" s="989">
        <f t="shared" si="3022"/>
        <v>0</v>
      </c>
      <c r="CF996" s="989">
        <f t="shared" si="3022"/>
        <v>0</v>
      </c>
      <c r="CG996" s="989">
        <f t="shared" si="3022"/>
        <v>0</v>
      </c>
      <c r="CH996" s="990">
        <f t="shared" si="3022"/>
        <v>0</v>
      </c>
      <c r="CI996" s="990">
        <f t="shared" si="3022"/>
        <v>0</v>
      </c>
      <c r="CJ996" s="989">
        <f t="shared" si="3022"/>
        <v>0</v>
      </c>
      <c r="CK996" s="989">
        <f t="shared" si="3022"/>
        <v>0</v>
      </c>
      <c r="CL996" s="989">
        <f t="shared" si="3022"/>
        <v>0</v>
      </c>
      <c r="CM996" s="988">
        <f t="shared" si="3022"/>
        <v>0</v>
      </c>
      <c r="CN996" s="1037" t="str">
        <f t="shared" si="3023"/>
        <v/>
      </c>
      <c r="CO996" s="1009" t="str">
        <f t="shared" si="3023"/>
        <v/>
      </c>
      <c r="CP996" s="1010" t="str">
        <f t="shared" si="3023"/>
        <v/>
      </c>
      <c r="CQ996" s="1010" t="str">
        <f t="shared" si="3023"/>
        <v/>
      </c>
      <c r="CR996" s="1010">
        <f t="shared" si="3023"/>
        <v>0</v>
      </c>
      <c r="CS996" s="1010">
        <f t="shared" si="3023"/>
        <v>0</v>
      </c>
      <c r="CT996" s="1010">
        <f t="shared" si="3023"/>
        <v>0</v>
      </c>
      <c r="CU996" s="1011">
        <f t="shared" si="3023"/>
        <v>0</v>
      </c>
      <c r="CV996" s="1011">
        <f t="shared" si="3023"/>
        <v>0</v>
      </c>
      <c r="CW996" s="1011">
        <f t="shared" si="3023"/>
        <v>0</v>
      </c>
      <c r="CX996" s="1010">
        <f t="shared" si="3023"/>
        <v>0</v>
      </c>
      <c r="CY996" s="1010">
        <f t="shared" si="3023"/>
        <v>0</v>
      </c>
      <c r="CZ996" s="1010">
        <f t="shared" si="3023"/>
        <v>0</v>
      </c>
      <c r="DA996" s="1010">
        <f t="shared" si="3023"/>
        <v>0</v>
      </c>
      <c r="DB996" s="1010" t="str">
        <f t="shared" si="3023"/>
        <v/>
      </c>
      <c r="DC996" s="1009" t="str">
        <f t="shared" si="3023"/>
        <v/>
      </c>
      <c r="DD996" s="1037" t="str">
        <f t="shared" si="3024"/>
        <v/>
      </c>
      <c r="DE996" s="635">
        <f t="shared" si="3025"/>
        <v>10</v>
      </c>
      <c r="DF996" s="95">
        <f t="shared" si="3026"/>
        <v>10</v>
      </c>
      <c r="DG996" s="95">
        <f t="shared" si="3027"/>
        <v>10</v>
      </c>
      <c r="DH996" s="95">
        <f t="shared" si="3028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 t="shared" ref="B997:K997" si="3061">SUM(B804)</f>
        <v>0</v>
      </c>
      <c r="C997" s="775">
        <f t="shared" si="3061"/>
        <v>0</v>
      </c>
      <c r="D997" s="775">
        <f t="shared" si="3061"/>
        <v>0</v>
      </c>
      <c r="E997" s="775">
        <f t="shared" si="3061"/>
        <v>0</v>
      </c>
      <c r="F997" s="775">
        <f t="shared" si="3061"/>
        <v>0</v>
      </c>
      <c r="G997" s="775">
        <f t="shared" si="3061"/>
        <v>0</v>
      </c>
      <c r="H997" s="775">
        <f t="shared" si="3061"/>
        <v>0</v>
      </c>
      <c r="I997" s="775">
        <f t="shared" si="3061"/>
        <v>0</v>
      </c>
      <c r="J997" s="775">
        <f t="shared" si="3061"/>
        <v>0</v>
      </c>
      <c r="K997" s="775">
        <f t="shared" si="3061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062">SUM(U804)</f>
        <v>0</v>
      </c>
      <c r="V997" s="775">
        <f t="shared" si="3062"/>
        <v>0</v>
      </c>
      <c r="W997" s="775">
        <f t="shared" si="3062"/>
        <v>0</v>
      </c>
      <c r="X997" s="775">
        <f t="shared" si="3062"/>
        <v>0</v>
      </c>
      <c r="Y997" s="775">
        <f t="shared" si="3062"/>
        <v>0</v>
      </c>
      <c r="Z997" s="775">
        <f t="shared" si="3062"/>
        <v>0</v>
      </c>
      <c r="AA997" s="775">
        <f t="shared" si="3062"/>
        <v>0</v>
      </c>
      <c r="AB997" s="775">
        <f t="shared" si="3062"/>
        <v>0</v>
      </c>
      <c r="AC997" s="775">
        <f t="shared" si="3062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063">SUM(AM804)</f>
        <v>0</v>
      </c>
      <c r="AN997" s="775">
        <f t="shared" si="3063"/>
        <v>0</v>
      </c>
      <c r="AO997" s="775">
        <f t="shared" si="3063"/>
        <v>0</v>
      </c>
      <c r="AP997" s="775">
        <f t="shared" si="3063"/>
        <v>0</v>
      </c>
      <c r="AQ997" s="775">
        <f t="shared" si="3063"/>
        <v>0</v>
      </c>
      <c r="AR997" s="775">
        <f t="shared" si="3063"/>
        <v>0</v>
      </c>
      <c r="AS997" s="775">
        <f t="shared" si="3063"/>
        <v>0</v>
      </c>
      <c r="AT997" s="775">
        <f t="shared" si="3063"/>
        <v>0</v>
      </c>
      <c r="AU997" s="775">
        <f t="shared" si="3063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064">SUM(BE804)</f>
        <v>0</v>
      </c>
      <c r="BF997" s="775">
        <f t="shared" si="3064"/>
        <v>0</v>
      </c>
      <c r="BG997" s="775">
        <f t="shared" si="3064"/>
        <v>0</v>
      </c>
      <c r="BH997" s="775">
        <f t="shared" si="3064"/>
        <v>0</v>
      </c>
      <c r="BI997" s="775">
        <f t="shared" si="3064"/>
        <v>0</v>
      </c>
      <c r="BJ997" s="775">
        <f t="shared" si="3064"/>
        <v>0</v>
      </c>
      <c r="BK997" s="775">
        <f t="shared" si="3064"/>
        <v>0</v>
      </c>
      <c r="BL997" s="775">
        <f t="shared" si="3064"/>
        <v>0</v>
      </c>
      <c r="BM997" s="775">
        <f t="shared" si="3064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4000</v>
      </c>
      <c r="BW997" s="775">
        <f>SUM(BW804)</f>
        <v>2000</v>
      </c>
      <c r="BX997" s="775">
        <f>SUM(BX804)</f>
        <v>2000</v>
      </c>
      <c r="BY997" s="775">
        <f>SUM(BY804)</f>
        <v>0</v>
      </c>
      <c r="BZ997" s="582">
        <f t="shared" si="3018"/>
        <v>0</v>
      </c>
      <c r="CA997" s="582">
        <f t="shared" si="3019"/>
        <v>0</v>
      </c>
      <c r="CB997" s="582">
        <f t="shared" si="3020"/>
        <v>0</v>
      </c>
      <c r="CC997" s="582">
        <f t="shared" si="3021"/>
        <v>0</v>
      </c>
      <c r="CD997" s="988">
        <f t="shared" si="3022"/>
        <v>0</v>
      </c>
      <c r="CE997" s="989">
        <f t="shared" si="3022"/>
        <v>0</v>
      </c>
      <c r="CF997" s="989">
        <f t="shared" si="3022"/>
        <v>0</v>
      </c>
      <c r="CG997" s="989">
        <f t="shared" si="3022"/>
        <v>0</v>
      </c>
      <c r="CH997" s="990">
        <f t="shared" si="3022"/>
        <v>0</v>
      </c>
      <c r="CI997" s="990">
        <f t="shared" si="3022"/>
        <v>0</v>
      </c>
      <c r="CJ997" s="989">
        <f t="shared" si="3022"/>
        <v>0</v>
      </c>
      <c r="CK997" s="989">
        <f t="shared" si="3022"/>
        <v>0</v>
      </c>
      <c r="CL997" s="989">
        <f t="shared" si="3022"/>
        <v>0</v>
      </c>
      <c r="CM997" s="988">
        <f t="shared" si="3022"/>
        <v>0</v>
      </c>
      <c r="CN997" s="1037" t="str">
        <f t="shared" si="3023"/>
        <v/>
      </c>
      <c r="CO997" s="1009" t="str">
        <f t="shared" si="3023"/>
        <v/>
      </c>
      <c r="CP997" s="1010" t="str">
        <f t="shared" si="3023"/>
        <v/>
      </c>
      <c r="CQ997" s="1010" t="str">
        <f t="shared" si="3023"/>
        <v/>
      </c>
      <c r="CR997" s="1010">
        <f t="shared" si="3023"/>
        <v>0</v>
      </c>
      <c r="CS997" s="1010">
        <f t="shared" si="3023"/>
        <v>0</v>
      </c>
      <c r="CT997" s="1010">
        <f t="shared" si="3023"/>
        <v>0</v>
      </c>
      <c r="CU997" s="1011">
        <f t="shared" si="3023"/>
        <v>0</v>
      </c>
      <c r="CV997" s="1011">
        <f t="shared" si="3023"/>
        <v>0</v>
      </c>
      <c r="CW997" s="1011">
        <f t="shared" si="3023"/>
        <v>0</v>
      </c>
      <c r="CX997" s="1010">
        <f t="shared" si="3023"/>
        <v>0</v>
      </c>
      <c r="CY997" s="1010">
        <f t="shared" si="3023"/>
        <v>0</v>
      </c>
      <c r="CZ997" s="1010">
        <f t="shared" si="3023"/>
        <v>0</v>
      </c>
      <c r="DA997" s="1010">
        <f t="shared" si="3023"/>
        <v>0</v>
      </c>
      <c r="DB997" s="1010" t="str">
        <f t="shared" si="3023"/>
        <v/>
      </c>
      <c r="DC997" s="1009" t="str">
        <f t="shared" si="3023"/>
        <v/>
      </c>
      <c r="DD997" s="1037" t="str">
        <f t="shared" si="3024"/>
        <v/>
      </c>
      <c r="DE997" s="635">
        <f t="shared" si="3025"/>
        <v>10</v>
      </c>
      <c r="DF997" s="95">
        <f t="shared" si="3026"/>
        <v>10</v>
      </c>
      <c r="DG997" s="95">
        <f t="shared" si="3027"/>
        <v>10</v>
      </c>
      <c r="DH997" s="95">
        <f t="shared" si="3028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1162</v>
      </c>
      <c r="B998" s="775">
        <f t="shared" ref="B998:K998" si="3065">SUM(B802,B803)</f>
        <v>0</v>
      </c>
      <c r="C998" s="775">
        <f t="shared" si="3065"/>
        <v>0</v>
      </c>
      <c r="D998" s="775">
        <f t="shared" si="3065"/>
        <v>0</v>
      </c>
      <c r="E998" s="775">
        <f t="shared" si="3065"/>
        <v>0</v>
      </c>
      <c r="F998" s="775">
        <f t="shared" si="3065"/>
        <v>0</v>
      </c>
      <c r="G998" s="775">
        <f t="shared" si="3065"/>
        <v>0</v>
      </c>
      <c r="H998" s="775">
        <f t="shared" si="3065"/>
        <v>0</v>
      </c>
      <c r="I998" s="775">
        <f t="shared" si="3065"/>
        <v>0</v>
      </c>
      <c r="J998" s="775">
        <f t="shared" si="3065"/>
        <v>0</v>
      </c>
      <c r="K998" s="775">
        <f t="shared" si="3065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066">SUM(U802,U803)</f>
        <v>0</v>
      </c>
      <c r="V998" s="775">
        <f t="shared" si="3066"/>
        <v>0</v>
      </c>
      <c r="W998" s="775">
        <f t="shared" si="3066"/>
        <v>0</v>
      </c>
      <c r="X998" s="775">
        <f t="shared" si="3066"/>
        <v>0</v>
      </c>
      <c r="Y998" s="775">
        <f t="shared" si="3066"/>
        <v>0</v>
      </c>
      <c r="Z998" s="775">
        <f t="shared" si="3066"/>
        <v>0</v>
      </c>
      <c r="AA998" s="775">
        <f t="shared" si="3066"/>
        <v>0</v>
      </c>
      <c r="AB998" s="775">
        <f t="shared" si="3066"/>
        <v>0</v>
      </c>
      <c r="AC998" s="775">
        <f t="shared" si="3066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067">SUM(AM802,AM803)</f>
        <v>0</v>
      </c>
      <c r="AN998" s="775">
        <f t="shared" si="3067"/>
        <v>0</v>
      </c>
      <c r="AO998" s="775">
        <f t="shared" si="3067"/>
        <v>0</v>
      </c>
      <c r="AP998" s="775">
        <f t="shared" si="3067"/>
        <v>0</v>
      </c>
      <c r="AQ998" s="775">
        <f t="shared" si="3067"/>
        <v>0</v>
      </c>
      <c r="AR998" s="775">
        <f t="shared" si="3067"/>
        <v>0</v>
      </c>
      <c r="AS998" s="775">
        <f t="shared" si="3067"/>
        <v>0</v>
      </c>
      <c r="AT998" s="775">
        <f t="shared" si="3067"/>
        <v>0</v>
      </c>
      <c r="AU998" s="775">
        <f t="shared" si="3067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068">SUM(BE802,BE803)</f>
        <v>0</v>
      </c>
      <c r="BF998" s="775">
        <f t="shared" si="3068"/>
        <v>0</v>
      </c>
      <c r="BG998" s="775">
        <f t="shared" si="3068"/>
        <v>0</v>
      </c>
      <c r="BH998" s="775">
        <f t="shared" si="3068"/>
        <v>0</v>
      </c>
      <c r="BI998" s="775">
        <f t="shared" si="3068"/>
        <v>0</v>
      </c>
      <c r="BJ998" s="775">
        <f t="shared" si="3068"/>
        <v>0</v>
      </c>
      <c r="BK998" s="775">
        <f t="shared" si="3068"/>
        <v>0</v>
      </c>
      <c r="BL998" s="775">
        <f t="shared" si="3068"/>
        <v>0</v>
      </c>
      <c r="BM998" s="775">
        <f t="shared" si="3068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1360</v>
      </c>
      <c r="BW998" s="775">
        <f>SUM(BW802,BW803)</f>
        <v>1900</v>
      </c>
      <c r="BX998" s="775">
        <f>SUM(BX802,BX803)</f>
        <v>5263</v>
      </c>
      <c r="BY998" s="775">
        <f>SUM(BY802,BY803)</f>
        <v>0</v>
      </c>
      <c r="BZ998" s="582">
        <f t="shared" si="3018"/>
        <v>0</v>
      </c>
      <c r="CA998" s="582">
        <f t="shared" si="3019"/>
        <v>0</v>
      </c>
      <c r="CB998" s="582">
        <f t="shared" si="3020"/>
        <v>0</v>
      </c>
      <c r="CC998" s="582">
        <f t="shared" si="3021"/>
        <v>0</v>
      </c>
      <c r="CD998" s="988">
        <f t="shared" si="3022"/>
        <v>0</v>
      </c>
      <c r="CE998" s="989">
        <f t="shared" si="3022"/>
        <v>0</v>
      </c>
      <c r="CF998" s="989">
        <f t="shared" si="3022"/>
        <v>0</v>
      </c>
      <c r="CG998" s="989">
        <f t="shared" si="3022"/>
        <v>0</v>
      </c>
      <c r="CH998" s="990">
        <f t="shared" si="3022"/>
        <v>0</v>
      </c>
      <c r="CI998" s="990">
        <f t="shared" si="3022"/>
        <v>0</v>
      </c>
      <c r="CJ998" s="989">
        <f t="shared" si="3022"/>
        <v>0</v>
      </c>
      <c r="CK998" s="989">
        <f t="shared" si="3022"/>
        <v>0</v>
      </c>
      <c r="CL998" s="989">
        <f t="shared" si="3022"/>
        <v>0</v>
      </c>
      <c r="CM998" s="988">
        <f t="shared" si="3022"/>
        <v>0</v>
      </c>
      <c r="CN998" s="1037" t="str">
        <f t="shared" si="3023"/>
        <v/>
      </c>
      <c r="CO998" s="1009" t="str">
        <f t="shared" si="3023"/>
        <v/>
      </c>
      <c r="CP998" s="1010" t="str">
        <f t="shared" si="3023"/>
        <v/>
      </c>
      <c r="CQ998" s="1010" t="str">
        <f t="shared" si="3023"/>
        <v/>
      </c>
      <c r="CR998" s="1010">
        <f t="shared" si="3023"/>
        <v>0</v>
      </c>
      <c r="CS998" s="1010">
        <f t="shared" si="3023"/>
        <v>0</v>
      </c>
      <c r="CT998" s="1010">
        <f t="shared" si="3023"/>
        <v>0</v>
      </c>
      <c r="CU998" s="1011">
        <f t="shared" si="3023"/>
        <v>0</v>
      </c>
      <c r="CV998" s="1011">
        <f t="shared" si="3023"/>
        <v>0</v>
      </c>
      <c r="CW998" s="1011">
        <f t="shared" si="3023"/>
        <v>0</v>
      </c>
      <c r="CX998" s="1010">
        <f t="shared" si="3023"/>
        <v>0</v>
      </c>
      <c r="CY998" s="1010">
        <f t="shared" si="3023"/>
        <v>0</v>
      </c>
      <c r="CZ998" s="1010">
        <f t="shared" si="3023"/>
        <v>0</v>
      </c>
      <c r="DA998" s="1010">
        <f t="shared" si="3023"/>
        <v>0</v>
      </c>
      <c r="DB998" s="1010" t="str">
        <f t="shared" si="3023"/>
        <v/>
      </c>
      <c r="DC998" s="1009" t="str">
        <f t="shared" si="3023"/>
        <v/>
      </c>
      <c r="DD998" s="1037" t="str">
        <f t="shared" si="3024"/>
        <v/>
      </c>
      <c r="DE998" s="635">
        <f t="shared" si="3025"/>
        <v>10</v>
      </c>
      <c r="DF998" s="95">
        <f t="shared" si="3026"/>
        <v>10</v>
      </c>
      <c r="DG998" s="95">
        <f t="shared" si="3027"/>
        <v>10</v>
      </c>
      <c r="DH998" s="95">
        <f t="shared" si="3028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 t="shared" ref="B999:K999" si="3069">SUM(B805,B809:B809)</f>
        <v>0</v>
      </c>
      <c r="C999" s="775">
        <f t="shared" si="3069"/>
        <v>0</v>
      </c>
      <c r="D999" s="775">
        <f t="shared" si="3069"/>
        <v>0</v>
      </c>
      <c r="E999" s="775">
        <f t="shared" si="3069"/>
        <v>0</v>
      </c>
      <c r="F999" s="775">
        <f t="shared" si="3069"/>
        <v>0</v>
      </c>
      <c r="G999" s="775">
        <f t="shared" si="3069"/>
        <v>0</v>
      </c>
      <c r="H999" s="775">
        <f t="shared" si="3069"/>
        <v>0</v>
      </c>
      <c r="I999" s="775">
        <f t="shared" si="3069"/>
        <v>0</v>
      </c>
      <c r="J999" s="775">
        <f t="shared" si="3069"/>
        <v>0</v>
      </c>
      <c r="K999" s="775">
        <f t="shared" si="306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070">SUM(U805,U809:U809)</f>
        <v>0</v>
      </c>
      <c r="V999" s="775">
        <f t="shared" si="3070"/>
        <v>0</v>
      </c>
      <c r="W999" s="775">
        <f t="shared" si="3070"/>
        <v>0</v>
      </c>
      <c r="X999" s="775">
        <f t="shared" si="3070"/>
        <v>0</v>
      </c>
      <c r="Y999" s="775">
        <f t="shared" si="3070"/>
        <v>0</v>
      </c>
      <c r="Z999" s="775">
        <f t="shared" si="3070"/>
        <v>0</v>
      </c>
      <c r="AA999" s="775">
        <f t="shared" si="3070"/>
        <v>0</v>
      </c>
      <c r="AB999" s="775">
        <f t="shared" si="3070"/>
        <v>0</v>
      </c>
      <c r="AC999" s="775">
        <f t="shared" si="307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071">SUM(AM805,AM809:AM809)</f>
        <v>0</v>
      </c>
      <c r="AN999" s="775">
        <f t="shared" si="3071"/>
        <v>0</v>
      </c>
      <c r="AO999" s="775">
        <f t="shared" si="3071"/>
        <v>0</v>
      </c>
      <c r="AP999" s="775">
        <f t="shared" si="3071"/>
        <v>0</v>
      </c>
      <c r="AQ999" s="775">
        <f t="shared" si="3071"/>
        <v>0</v>
      </c>
      <c r="AR999" s="775">
        <f t="shared" si="3071"/>
        <v>0</v>
      </c>
      <c r="AS999" s="775">
        <f t="shared" si="3071"/>
        <v>0</v>
      </c>
      <c r="AT999" s="775">
        <f t="shared" si="3071"/>
        <v>0</v>
      </c>
      <c r="AU999" s="775">
        <f t="shared" si="307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072">SUM(BE805,BE809:BE809)</f>
        <v>0</v>
      </c>
      <c r="BF999" s="775">
        <f t="shared" si="3072"/>
        <v>0</v>
      </c>
      <c r="BG999" s="775">
        <f t="shared" si="3072"/>
        <v>0</v>
      </c>
      <c r="BH999" s="775">
        <f t="shared" si="3072"/>
        <v>0</v>
      </c>
      <c r="BI999" s="775">
        <f t="shared" si="3072"/>
        <v>0</v>
      </c>
      <c r="BJ999" s="775">
        <f t="shared" si="3072"/>
        <v>0</v>
      </c>
      <c r="BK999" s="775">
        <f t="shared" si="3072"/>
        <v>0</v>
      </c>
      <c r="BL999" s="775">
        <f t="shared" si="3072"/>
        <v>0</v>
      </c>
      <c r="BM999" s="775">
        <f t="shared" si="307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2309</v>
      </c>
      <c r="BW999" s="775">
        <f>SUM(BW805,BW809:BW810)</f>
        <v>5500</v>
      </c>
      <c r="BX999" s="775">
        <f>SUM(BX805,BX809:BX810)</f>
        <v>11000</v>
      </c>
      <c r="BY999" s="775">
        <f>SUM(BY805,BY809:BY810)</f>
        <v>0</v>
      </c>
      <c r="BZ999" s="582">
        <f t="shared" si="3018"/>
        <v>0</v>
      </c>
      <c r="CA999" s="582">
        <f t="shared" si="3019"/>
        <v>0</v>
      </c>
      <c r="CB999" s="582">
        <f t="shared" si="3020"/>
        <v>0</v>
      </c>
      <c r="CC999" s="582">
        <f t="shared" si="3021"/>
        <v>0</v>
      </c>
      <c r="CD999" s="988">
        <f t="shared" si="3022"/>
        <v>0</v>
      </c>
      <c r="CE999" s="989">
        <f t="shared" si="3022"/>
        <v>0</v>
      </c>
      <c r="CF999" s="989">
        <f t="shared" si="3022"/>
        <v>0</v>
      </c>
      <c r="CG999" s="989">
        <f t="shared" si="3022"/>
        <v>0</v>
      </c>
      <c r="CH999" s="990">
        <f t="shared" si="3022"/>
        <v>0</v>
      </c>
      <c r="CI999" s="990">
        <f t="shared" si="3022"/>
        <v>0</v>
      </c>
      <c r="CJ999" s="989">
        <f t="shared" si="3022"/>
        <v>0</v>
      </c>
      <c r="CK999" s="989">
        <f t="shared" si="3022"/>
        <v>0</v>
      </c>
      <c r="CL999" s="989">
        <f t="shared" si="3022"/>
        <v>0</v>
      </c>
      <c r="CM999" s="988">
        <f t="shared" si="3022"/>
        <v>0</v>
      </c>
      <c r="CN999" s="1037" t="str">
        <f t="shared" si="3023"/>
        <v/>
      </c>
      <c r="CO999" s="1009" t="str">
        <f t="shared" si="3023"/>
        <v/>
      </c>
      <c r="CP999" s="1010" t="str">
        <f t="shared" si="3023"/>
        <v/>
      </c>
      <c r="CQ999" s="1010" t="str">
        <f t="shared" si="3023"/>
        <v/>
      </c>
      <c r="CR999" s="1010">
        <f t="shared" si="3023"/>
        <v>0</v>
      </c>
      <c r="CS999" s="1010">
        <f t="shared" si="3023"/>
        <v>0</v>
      </c>
      <c r="CT999" s="1010">
        <f t="shared" si="3023"/>
        <v>0</v>
      </c>
      <c r="CU999" s="1011">
        <f t="shared" si="3023"/>
        <v>0</v>
      </c>
      <c r="CV999" s="1011">
        <f t="shared" si="3023"/>
        <v>0</v>
      </c>
      <c r="CW999" s="1011">
        <f t="shared" si="3023"/>
        <v>0</v>
      </c>
      <c r="CX999" s="1010">
        <f t="shared" si="3023"/>
        <v>0</v>
      </c>
      <c r="CY999" s="1010">
        <f t="shared" si="3023"/>
        <v>0</v>
      </c>
      <c r="CZ999" s="1010">
        <f t="shared" si="3023"/>
        <v>0</v>
      </c>
      <c r="DA999" s="1010">
        <f t="shared" si="3023"/>
        <v>0</v>
      </c>
      <c r="DB999" s="1010" t="str">
        <f t="shared" si="3023"/>
        <v/>
      </c>
      <c r="DC999" s="1009" t="str">
        <f t="shared" si="3023"/>
        <v/>
      </c>
      <c r="DD999" s="1037" t="str">
        <f t="shared" si="3024"/>
        <v/>
      </c>
      <c r="DE999" s="635">
        <f t="shared" si="3025"/>
        <v>10</v>
      </c>
      <c r="DF999" s="95">
        <f t="shared" si="3026"/>
        <v>10</v>
      </c>
      <c r="DG999" s="95">
        <f t="shared" si="3027"/>
        <v>10</v>
      </c>
      <c r="DH999" s="95">
        <f t="shared" si="3028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073">SUM(C807)</f>
        <v>0</v>
      </c>
      <c r="D1000" s="775">
        <f t="shared" si="3073"/>
        <v>0</v>
      </c>
      <c r="E1000" s="775">
        <f t="shared" si="3073"/>
        <v>0</v>
      </c>
      <c r="F1000" s="775">
        <f t="shared" si="3073"/>
        <v>0</v>
      </c>
      <c r="G1000" s="775">
        <f t="shared" si="3073"/>
        <v>0</v>
      </c>
      <c r="H1000" s="775">
        <f t="shared" si="3073"/>
        <v>0</v>
      </c>
      <c r="I1000" s="775">
        <f t="shared" si="3073"/>
        <v>0</v>
      </c>
      <c r="J1000" s="775">
        <f t="shared" si="3073"/>
        <v>0</v>
      </c>
      <c r="K1000" s="775">
        <f t="shared" si="3073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074">SUM(U807)</f>
        <v>0</v>
      </c>
      <c r="V1000" s="775">
        <f t="shared" si="3074"/>
        <v>0</v>
      </c>
      <c r="W1000" s="775">
        <f t="shared" si="3074"/>
        <v>0</v>
      </c>
      <c r="X1000" s="775">
        <f t="shared" si="3074"/>
        <v>0</v>
      </c>
      <c r="Y1000" s="775">
        <f t="shared" si="3074"/>
        <v>0</v>
      </c>
      <c r="Z1000" s="775">
        <f t="shared" si="3074"/>
        <v>0</v>
      </c>
      <c r="AA1000" s="775">
        <f t="shared" si="3074"/>
        <v>0</v>
      </c>
      <c r="AB1000" s="775">
        <f t="shared" si="3074"/>
        <v>0</v>
      </c>
      <c r="AC1000" s="775">
        <f t="shared" si="3074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075">SUM(AM807)</f>
        <v>0</v>
      </c>
      <c r="AN1000" s="775">
        <f t="shared" si="3075"/>
        <v>0</v>
      </c>
      <c r="AO1000" s="775">
        <f t="shared" si="3075"/>
        <v>0</v>
      </c>
      <c r="AP1000" s="775">
        <f t="shared" si="3075"/>
        <v>0</v>
      </c>
      <c r="AQ1000" s="775">
        <f t="shared" si="3075"/>
        <v>0</v>
      </c>
      <c r="AR1000" s="775">
        <f t="shared" si="3075"/>
        <v>0</v>
      </c>
      <c r="AS1000" s="775">
        <f t="shared" si="3075"/>
        <v>0</v>
      </c>
      <c r="AT1000" s="775">
        <f t="shared" si="3075"/>
        <v>0</v>
      </c>
      <c r="AU1000" s="775">
        <f t="shared" si="3075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076">SUM(BE807)</f>
        <v>0</v>
      </c>
      <c r="BF1000" s="775">
        <f t="shared" si="3076"/>
        <v>0</v>
      </c>
      <c r="BG1000" s="775">
        <f t="shared" si="3076"/>
        <v>0</v>
      </c>
      <c r="BH1000" s="775">
        <f t="shared" si="3076"/>
        <v>0</v>
      </c>
      <c r="BI1000" s="775">
        <f t="shared" si="3076"/>
        <v>0</v>
      </c>
      <c r="BJ1000" s="775">
        <f t="shared" si="3076"/>
        <v>0</v>
      </c>
      <c r="BK1000" s="775">
        <f t="shared" si="3076"/>
        <v>0</v>
      </c>
      <c r="BL1000" s="775">
        <f t="shared" si="3076"/>
        <v>0</v>
      </c>
      <c r="BM1000" s="775">
        <f t="shared" si="3076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1" si="3077">SUM(BV807)</f>
        <v>0</v>
      </c>
      <c r="BW1000" s="775">
        <f t="shared" si="3077"/>
        <v>0</v>
      </c>
      <c r="BX1000" s="775">
        <f t="shared" si="3077"/>
        <v>0</v>
      </c>
      <c r="BY1000" s="775">
        <f t="shared" si="3077"/>
        <v>0</v>
      </c>
      <c r="BZ1000" s="582">
        <f t="shared" si="3018"/>
        <v>0</v>
      </c>
      <c r="CA1000" s="582">
        <f t="shared" si="3019"/>
        <v>0</v>
      </c>
      <c r="CB1000" s="582">
        <f t="shared" si="3020"/>
        <v>0</v>
      </c>
      <c r="CC1000" s="582">
        <f t="shared" si="3021"/>
        <v>0</v>
      </c>
      <c r="CD1000" s="988">
        <f t="shared" si="3022"/>
        <v>0</v>
      </c>
      <c r="CE1000" s="989">
        <f t="shared" si="3022"/>
        <v>0</v>
      </c>
      <c r="CF1000" s="989">
        <f t="shared" si="3022"/>
        <v>0</v>
      </c>
      <c r="CG1000" s="989">
        <f t="shared" si="3022"/>
        <v>0</v>
      </c>
      <c r="CH1000" s="990">
        <f t="shared" si="3022"/>
        <v>0</v>
      </c>
      <c r="CI1000" s="990">
        <f t="shared" si="3022"/>
        <v>0</v>
      </c>
      <c r="CJ1000" s="989">
        <f t="shared" si="3022"/>
        <v>0</v>
      </c>
      <c r="CK1000" s="989">
        <f t="shared" si="3022"/>
        <v>0</v>
      </c>
      <c r="CL1000" s="989">
        <f t="shared" si="3022"/>
        <v>0</v>
      </c>
      <c r="CM1000" s="988">
        <f t="shared" si="3022"/>
        <v>0</v>
      </c>
      <c r="CN1000" s="1037" t="str">
        <f t="shared" si="3023"/>
        <v/>
      </c>
      <c r="CO1000" s="1009" t="str">
        <f t="shared" si="3023"/>
        <v/>
      </c>
      <c r="CP1000" s="1010" t="str">
        <f t="shared" si="3023"/>
        <v/>
      </c>
      <c r="CQ1000" s="1010" t="str">
        <f t="shared" si="3023"/>
        <v/>
      </c>
      <c r="CR1000" s="1010">
        <f t="shared" si="3023"/>
        <v>0</v>
      </c>
      <c r="CS1000" s="1010">
        <f t="shared" si="3023"/>
        <v>0</v>
      </c>
      <c r="CT1000" s="1010">
        <f t="shared" si="3023"/>
        <v>0</v>
      </c>
      <c r="CU1000" s="1011">
        <f t="shared" si="3023"/>
        <v>0</v>
      </c>
      <c r="CV1000" s="1011">
        <f t="shared" si="3023"/>
        <v>0</v>
      </c>
      <c r="CW1000" s="1011">
        <f t="shared" si="3023"/>
        <v>0</v>
      </c>
      <c r="CX1000" s="1010">
        <f t="shared" si="3023"/>
        <v>0</v>
      </c>
      <c r="CY1000" s="1010">
        <f t="shared" si="3023"/>
        <v>0</v>
      </c>
      <c r="CZ1000" s="1010">
        <f t="shared" si="3023"/>
        <v>0</v>
      </c>
      <c r="DA1000" s="1010">
        <f t="shared" si="3023"/>
        <v>0</v>
      </c>
      <c r="DB1000" s="1010" t="str">
        <f t="shared" si="3023"/>
        <v/>
      </c>
      <c r="DC1000" s="1009" t="str">
        <f t="shared" si="3023"/>
        <v/>
      </c>
      <c r="DD1000" s="1037" t="str">
        <f t="shared" si="3024"/>
        <v/>
      </c>
      <c r="DE1000" s="635">
        <f t="shared" si="3025"/>
        <v>10</v>
      </c>
      <c r="DF1000" s="95">
        <f t="shared" si="3026"/>
        <v>10</v>
      </c>
      <c r="DG1000" s="95">
        <f t="shared" si="3027"/>
        <v>10</v>
      </c>
      <c r="DH1000" s="95">
        <f t="shared" si="3028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078">SUM(C808)</f>
        <v>0</v>
      </c>
      <c r="D1001" s="775">
        <f t="shared" si="3078"/>
        <v>0</v>
      </c>
      <c r="E1001" s="775">
        <f t="shared" si="3078"/>
        <v>0</v>
      </c>
      <c r="F1001" s="775">
        <f t="shared" si="3078"/>
        <v>0</v>
      </c>
      <c r="G1001" s="775">
        <f t="shared" si="3078"/>
        <v>0</v>
      </c>
      <c r="H1001" s="775">
        <f t="shared" si="3078"/>
        <v>0</v>
      </c>
      <c r="I1001" s="775">
        <f t="shared" si="3078"/>
        <v>0</v>
      </c>
      <c r="J1001" s="775">
        <f t="shared" si="3078"/>
        <v>0</v>
      </c>
      <c r="K1001" s="775">
        <f t="shared" si="3078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079">SUM(U808)</f>
        <v>0</v>
      </c>
      <c r="V1001" s="775">
        <f t="shared" si="3079"/>
        <v>0</v>
      </c>
      <c r="W1001" s="775">
        <f t="shared" si="3079"/>
        <v>0</v>
      </c>
      <c r="X1001" s="775">
        <f t="shared" si="3079"/>
        <v>0</v>
      </c>
      <c r="Y1001" s="775">
        <f t="shared" si="3079"/>
        <v>0</v>
      </c>
      <c r="Z1001" s="775">
        <f t="shared" si="3079"/>
        <v>0</v>
      </c>
      <c r="AA1001" s="775">
        <f t="shared" si="3079"/>
        <v>0</v>
      </c>
      <c r="AB1001" s="775">
        <f t="shared" si="3079"/>
        <v>0</v>
      </c>
      <c r="AC1001" s="775">
        <f t="shared" si="3079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080">SUM(AM808)</f>
        <v>0</v>
      </c>
      <c r="AN1001" s="775">
        <f t="shared" si="3080"/>
        <v>0</v>
      </c>
      <c r="AO1001" s="775">
        <f t="shared" si="3080"/>
        <v>0</v>
      </c>
      <c r="AP1001" s="775">
        <f t="shared" si="3080"/>
        <v>0</v>
      </c>
      <c r="AQ1001" s="775">
        <f t="shared" si="3080"/>
        <v>0</v>
      </c>
      <c r="AR1001" s="775">
        <f t="shared" si="3080"/>
        <v>0</v>
      </c>
      <c r="AS1001" s="775">
        <f t="shared" si="3080"/>
        <v>0</v>
      </c>
      <c r="AT1001" s="775">
        <f t="shared" si="3080"/>
        <v>0</v>
      </c>
      <c r="AU1001" s="775">
        <f t="shared" si="3080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076"/>
        <v>0</v>
      </c>
      <c r="BF1001" s="775">
        <f t="shared" si="3076"/>
        <v>0</v>
      </c>
      <c r="BG1001" s="775">
        <f t="shared" si="3076"/>
        <v>0</v>
      </c>
      <c r="BH1001" s="775">
        <f t="shared" si="3076"/>
        <v>0</v>
      </c>
      <c r="BI1001" s="775">
        <f t="shared" si="3076"/>
        <v>0</v>
      </c>
      <c r="BJ1001" s="775">
        <f t="shared" si="3076"/>
        <v>0</v>
      </c>
      <c r="BK1001" s="775">
        <f t="shared" si="3076"/>
        <v>0</v>
      </c>
      <c r="BL1001" s="775">
        <f t="shared" si="3076"/>
        <v>0</v>
      </c>
      <c r="BM1001" s="775">
        <f t="shared" si="3076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si="3077"/>
        <v>0</v>
      </c>
      <c r="BW1001" s="775">
        <f t="shared" si="3077"/>
        <v>0</v>
      </c>
      <c r="BX1001" s="775">
        <f t="shared" si="3077"/>
        <v>0</v>
      </c>
      <c r="BY1001" s="775">
        <f t="shared" si="3077"/>
        <v>0</v>
      </c>
      <c r="BZ1001" s="582">
        <f t="shared" si="3018"/>
        <v>0</v>
      </c>
      <c r="CA1001" s="582">
        <f t="shared" si="3019"/>
        <v>0</v>
      </c>
      <c r="CB1001" s="582">
        <f t="shared" si="3020"/>
        <v>0</v>
      </c>
      <c r="CC1001" s="582">
        <f t="shared" si="3021"/>
        <v>0</v>
      </c>
      <c r="CD1001" s="988">
        <f t="shared" si="3022"/>
        <v>0</v>
      </c>
      <c r="CE1001" s="989">
        <f t="shared" si="3022"/>
        <v>0</v>
      </c>
      <c r="CF1001" s="989">
        <f t="shared" si="3022"/>
        <v>0</v>
      </c>
      <c r="CG1001" s="989">
        <f t="shared" si="3022"/>
        <v>0</v>
      </c>
      <c r="CH1001" s="990">
        <f t="shared" si="3022"/>
        <v>0</v>
      </c>
      <c r="CI1001" s="990">
        <f t="shared" si="3022"/>
        <v>0</v>
      </c>
      <c r="CJ1001" s="989">
        <f t="shared" si="3022"/>
        <v>0</v>
      </c>
      <c r="CK1001" s="989">
        <f t="shared" si="3022"/>
        <v>0</v>
      </c>
      <c r="CL1001" s="989">
        <f t="shared" si="3022"/>
        <v>0</v>
      </c>
      <c r="CM1001" s="988">
        <f t="shared" si="3022"/>
        <v>0</v>
      </c>
      <c r="CN1001" s="1037" t="str">
        <f t="shared" si="3023"/>
        <v/>
      </c>
      <c r="CO1001" s="1009" t="str">
        <f t="shared" si="3023"/>
        <v/>
      </c>
      <c r="CP1001" s="1010" t="str">
        <f t="shared" si="3023"/>
        <v/>
      </c>
      <c r="CQ1001" s="1010" t="str">
        <f t="shared" si="3023"/>
        <v/>
      </c>
      <c r="CR1001" s="1010">
        <f t="shared" si="3023"/>
        <v>0</v>
      </c>
      <c r="CS1001" s="1010">
        <f t="shared" si="3023"/>
        <v>0</v>
      </c>
      <c r="CT1001" s="1010">
        <f t="shared" si="3023"/>
        <v>0</v>
      </c>
      <c r="CU1001" s="1011">
        <f t="shared" si="3023"/>
        <v>0</v>
      </c>
      <c r="CV1001" s="1011">
        <f t="shared" si="3023"/>
        <v>0</v>
      </c>
      <c r="CW1001" s="1011">
        <f t="shared" si="3023"/>
        <v>0</v>
      </c>
      <c r="CX1001" s="1010">
        <f t="shared" si="3023"/>
        <v>0</v>
      </c>
      <c r="CY1001" s="1010">
        <f t="shared" si="3023"/>
        <v>0</v>
      </c>
      <c r="CZ1001" s="1010">
        <f t="shared" si="3023"/>
        <v>0</v>
      </c>
      <c r="DA1001" s="1010">
        <f t="shared" si="3023"/>
        <v>0</v>
      </c>
      <c r="DB1001" s="1010" t="str">
        <f t="shared" si="3023"/>
        <v/>
      </c>
      <c r="DC1001" s="1009" t="str">
        <f t="shared" si="3023"/>
        <v/>
      </c>
      <c r="DD1001" s="1037" t="str">
        <f t="shared" si="3024"/>
        <v/>
      </c>
      <c r="DE1001" s="635">
        <f t="shared" si="3025"/>
        <v>10</v>
      </c>
      <c r="DF1001" s="95">
        <f t="shared" si="3026"/>
        <v>10</v>
      </c>
      <c r="DG1001" s="95">
        <f t="shared" si="3027"/>
        <v>10</v>
      </c>
      <c r="DH1001" s="95">
        <f t="shared" si="3028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081">B985-SUM(B988:B999)</f>
        <v>0</v>
      </c>
      <c r="C1002" s="775">
        <f t="shared" si="3081"/>
        <v>0</v>
      </c>
      <c r="D1002" s="775">
        <f t="shared" si="3081"/>
        <v>0</v>
      </c>
      <c r="E1002" s="775">
        <f t="shared" si="3081"/>
        <v>0</v>
      </c>
      <c r="F1002" s="775">
        <f t="shared" si="3081"/>
        <v>0</v>
      </c>
      <c r="G1002" s="775">
        <f t="shared" si="3081"/>
        <v>0</v>
      </c>
      <c r="H1002" s="775">
        <f t="shared" si="3081"/>
        <v>0</v>
      </c>
      <c r="I1002" s="775">
        <f t="shared" si="3081"/>
        <v>0</v>
      </c>
      <c r="J1002" s="775">
        <f t="shared" si="3081"/>
        <v>0</v>
      </c>
      <c r="K1002" s="775">
        <f t="shared" si="3081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082">T985-SUM(T988:T999)</f>
        <v>0</v>
      </c>
      <c r="U1002" s="775">
        <f t="shared" si="3082"/>
        <v>0</v>
      </c>
      <c r="V1002" s="775">
        <f t="shared" si="3082"/>
        <v>0</v>
      </c>
      <c r="W1002" s="775">
        <f t="shared" si="3082"/>
        <v>0</v>
      </c>
      <c r="X1002" s="775">
        <f t="shared" si="3082"/>
        <v>0</v>
      </c>
      <c r="Y1002" s="775">
        <f t="shared" si="3082"/>
        <v>0</v>
      </c>
      <c r="Z1002" s="775">
        <f t="shared" si="3082"/>
        <v>0</v>
      </c>
      <c r="AA1002" s="775">
        <f t="shared" si="3082"/>
        <v>0</v>
      </c>
      <c r="AB1002" s="775">
        <f t="shared" si="3082"/>
        <v>0</v>
      </c>
      <c r="AC1002" s="775">
        <f t="shared" si="3082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083">AL985-SUM(AL988:AL999)</f>
        <v>0</v>
      </c>
      <c r="AM1002" s="775">
        <f t="shared" si="3083"/>
        <v>0</v>
      </c>
      <c r="AN1002" s="775">
        <f t="shared" si="3083"/>
        <v>0</v>
      </c>
      <c r="AO1002" s="775">
        <f t="shared" si="3083"/>
        <v>0</v>
      </c>
      <c r="AP1002" s="775">
        <f t="shared" si="3083"/>
        <v>0</v>
      </c>
      <c r="AQ1002" s="775">
        <f t="shared" si="3083"/>
        <v>0</v>
      </c>
      <c r="AR1002" s="775">
        <f t="shared" si="3083"/>
        <v>0</v>
      </c>
      <c r="AS1002" s="775">
        <f t="shared" si="3083"/>
        <v>0</v>
      </c>
      <c r="AT1002" s="775">
        <f t="shared" si="3083"/>
        <v>0</v>
      </c>
      <c r="AU1002" s="775">
        <f t="shared" si="3083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084">BD985-SUM(BD988:BD999)</f>
        <v>0</v>
      </c>
      <c r="BE1002" s="775">
        <f t="shared" si="3084"/>
        <v>0</v>
      </c>
      <c r="BF1002" s="775">
        <f t="shared" si="3084"/>
        <v>0</v>
      </c>
      <c r="BG1002" s="775">
        <f t="shared" si="3084"/>
        <v>0</v>
      </c>
      <c r="BH1002" s="775">
        <f t="shared" si="3084"/>
        <v>0</v>
      </c>
      <c r="BI1002" s="775">
        <f t="shared" si="3084"/>
        <v>0</v>
      </c>
      <c r="BJ1002" s="775">
        <f t="shared" si="3084"/>
        <v>0</v>
      </c>
      <c r="BK1002" s="775">
        <f t="shared" si="3084"/>
        <v>0</v>
      </c>
      <c r="BL1002" s="775">
        <f t="shared" si="3084"/>
        <v>0</v>
      </c>
      <c r="BM1002" s="775">
        <f t="shared" si="3084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810.07999999999811</v>
      </c>
      <c r="BW1002" s="775">
        <f>BW985-SUM(BW988:BW999)</f>
        <v>502.07999999999811</v>
      </c>
      <c r="BX1002" s="775">
        <f>BX985-SUM(BX988:BX999)</f>
        <v>2198.0800000000017</v>
      </c>
      <c r="BY1002" s="775">
        <f>BY985-SUM(BY988:BY999)</f>
        <v>0</v>
      </c>
      <c r="BZ1002" s="582">
        <f t="shared" si="3018"/>
        <v>0</v>
      </c>
      <c r="CA1002" s="582">
        <f t="shared" si="3019"/>
        <v>0</v>
      </c>
      <c r="CB1002" s="582">
        <f t="shared" si="3020"/>
        <v>0</v>
      </c>
      <c r="CC1002" s="582">
        <f t="shared" si="3021"/>
        <v>0</v>
      </c>
      <c r="CD1002" s="988">
        <f t="shared" si="3022"/>
        <v>0</v>
      </c>
      <c r="CE1002" s="989">
        <f t="shared" si="3022"/>
        <v>0</v>
      </c>
      <c r="CF1002" s="989">
        <f t="shared" si="3022"/>
        <v>0</v>
      </c>
      <c r="CG1002" s="989">
        <f t="shared" si="3022"/>
        <v>0</v>
      </c>
      <c r="CH1002" s="990">
        <f t="shared" si="3022"/>
        <v>0</v>
      </c>
      <c r="CI1002" s="990">
        <f t="shared" si="3022"/>
        <v>0</v>
      </c>
      <c r="CJ1002" s="989">
        <f t="shared" si="3022"/>
        <v>0</v>
      </c>
      <c r="CK1002" s="989">
        <f t="shared" si="3022"/>
        <v>0</v>
      </c>
      <c r="CL1002" s="989">
        <f t="shared" si="3022"/>
        <v>0</v>
      </c>
      <c r="CM1002" s="988">
        <f t="shared" si="3022"/>
        <v>0</v>
      </c>
      <c r="CN1002" s="1037" t="str">
        <f t="shared" si="3023"/>
        <v/>
      </c>
      <c r="CO1002" s="1009" t="str">
        <f t="shared" si="3023"/>
        <v/>
      </c>
      <c r="CP1002" s="1010" t="str">
        <f t="shared" si="3023"/>
        <v/>
      </c>
      <c r="CQ1002" s="1010" t="str">
        <f t="shared" si="3023"/>
        <v/>
      </c>
      <c r="CR1002" s="1010">
        <f t="shared" si="3023"/>
        <v>0</v>
      </c>
      <c r="CS1002" s="1010">
        <f t="shared" si="3023"/>
        <v>0</v>
      </c>
      <c r="CT1002" s="1010">
        <f t="shared" si="3023"/>
        <v>0</v>
      </c>
      <c r="CU1002" s="1011">
        <f t="shared" si="3023"/>
        <v>0</v>
      </c>
      <c r="CV1002" s="1011">
        <f t="shared" si="3023"/>
        <v>0</v>
      </c>
      <c r="CW1002" s="1011">
        <f t="shared" si="3023"/>
        <v>0</v>
      </c>
      <c r="CX1002" s="1010">
        <f t="shared" si="3023"/>
        <v>0</v>
      </c>
      <c r="CY1002" s="1010">
        <f t="shared" si="3023"/>
        <v>0</v>
      </c>
      <c r="CZ1002" s="1010">
        <f t="shared" si="3023"/>
        <v>0</v>
      </c>
      <c r="DA1002" s="1010">
        <f t="shared" si="3023"/>
        <v>0</v>
      </c>
      <c r="DB1002" s="1010" t="str">
        <f t="shared" si="3023"/>
        <v/>
      </c>
      <c r="DC1002" s="1009" t="str">
        <f t="shared" si="3023"/>
        <v/>
      </c>
      <c r="DD1002" s="1037" t="str">
        <f t="shared" si="3024"/>
        <v/>
      </c>
      <c r="DE1002" s="635">
        <f t="shared" si="3025"/>
        <v>10</v>
      </c>
      <c r="DF1002" s="95">
        <f t="shared" si="3026"/>
        <v>10</v>
      </c>
      <c r="DG1002" s="95">
        <f t="shared" si="3027"/>
        <v>10</v>
      </c>
      <c r="DH1002" s="95">
        <f t="shared" si="3028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085">SUM(B988:B1003)</f>
        <v>0</v>
      </c>
      <c r="C1004" s="775">
        <f t="shared" si="3085"/>
        <v>0</v>
      </c>
      <c r="D1004" s="775">
        <f t="shared" si="3085"/>
        <v>0</v>
      </c>
      <c r="E1004" s="775">
        <f t="shared" si="3085"/>
        <v>0</v>
      </c>
      <c r="F1004" s="775">
        <f t="shared" si="3085"/>
        <v>0</v>
      </c>
      <c r="G1004" s="775">
        <f t="shared" si="3085"/>
        <v>0</v>
      </c>
      <c r="H1004" s="775">
        <f t="shared" si="3085"/>
        <v>0</v>
      </c>
      <c r="I1004" s="775">
        <f t="shared" si="3085"/>
        <v>0</v>
      </c>
      <c r="J1004" s="775">
        <f t="shared" si="3085"/>
        <v>0</v>
      </c>
      <c r="K1004" s="775">
        <f t="shared" si="3085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086">SUM(T988:T1003)</f>
        <v>0</v>
      </c>
      <c r="U1004" s="775">
        <f t="shared" si="3086"/>
        <v>0</v>
      </c>
      <c r="V1004" s="775">
        <f t="shared" si="3086"/>
        <v>0</v>
      </c>
      <c r="W1004" s="775">
        <f t="shared" si="3086"/>
        <v>0</v>
      </c>
      <c r="X1004" s="775">
        <f t="shared" si="3086"/>
        <v>0</v>
      </c>
      <c r="Y1004" s="775">
        <f t="shared" si="3086"/>
        <v>0</v>
      </c>
      <c r="Z1004" s="775">
        <f t="shared" si="3086"/>
        <v>0</v>
      </c>
      <c r="AA1004" s="775">
        <f t="shared" si="3086"/>
        <v>0</v>
      </c>
      <c r="AB1004" s="775">
        <f t="shared" si="3086"/>
        <v>0</v>
      </c>
      <c r="AC1004" s="775">
        <f t="shared" si="3086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087">SUM(AL988:AL1003)</f>
        <v>0</v>
      </c>
      <c r="AM1004" s="775">
        <f t="shared" si="3087"/>
        <v>0</v>
      </c>
      <c r="AN1004" s="775">
        <f t="shared" si="3087"/>
        <v>0</v>
      </c>
      <c r="AO1004" s="775">
        <f t="shared" si="3087"/>
        <v>0</v>
      </c>
      <c r="AP1004" s="775">
        <f t="shared" si="3087"/>
        <v>0</v>
      </c>
      <c r="AQ1004" s="775">
        <f t="shared" si="3087"/>
        <v>0</v>
      </c>
      <c r="AR1004" s="775">
        <f t="shared" si="3087"/>
        <v>0</v>
      </c>
      <c r="AS1004" s="775">
        <f t="shared" si="3087"/>
        <v>0</v>
      </c>
      <c r="AT1004" s="775">
        <f t="shared" si="3087"/>
        <v>0</v>
      </c>
      <c r="AU1004" s="775">
        <f t="shared" si="3087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088">SUM(BD988:BD1003)</f>
        <v>0</v>
      </c>
      <c r="BE1004" s="775">
        <f t="shared" si="3088"/>
        <v>0</v>
      </c>
      <c r="BF1004" s="775">
        <f t="shared" si="3088"/>
        <v>0</v>
      </c>
      <c r="BG1004" s="775">
        <f t="shared" si="3088"/>
        <v>0</v>
      </c>
      <c r="BH1004" s="775">
        <f t="shared" si="3088"/>
        <v>0</v>
      </c>
      <c r="BI1004" s="775">
        <f t="shared" si="3088"/>
        <v>0</v>
      </c>
      <c r="BJ1004" s="775">
        <f t="shared" si="3088"/>
        <v>0</v>
      </c>
      <c r="BK1004" s="775">
        <f t="shared" si="3088"/>
        <v>0</v>
      </c>
      <c r="BL1004" s="775">
        <f t="shared" si="3088"/>
        <v>0</v>
      </c>
      <c r="BM1004" s="775">
        <f t="shared" si="3088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26016</v>
      </c>
      <c r="BW1004" s="775">
        <f>SUM(BW988:BW1003)</f>
        <v>31986</v>
      </c>
      <c r="BX1004" s="775">
        <f>SUM(BX988:BX1003)</f>
        <v>57600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10630</v>
      </c>
      <c r="BW1012" s="809">
        <f>SUM(BW965:BW967)</f>
        <v>14500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191340</v>
      </c>
      <c r="BW1013" s="809">
        <f>BW1011*BW1012*100</f>
        <v>275500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466840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0</v>
      </c>
      <c r="BW1015" s="809">
        <f>BW795</f>
        <v>0</v>
      </c>
      <c r="BX1015" s="809">
        <f>BX795</f>
        <v>0</v>
      </c>
      <c r="BY1015" s="809">
        <f>BY795</f>
        <v>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0</v>
      </c>
      <c r="BW1016" s="809">
        <f>BW1011*BW1015*100</f>
        <v>0</v>
      </c>
      <c r="BX1016" s="809">
        <f>BX1011*BX1015*100</f>
        <v>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E7" activePane="bottomRight" state="frozen"/>
      <selection pane="topRight" activeCell="AK1" sqref="AK1"/>
      <selection pane="bottomLeft" activeCell="A82" sqref="A82"/>
      <selection pane="bottomRight" activeCell="BV35" sqref="BV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Temporary</v>
      </c>
      <c r="U3" s="826" t="str">
        <f>Data!U3</f>
        <v>Temporary</v>
      </c>
      <c r="V3" s="826" t="str">
        <f>Data!V3</f>
        <v>Temporary</v>
      </c>
      <c r="W3" s="826" t="str">
        <f>Data!W3</f>
        <v>Temporary</v>
      </c>
      <c r="X3" s="826" t="str">
        <f>Data!X3</f>
        <v>Temporary</v>
      </c>
      <c r="Y3" s="826" t="str">
        <f>Data!Y3</f>
        <v>Temporary</v>
      </c>
      <c r="Z3" s="826" t="str">
        <f>Data!Z3</f>
        <v>Temporary</v>
      </c>
      <c r="AA3" s="826" t="str">
        <f>Data!AA3</f>
        <v>Temporary</v>
      </c>
      <c r="AB3" s="826" t="str">
        <f>Data!AB3</f>
        <v>Temporary</v>
      </c>
      <c r="AC3" s="826" t="str">
        <f>Data!AC3</f>
        <v>Temporary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Full-time</v>
      </c>
      <c r="AM3" s="826" t="str">
        <f>Data!AM3</f>
        <v>Full-time</v>
      </c>
      <c r="AN3" s="826" t="str">
        <f>Data!AN3</f>
        <v>Full-time</v>
      </c>
      <c r="AO3" s="826" t="str">
        <f>Data!AO3</f>
        <v>Full-time</v>
      </c>
      <c r="AP3" s="826" t="str">
        <f>Data!AP3</f>
        <v>Full-time</v>
      </c>
      <c r="AQ3" s="826" t="str">
        <f>Data!AQ3</f>
        <v>Full-time</v>
      </c>
      <c r="AR3" s="826" t="str">
        <f>Data!AR3</f>
        <v>Full-time</v>
      </c>
      <c r="AS3" s="826" t="str">
        <f>Data!AS3</f>
        <v>Full-time</v>
      </c>
      <c r="AT3" s="826" t="str">
        <f>Data!AT3</f>
        <v>Full-time</v>
      </c>
      <c r="AU3" s="826" t="str">
        <f>Data!AU3</f>
        <v>Full-time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1164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Temp</v>
      </c>
      <c r="DK3" s="461" t="str">
        <f>CB4</f>
        <v>Ftime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Full-time</v>
      </c>
      <c r="BY4" s="839" t="str">
        <f>Data!BY4</f>
        <v>Management</v>
      </c>
      <c r="BZ4" s="840" t="str">
        <f>WB!B9</f>
        <v>Cas</v>
      </c>
      <c r="CA4" s="841" t="str">
        <f>WB!B10</f>
        <v>Temp</v>
      </c>
      <c r="CB4" s="841" t="str">
        <f>WB!B11</f>
        <v>Ftime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3" t="s">
        <v>49</v>
      </c>
      <c r="DO4" s="1923"/>
      <c r="DP4" s="1923"/>
      <c r="DQ4" s="1923"/>
      <c r="DR4" s="1923"/>
      <c r="DS4" s="1923"/>
      <c r="DT4" s="1923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4" t="s">
        <v>46</v>
      </c>
      <c r="CE5" s="192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5" t="s">
        <v>47</v>
      </c>
      <c r="CQ5" s="1925"/>
      <c r="CR5" s="1921" t="s">
        <v>46</v>
      </c>
      <c r="CS5" s="1921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2" t="s">
        <v>47</v>
      </c>
      <c r="DH5" s="1922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112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140</v>
      </c>
      <c r="BX6" s="85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145" t="str">
        <f t="shared" si="0"/>
        <v/>
      </c>
      <c r="CI10" s="145" t="str">
        <f t="shared" si="0"/>
        <v/>
      </c>
      <c r="CJ10" s="145" t="str">
        <f t="shared" si="0"/>
        <v/>
      </c>
      <c r="CK10" s="81" t="str">
        <f t="shared" si="0"/>
        <v/>
      </c>
      <c r="CL10" s="81" t="str">
        <f t="shared" si="0"/>
        <v/>
      </c>
      <c r="CM10" s="81" t="str">
        <f t="shared" si="0"/>
        <v/>
      </c>
      <c r="CN10" s="81" t="str">
        <f t="shared" si="0"/>
        <v/>
      </c>
      <c r="CO10" s="81" t="str">
        <f t="shared" si="0"/>
        <v/>
      </c>
      <c r="CP10" s="80" t="str">
        <f t="shared" si="0"/>
        <v/>
      </c>
      <c r="CQ10" s="509" t="str">
        <f t="shared" si="0"/>
        <v/>
      </c>
      <c r="CR10" s="533" t="str">
        <f t="shared" ref="CR10:DA14" si="1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1"/>
        <v/>
      </c>
      <c r="CT10" s="535" t="str">
        <f t="shared" si="1"/>
        <v/>
      </c>
      <c r="CU10" s="535" t="str">
        <f t="shared" si="1"/>
        <v/>
      </c>
      <c r="CV10" s="535" t="str">
        <f t="shared" si="1"/>
        <v/>
      </c>
      <c r="CW10" s="535" t="str">
        <f t="shared" si="1"/>
        <v/>
      </c>
      <c r="CX10" s="535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5" t="str">
        <f t="shared" ref="DB10:DH14" si="2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2"/>
        <v/>
      </c>
      <c r="DD10" s="535" t="str">
        <f t="shared" si="2"/>
        <v/>
      </c>
      <c r="DE10" s="535" t="str">
        <f t="shared" si="2"/>
        <v/>
      </c>
      <c r="DF10" s="535" t="str">
        <f t="shared" si="2"/>
        <v/>
      </c>
      <c r="DG10" s="534" t="str">
        <f t="shared" si="2"/>
        <v/>
      </c>
      <c r="DH10" s="533" t="str">
        <f t="shared" si="2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145" t="str">
        <f t="shared" si="0"/>
        <v/>
      </c>
      <c r="CI11" s="145" t="str">
        <f t="shared" si="0"/>
        <v/>
      </c>
      <c r="CJ11" s="145" t="str">
        <f t="shared" si="0"/>
        <v/>
      </c>
      <c r="CK11" s="81" t="str">
        <f t="shared" si="0"/>
        <v/>
      </c>
      <c r="CL11" s="81" t="str">
        <f t="shared" si="0"/>
        <v/>
      </c>
      <c r="CM11" s="81" t="str">
        <f t="shared" si="0"/>
        <v/>
      </c>
      <c r="CN11" s="81" t="str">
        <f t="shared" si="0"/>
        <v/>
      </c>
      <c r="CO11" s="81" t="str">
        <f t="shared" si="0"/>
        <v/>
      </c>
      <c r="CP11" s="80" t="str">
        <f t="shared" si="0"/>
        <v/>
      </c>
      <c r="CQ11" s="509" t="str">
        <f t="shared" si="0"/>
        <v/>
      </c>
      <c r="CR11" s="533" t="str">
        <f t="shared" si="1"/>
        <v/>
      </c>
      <c r="CS11" s="534" t="str">
        <f t="shared" si="1"/>
        <v/>
      </c>
      <c r="CT11" s="535" t="str">
        <f t="shared" si="1"/>
        <v/>
      </c>
      <c r="CU11" s="535" t="str">
        <f t="shared" si="1"/>
        <v/>
      </c>
      <c r="CV11" s="535" t="str">
        <f t="shared" si="1"/>
        <v/>
      </c>
      <c r="CW11" s="535" t="str">
        <f t="shared" si="1"/>
        <v/>
      </c>
      <c r="CX11" s="535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5" t="str">
        <f t="shared" si="2"/>
        <v/>
      </c>
      <c r="DC11" s="535" t="str">
        <f t="shared" si="2"/>
        <v/>
      </c>
      <c r="DD11" s="535" t="str">
        <f t="shared" si="2"/>
        <v/>
      </c>
      <c r="DE11" s="535" t="str">
        <f t="shared" si="2"/>
        <v/>
      </c>
      <c r="DF11" s="535" t="str">
        <f t="shared" si="2"/>
        <v/>
      </c>
      <c r="DG11" s="534" t="str">
        <f t="shared" si="2"/>
        <v/>
      </c>
      <c r="DH11" s="533" t="str">
        <f t="shared" si="2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145" t="str">
        <f t="shared" si="0"/>
        <v/>
      </c>
      <c r="CI12" s="145" t="str">
        <f t="shared" si="0"/>
        <v/>
      </c>
      <c r="CJ12" s="145" t="str">
        <f t="shared" si="0"/>
        <v/>
      </c>
      <c r="CK12" s="81" t="str">
        <f t="shared" si="0"/>
        <v/>
      </c>
      <c r="CL12" s="81" t="str">
        <f t="shared" si="0"/>
        <v/>
      </c>
      <c r="CM12" s="81" t="str">
        <f t="shared" si="0"/>
        <v/>
      </c>
      <c r="CN12" s="81" t="str">
        <f t="shared" si="0"/>
        <v/>
      </c>
      <c r="CO12" s="81" t="str">
        <f t="shared" si="0"/>
        <v/>
      </c>
      <c r="CP12" s="80" t="str">
        <f t="shared" si="0"/>
        <v/>
      </c>
      <c r="CQ12" s="509" t="str">
        <f t="shared" si="0"/>
        <v/>
      </c>
      <c r="CR12" s="533" t="str">
        <f t="shared" si="1"/>
        <v/>
      </c>
      <c r="CS12" s="534" t="str">
        <f t="shared" si="1"/>
        <v/>
      </c>
      <c r="CT12" s="535" t="str">
        <f t="shared" si="1"/>
        <v/>
      </c>
      <c r="CU12" s="535" t="str">
        <f t="shared" si="1"/>
        <v/>
      </c>
      <c r="CV12" s="535" t="str">
        <f t="shared" si="1"/>
        <v/>
      </c>
      <c r="CW12" s="535" t="str">
        <f t="shared" si="1"/>
        <v/>
      </c>
      <c r="CX12" s="535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5" t="str">
        <f t="shared" si="2"/>
        <v/>
      </c>
      <c r="DC12" s="535" t="str">
        <f t="shared" si="2"/>
        <v/>
      </c>
      <c r="DD12" s="535" t="str">
        <f t="shared" si="2"/>
        <v/>
      </c>
      <c r="DE12" s="535" t="str">
        <f t="shared" si="2"/>
        <v/>
      </c>
      <c r="DF12" s="535" t="str">
        <f t="shared" si="2"/>
        <v/>
      </c>
      <c r="DG12" s="534" t="str">
        <f t="shared" si="2"/>
        <v/>
      </c>
      <c r="DH12" s="533" t="str">
        <f t="shared" si="2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145" t="str">
        <f t="shared" si="0"/>
        <v/>
      </c>
      <c r="CI13" s="145" t="str">
        <f t="shared" si="0"/>
        <v/>
      </c>
      <c r="CJ13" s="145" t="str">
        <f t="shared" si="0"/>
        <v/>
      </c>
      <c r="CK13" s="81" t="str">
        <f t="shared" si="0"/>
        <v/>
      </c>
      <c r="CL13" s="81" t="str">
        <f t="shared" si="0"/>
        <v/>
      </c>
      <c r="CM13" s="81" t="str">
        <f t="shared" si="0"/>
        <v/>
      </c>
      <c r="CN13" s="81" t="str">
        <f t="shared" si="0"/>
        <v/>
      </c>
      <c r="CO13" s="81" t="str">
        <f t="shared" si="0"/>
        <v/>
      </c>
      <c r="CP13" s="80" t="str">
        <f t="shared" si="0"/>
        <v/>
      </c>
      <c r="CQ13" s="509" t="str">
        <f t="shared" si="0"/>
        <v/>
      </c>
      <c r="CR13" s="533" t="str">
        <f t="shared" si="1"/>
        <v/>
      </c>
      <c r="CS13" s="534" t="str">
        <f t="shared" si="1"/>
        <v/>
      </c>
      <c r="CT13" s="535" t="str">
        <f t="shared" si="1"/>
        <v/>
      </c>
      <c r="CU13" s="535" t="str">
        <f t="shared" si="1"/>
        <v/>
      </c>
      <c r="CV13" s="535" t="str">
        <f t="shared" si="1"/>
        <v/>
      </c>
      <c r="CW13" s="535" t="str">
        <f t="shared" si="1"/>
        <v/>
      </c>
      <c r="CX13" s="535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5" t="str">
        <f t="shared" si="2"/>
        <v/>
      </c>
      <c r="DC13" s="535" t="str">
        <f t="shared" si="2"/>
        <v/>
      </c>
      <c r="DD13" s="535" t="str">
        <f t="shared" si="2"/>
        <v/>
      </c>
      <c r="DE13" s="535" t="str">
        <f t="shared" si="2"/>
        <v/>
      </c>
      <c r="DF13" s="535" t="str">
        <f t="shared" si="2"/>
        <v/>
      </c>
      <c r="DG13" s="534" t="str">
        <f t="shared" si="2"/>
        <v/>
      </c>
      <c r="DH13" s="533" t="str">
        <f t="shared" si="2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3">IF(B11="","",B10*B11*B12*B13)</f>
        <v/>
      </c>
      <c r="C14" s="870" t="str">
        <f t="shared" si="3"/>
        <v/>
      </c>
      <c r="D14" s="870" t="str">
        <f t="shared" si="3"/>
        <v/>
      </c>
      <c r="E14" s="870" t="str">
        <f t="shared" si="3"/>
        <v/>
      </c>
      <c r="F14" s="870" t="str">
        <f t="shared" si="3"/>
        <v/>
      </c>
      <c r="G14" s="870" t="str">
        <f t="shared" si="3"/>
        <v/>
      </c>
      <c r="H14" s="870" t="str">
        <f t="shared" si="3"/>
        <v/>
      </c>
      <c r="I14" s="870" t="str">
        <f t="shared" si="3"/>
        <v/>
      </c>
      <c r="J14" s="870" t="str">
        <f t="shared" si="3"/>
        <v/>
      </c>
      <c r="K14" s="870" t="str">
        <f t="shared" si="3"/>
        <v/>
      </c>
      <c r="L14" s="870" t="str">
        <f t="shared" si="3"/>
        <v/>
      </c>
      <c r="M14" s="870" t="str">
        <f t="shared" si="3"/>
        <v/>
      </c>
      <c r="N14" s="870" t="str">
        <f t="shared" si="3"/>
        <v/>
      </c>
      <c r="O14" s="870" t="str">
        <f t="shared" si="3"/>
        <v/>
      </c>
      <c r="P14" s="870" t="str">
        <f t="shared" si="3"/>
        <v/>
      </c>
      <c r="Q14" s="870" t="str">
        <f t="shared" si="3"/>
        <v/>
      </c>
      <c r="R14" s="870" t="str">
        <f t="shared" si="3"/>
        <v/>
      </c>
      <c r="S14" s="858"/>
      <c r="T14" s="870" t="str">
        <f t="shared" ref="T14:AC14" si="4">IF(T11="","",T10*T11*T12*T13)</f>
        <v/>
      </c>
      <c r="U14" s="870" t="str">
        <f t="shared" si="4"/>
        <v/>
      </c>
      <c r="V14" s="870" t="str">
        <f t="shared" si="4"/>
        <v/>
      </c>
      <c r="W14" s="870" t="str">
        <f t="shared" si="4"/>
        <v/>
      </c>
      <c r="X14" s="870" t="str">
        <f t="shared" si="4"/>
        <v/>
      </c>
      <c r="Y14" s="870" t="str">
        <f t="shared" si="4"/>
        <v/>
      </c>
      <c r="Z14" s="870" t="str">
        <f t="shared" si="4"/>
        <v/>
      </c>
      <c r="AA14" s="870" t="str">
        <f t="shared" si="4"/>
        <v/>
      </c>
      <c r="AB14" s="870" t="str">
        <f t="shared" si="4"/>
        <v/>
      </c>
      <c r="AC14" s="870" t="str">
        <f t="shared" si="4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5">IF(AL11="","",AL10*AL11*AL12*AL13)</f>
        <v/>
      </c>
      <c r="AM14" s="870" t="str">
        <f t="shared" si="5"/>
        <v/>
      </c>
      <c r="AN14" s="870" t="str">
        <f t="shared" si="5"/>
        <v/>
      </c>
      <c r="AO14" s="870" t="str">
        <f t="shared" si="5"/>
        <v/>
      </c>
      <c r="AP14" s="870" t="str">
        <f t="shared" si="5"/>
        <v/>
      </c>
      <c r="AQ14" s="870" t="str">
        <f t="shared" si="5"/>
        <v/>
      </c>
      <c r="AR14" s="870" t="str">
        <f t="shared" si="5"/>
        <v/>
      </c>
      <c r="AS14" s="870" t="str">
        <f t="shared" si="5"/>
        <v/>
      </c>
      <c r="AT14" s="870" t="str">
        <f t="shared" si="5"/>
        <v/>
      </c>
      <c r="AU14" s="870" t="str">
        <f t="shared" si="5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6">IF(BD11="","",BD10*BD11*BD12*BD13)</f>
        <v/>
      </c>
      <c r="BE14" s="870" t="str">
        <f t="shared" si="6"/>
        <v/>
      </c>
      <c r="BF14" s="870" t="str">
        <f t="shared" si="6"/>
        <v/>
      </c>
      <c r="BG14" s="870" t="str">
        <f t="shared" si="6"/>
        <v/>
      </c>
      <c r="BH14" s="870" t="str">
        <f t="shared" si="6"/>
        <v/>
      </c>
      <c r="BI14" s="870" t="str">
        <f t="shared" si="6"/>
        <v/>
      </c>
      <c r="BJ14" s="870" t="str">
        <f t="shared" si="6"/>
        <v/>
      </c>
      <c r="BK14" s="870" t="str">
        <f t="shared" si="6"/>
        <v/>
      </c>
      <c r="BL14" s="870" t="str">
        <f t="shared" si="6"/>
        <v/>
      </c>
      <c r="BM14" s="870" t="str">
        <f t="shared" si="6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145" t="str">
        <f t="shared" si="0"/>
        <v/>
      </c>
      <c r="CI14" s="145" t="str">
        <f t="shared" si="0"/>
        <v/>
      </c>
      <c r="CJ14" s="145" t="str">
        <f t="shared" si="0"/>
        <v/>
      </c>
      <c r="CK14" s="81" t="str">
        <f t="shared" si="0"/>
        <v/>
      </c>
      <c r="CL14" s="81" t="str">
        <f t="shared" si="0"/>
        <v/>
      </c>
      <c r="CM14" s="81" t="str">
        <f t="shared" si="0"/>
        <v/>
      </c>
      <c r="CN14" s="81" t="str">
        <f t="shared" si="0"/>
        <v/>
      </c>
      <c r="CO14" s="81" t="str">
        <f t="shared" si="0"/>
        <v/>
      </c>
      <c r="CP14" s="80" t="str">
        <f t="shared" si="0"/>
        <v/>
      </c>
      <c r="CQ14" s="509" t="str">
        <f t="shared" si="0"/>
        <v/>
      </c>
      <c r="CR14" s="533" t="str">
        <f t="shared" si="1"/>
        <v/>
      </c>
      <c r="CS14" s="534" t="str">
        <f t="shared" si="1"/>
        <v/>
      </c>
      <c r="CT14" s="535" t="str">
        <f t="shared" si="1"/>
        <v/>
      </c>
      <c r="CU14" s="535" t="str">
        <f t="shared" si="1"/>
        <v/>
      </c>
      <c r="CV14" s="535" t="str">
        <f t="shared" si="1"/>
        <v/>
      </c>
      <c r="CW14" s="535" t="str">
        <f t="shared" si="1"/>
        <v/>
      </c>
      <c r="CX14" s="535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5" t="str">
        <f t="shared" si="2"/>
        <v/>
      </c>
      <c r="DC14" s="535" t="str">
        <f t="shared" si="2"/>
        <v/>
      </c>
      <c r="DD14" s="535" t="str">
        <f t="shared" si="2"/>
        <v/>
      </c>
      <c r="DE14" s="535" t="str">
        <f t="shared" si="2"/>
        <v/>
      </c>
      <c r="DF14" s="535" t="str">
        <f t="shared" si="2"/>
        <v/>
      </c>
      <c r="DG14" s="534" t="str">
        <f t="shared" si="2"/>
        <v/>
      </c>
      <c r="DH14" s="533" t="str">
        <f t="shared" si="2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145" t="str">
        <f t="shared" si="0"/>
        <v/>
      </c>
      <c r="CI16" s="145" t="str">
        <f t="shared" si="0"/>
        <v/>
      </c>
      <c r="CJ16" s="145" t="str">
        <f t="shared" si="0"/>
        <v/>
      </c>
      <c r="CK16" s="81" t="str">
        <f t="shared" si="0"/>
        <v/>
      </c>
      <c r="CL16" s="81" t="str">
        <f t="shared" si="0"/>
        <v/>
      </c>
      <c r="CM16" s="81" t="str">
        <f t="shared" si="0"/>
        <v/>
      </c>
      <c r="CN16" s="81" t="str">
        <f t="shared" si="0"/>
        <v/>
      </c>
      <c r="CO16" s="81" t="str">
        <f t="shared" si="0"/>
        <v/>
      </c>
      <c r="CP16" s="80" t="str">
        <f t="shared" si="0"/>
        <v/>
      </c>
      <c r="CQ16" s="509" t="str">
        <f t="shared" si="0"/>
        <v/>
      </c>
      <c r="CR16" s="533" t="str">
        <f t="shared" ref="CR16:DA20" si="7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7"/>
        <v/>
      </c>
      <c r="CT16" s="535" t="str">
        <f t="shared" si="7"/>
        <v/>
      </c>
      <c r="CU16" s="535" t="str">
        <f t="shared" si="7"/>
        <v/>
      </c>
      <c r="CV16" s="535" t="str">
        <f t="shared" si="7"/>
        <v/>
      </c>
      <c r="CW16" s="535" t="str">
        <f t="shared" si="7"/>
        <v/>
      </c>
      <c r="CX16" s="535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5" t="str">
        <f t="shared" ref="DB16:DH20" si="8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8"/>
        <v/>
      </c>
      <c r="DD16" s="535" t="str">
        <f t="shared" si="8"/>
        <v/>
      </c>
      <c r="DE16" s="535" t="str">
        <f t="shared" si="8"/>
        <v/>
      </c>
      <c r="DF16" s="535" t="str">
        <f t="shared" si="8"/>
        <v/>
      </c>
      <c r="DG16" s="534" t="str">
        <f t="shared" si="8"/>
        <v/>
      </c>
      <c r="DH16" s="533" t="str">
        <f t="shared" si="8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145" t="str">
        <f t="shared" si="0"/>
        <v/>
      </c>
      <c r="CI17" s="145" t="str">
        <f t="shared" si="0"/>
        <v/>
      </c>
      <c r="CJ17" s="145" t="str">
        <f t="shared" si="0"/>
        <v/>
      </c>
      <c r="CK17" s="81" t="str">
        <f t="shared" si="0"/>
        <v/>
      </c>
      <c r="CL17" s="81" t="str">
        <f t="shared" si="0"/>
        <v/>
      </c>
      <c r="CM17" s="81" t="str">
        <f t="shared" si="0"/>
        <v/>
      </c>
      <c r="CN17" s="81" t="str">
        <f t="shared" si="0"/>
        <v/>
      </c>
      <c r="CO17" s="81" t="str">
        <f t="shared" si="0"/>
        <v/>
      </c>
      <c r="CP17" s="80" t="str">
        <f t="shared" si="0"/>
        <v/>
      </c>
      <c r="CQ17" s="509" t="str">
        <f t="shared" si="0"/>
        <v/>
      </c>
      <c r="CR17" s="533" t="str">
        <f t="shared" si="7"/>
        <v/>
      </c>
      <c r="CS17" s="534" t="str">
        <f t="shared" si="7"/>
        <v/>
      </c>
      <c r="CT17" s="535" t="str">
        <f t="shared" si="7"/>
        <v/>
      </c>
      <c r="CU17" s="535" t="str">
        <f t="shared" si="7"/>
        <v/>
      </c>
      <c r="CV17" s="535" t="str">
        <f t="shared" si="7"/>
        <v/>
      </c>
      <c r="CW17" s="535" t="str">
        <f t="shared" si="7"/>
        <v/>
      </c>
      <c r="CX17" s="535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5" t="str">
        <f t="shared" si="8"/>
        <v/>
      </c>
      <c r="DC17" s="535" t="str">
        <f t="shared" si="8"/>
        <v/>
      </c>
      <c r="DD17" s="535" t="str">
        <f t="shared" si="8"/>
        <v/>
      </c>
      <c r="DE17" s="535" t="str">
        <f t="shared" si="8"/>
        <v/>
      </c>
      <c r="DF17" s="535" t="str">
        <f t="shared" si="8"/>
        <v/>
      </c>
      <c r="DG17" s="534" t="str">
        <f t="shared" si="8"/>
        <v/>
      </c>
      <c r="DH17" s="533" t="str">
        <f t="shared" si="8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145" t="str">
        <f t="shared" si="0"/>
        <v/>
      </c>
      <c r="CI18" s="145" t="str">
        <f t="shared" si="0"/>
        <v/>
      </c>
      <c r="CJ18" s="145" t="str">
        <f t="shared" si="0"/>
        <v/>
      </c>
      <c r="CK18" s="81" t="str">
        <f t="shared" si="0"/>
        <v/>
      </c>
      <c r="CL18" s="81" t="str">
        <f t="shared" si="0"/>
        <v/>
      </c>
      <c r="CM18" s="81" t="str">
        <f t="shared" si="0"/>
        <v/>
      </c>
      <c r="CN18" s="81" t="str">
        <f t="shared" si="0"/>
        <v/>
      </c>
      <c r="CO18" s="81" t="str">
        <f t="shared" si="0"/>
        <v/>
      </c>
      <c r="CP18" s="80" t="str">
        <f t="shared" si="0"/>
        <v/>
      </c>
      <c r="CQ18" s="509" t="str">
        <f t="shared" si="0"/>
        <v/>
      </c>
      <c r="CR18" s="533" t="str">
        <f t="shared" si="7"/>
        <v/>
      </c>
      <c r="CS18" s="534" t="str">
        <f t="shared" si="7"/>
        <v/>
      </c>
      <c r="CT18" s="535" t="str">
        <f t="shared" si="7"/>
        <v/>
      </c>
      <c r="CU18" s="535" t="str">
        <f t="shared" si="7"/>
        <v/>
      </c>
      <c r="CV18" s="535" t="str">
        <f t="shared" si="7"/>
        <v/>
      </c>
      <c r="CW18" s="535" t="str">
        <f t="shared" si="7"/>
        <v/>
      </c>
      <c r="CX18" s="535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5" t="str">
        <f t="shared" si="8"/>
        <v/>
      </c>
      <c r="DC18" s="535" t="str">
        <f t="shared" si="8"/>
        <v/>
      </c>
      <c r="DD18" s="535" t="str">
        <f t="shared" si="8"/>
        <v/>
      </c>
      <c r="DE18" s="535" t="str">
        <f t="shared" si="8"/>
        <v/>
      </c>
      <c r="DF18" s="535" t="str">
        <f t="shared" si="8"/>
        <v/>
      </c>
      <c r="DG18" s="534" t="str">
        <f t="shared" si="8"/>
        <v/>
      </c>
      <c r="DH18" s="533" t="str">
        <f t="shared" si="8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145" t="str">
        <f t="shared" si="0"/>
        <v/>
      </c>
      <c r="CI19" s="145" t="str">
        <f t="shared" si="0"/>
        <v/>
      </c>
      <c r="CJ19" s="145" t="str">
        <f t="shared" si="0"/>
        <v/>
      </c>
      <c r="CK19" s="81" t="str">
        <f t="shared" si="0"/>
        <v/>
      </c>
      <c r="CL19" s="81" t="str">
        <f t="shared" si="0"/>
        <v/>
      </c>
      <c r="CM19" s="81" t="str">
        <f t="shared" si="0"/>
        <v/>
      </c>
      <c r="CN19" s="81" t="str">
        <f t="shared" si="0"/>
        <v/>
      </c>
      <c r="CO19" s="81" t="str">
        <f t="shared" si="0"/>
        <v/>
      </c>
      <c r="CP19" s="80" t="str">
        <f t="shared" si="0"/>
        <v/>
      </c>
      <c r="CQ19" s="509" t="str">
        <f t="shared" si="0"/>
        <v/>
      </c>
      <c r="CR19" s="533" t="str">
        <f t="shared" si="7"/>
        <v/>
      </c>
      <c r="CS19" s="534" t="str">
        <f t="shared" si="7"/>
        <v/>
      </c>
      <c r="CT19" s="535" t="str">
        <f t="shared" si="7"/>
        <v/>
      </c>
      <c r="CU19" s="535" t="str">
        <f t="shared" si="7"/>
        <v/>
      </c>
      <c r="CV19" s="535" t="str">
        <f t="shared" si="7"/>
        <v/>
      </c>
      <c r="CW19" s="535" t="str">
        <f t="shared" si="7"/>
        <v/>
      </c>
      <c r="CX19" s="535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5" t="str">
        <f t="shared" si="8"/>
        <v/>
      </c>
      <c r="DC19" s="535" t="str">
        <f t="shared" si="8"/>
        <v/>
      </c>
      <c r="DD19" s="535" t="str">
        <f t="shared" si="8"/>
        <v/>
      </c>
      <c r="DE19" s="535" t="str">
        <f t="shared" si="8"/>
        <v/>
      </c>
      <c r="DF19" s="535" t="str">
        <f t="shared" si="8"/>
        <v/>
      </c>
      <c r="DG19" s="534" t="str">
        <f t="shared" si="8"/>
        <v/>
      </c>
      <c r="DH19" s="533" t="str">
        <f t="shared" si="8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9">IF(B17="","",B16*B17*B18*B19)</f>
        <v/>
      </c>
      <c r="C20" s="870" t="str">
        <f t="shared" si="9"/>
        <v/>
      </c>
      <c r="D20" s="870" t="str">
        <f t="shared" si="9"/>
        <v/>
      </c>
      <c r="E20" s="870" t="str">
        <f t="shared" si="9"/>
        <v/>
      </c>
      <c r="F20" s="870" t="str">
        <f t="shared" si="9"/>
        <v/>
      </c>
      <c r="G20" s="870" t="str">
        <f t="shared" si="9"/>
        <v/>
      </c>
      <c r="H20" s="870" t="str">
        <f t="shared" si="9"/>
        <v/>
      </c>
      <c r="I20" s="870" t="str">
        <f t="shared" si="9"/>
        <v/>
      </c>
      <c r="J20" s="870" t="str">
        <f t="shared" si="9"/>
        <v/>
      </c>
      <c r="K20" s="870" t="str">
        <f t="shared" si="9"/>
        <v/>
      </c>
      <c r="L20" s="870" t="str">
        <f t="shared" si="9"/>
        <v/>
      </c>
      <c r="M20" s="870" t="str">
        <f t="shared" si="9"/>
        <v/>
      </c>
      <c r="N20" s="870" t="str">
        <f t="shared" si="9"/>
        <v/>
      </c>
      <c r="O20" s="870" t="str">
        <f t="shared" si="9"/>
        <v/>
      </c>
      <c r="P20" s="870" t="str">
        <f t="shared" si="9"/>
        <v/>
      </c>
      <c r="Q20" s="870" t="str">
        <f t="shared" si="9"/>
        <v/>
      </c>
      <c r="R20" s="870" t="str">
        <f t="shared" si="9"/>
        <v/>
      </c>
      <c r="S20" s="858"/>
      <c r="T20" s="870" t="str">
        <f t="shared" ref="T20:AC20" si="10">IF(T17="","",T16*T17*T18*T19)</f>
        <v/>
      </c>
      <c r="U20" s="870" t="str">
        <f t="shared" si="10"/>
        <v/>
      </c>
      <c r="V20" s="870" t="str">
        <f t="shared" si="10"/>
        <v/>
      </c>
      <c r="W20" s="870" t="str">
        <f t="shared" si="10"/>
        <v/>
      </c>
      <c r="X20" s="870" t="str">
        <f t="shared" si="10"/>
        <v/>
      </c>
      <c r="Y20" s="870" t="str">
        <f t="shared" si="10"/>
        <v/>
      </c>
      <c r="Z20" s="870" t="str">
        <f t="shared" si="10"/>
        <v/>
      </c>
      <c r="AA20" s="870" t="str">
        <f t="shared" si="10"/>
        <v/>
      </c>
      <c r="AB20" s="870" t="str">
        <f t="shared" si="10"/>
        <v/>
      </c>
      <c r="AC20" s="870" t="str">
        <f t="shared" si="10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1">IF(AL17="","",AL16*AL17*AL18*AL19)</f>
        <v/>
      </c>
      <c r="AM20" s="870" t="str">
        <f t="shared" si="11"/>
        <v/>
      </c>
      <c r="AN20" s="870" t="str">
        <f t="shared" si="11"/>
        <v/>
      </c>
      <c r="AO20" s="870" t="str">
        <f t="shared" si="11"/>
        <v/>
      </c>
      <c r="AP20" s="870" t="str">
        <f t="shared" si="11"/>
        <v/>
      </c>
      <c r="AQ20" s="870" t="str">
        <f t="shared" si="11"/>
        <v/>
      </c>
      <c r="AR20" s="870" t="str">
        <f t="shared" si="11"/>
        <v/>
      </c>
      <c r="AS20" s="870" t="str">
        <f t="shared" si="11"/>
        <v/>
      </c>
      <c r="AT20" s="870" t="str">
        <f t="shared" si="11"/>
        <v/>
      </c>
      <c r="AU20" s="870" t="str">
        <f t="shared" si="11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2">IF(BD17="","",BD16*BD17*BD18*BD19)</f>
        <v/>
      </c>
      <c r="BE20" s="870" t="str">
        <f t="shared" si="12"/>
        <v/>
      </c>
      <c r="BF20" s="870" t="str">
        <f t="shared" si="12"/>
        <v/>
      </c>
      <c r="BG20" s="870" t="str">
        <f t="shared" si="12"/>
        <v/>
      </c>
      <c r="BH20" s="870" t="str">
        <f t="shared" si="12"/>
        <v/>
      </c>
      <c r="BI20" s="870" t="str">
        <f t="shared" si="12"/>
        <v/>
      </c>
      <c r="BJ20" s="870" t="str">
        <f t="shared" si="12"/>
        <v/>
      </c>
      <c r="BK20" s="870" t="str">
        <f t="shared" si="12"/>
        <v/>
      </c>
      <c r="BL20" s="870" t="str">
        <f t="shared" si="12"/>
        <v/>
      </c>
      <c r="BM20" s="870" t="str">
        <f t="shared" si="12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145" t="str">
        <f t="shared" si="0"/>
        <v/>
      </c>
      <c r="CI20" s="145" t="str">
        <f t="shared" si="0"/>
        <v/>
      </c>
      <c r="CJ20" s="145" t="str">
        <f t="shared" si="0"/>
        <v/>
      </c>
      <c r="CK20" s="81" t="str">
        <f t="shared" si="0"/>
        <v/>
      </c>
      <c r="CL20" s="81" t="str">
        <f t="shared" si="0"/>
        <v/>
      </c>
      <c r="CM20" s="81" t="str">
        <f t="shared" si="0"/>
        <v/>
      </c>
      <c r="CN20" s="81" t="str">
        <f t="shared" si="0"/>
        <v/>
      </c>
      <c r="CO20" s="81" t="str">
        <f t="shared" si="0"/>
        <v/>
      </c>
      <c r="CP20" s="80" t="str">
        <f t="shared" si="0"/>
        <v/>
      </c>
      <c r="CQ20" s="509" t="str">
        <f t="shared" si="0"/>
        <v/>
      </c>
      <c r="CR20" s="533" t="str">
        <f t="shared" si="7"/>
        <v/>
      </c>
      <c r="CS20" s="534" t="str">
        <f t="shared" si="7"/>
        <v/>
      </c>
      <c r="CT20" s="535" t="str">
        <f t="shared" si="7"/>
        <v/>
      </c>
      <c r="CU20" s="535" t="str">
        <f t="shared" si="7"/>
        <v/>
      </c>
      <c r="CV20" s="535" t="str">
        <f t="shared" si="7"/>
        <v/>
      </c>
      <c r="CW20" s="535" t="str">
        <f t="shared" si="7"/>
        <v/>
      </c>
      <c r="CX20" s="535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5" t="str">
        <f t="shared" si="8"/>
        <v/>
      </c>
      <c r="DC20" s="535" t="str">
        <f t="shared" si="8"/>
        <v/>
      </c>
      <c r="DD20" s="535" t="str">
        <f t="shared" si="8"/>
        <v/>
      </c>
      <c r="DE20" s="535" t="str">
        <f t="shared" si="8"/>
        <v/>
      </c>
      <c r="DF20" s="535" t="str">
        <f t="shared" si="8"/>
        <v/>
      </c>
      <c r="DG20" s="534" t="str">
        <f t="shared" si="8"/>
        <v/>
      </c>
      <c r="DH20" s="533" t="str">
        <f t="shared" si="8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>
        <v>1</v>
      </c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145" t="str">
        <f t="shared" si="0"/>
        <v/>
      </c>
      <c r="CI22" s="145" t="str">
        <f t="shared" si="0"/>
        <v/>
      </c>
      <c r="CJ22" s="145" t="str">
        <f t="shared" si="0"/>
        <v/>
      </c>
      <c r="CK22" s="81" t="str">
        <f t="shared" si="0"/>
        <v/>
      </c>
      <c r="CL22" s="81" t="str">
        <f t="shared" si="0"/>
        <v/>
      </c>
      <c r="CM22" s="81" t="str">
        <f t="shared" si="0"/>
        <v/>
      </c>
      <c r="CN22" s="81" t="str">
        <f t="shared" si="0"/>
        <v/>
      </c>
      <c r="CO22" s="81" t="str">
        <f t="shared" si="0"/>
        <v/>
      </c>
      <c r="CP22" s="80" t="str">
        <f t="shared" si="0"/>
        <v/>
      </c>
      <c r="CQ22" s="509" t="str">
        <f t="shared" si="0"/>
        <v/>
      </c>
      <c r="CR22" s="533" t="str">
        <f t="shared" ref="CR22:DA26" si="13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3"/>
        <v/>
      </c>
      <c r="CT22" s="535" t="str">
        <f t="shared" si="13"/>
        <v/>
      </c>
      <c r="CU22" s="535" t="str">
        <f t="shared" si="13"/>
        <v/>
      </c>
      <c r="CV22" s="535" t="str">
        <f t="shared" si="13"/>
        <v/>
      </c>
      <c r="CW22" s="535" t="str">
        <f t="shared" si="13"/>
        <v/>
      </c>
      <c r="CX22" s="535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5" t="str">
        <f t="shared" ref="DB22:DH26" si="14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4"/>
        <v/>
      </c>
      <c r="DD22" s="535" t="str">
        <f t="shared" si="14"/>
        <v/>
      </c>
      <c r="DE22" s="535" t="str">
        <f t="shared" si="14"/>
        <v/>
      </c>
      <c r="DF22" s="535" t="str">
        <f t="shared" si="14"/>
        <v/>
      </c>
      <c r="DG22" s="534" t="str">
        <f t="shared" si="14"/>
        <v/>
      </c>
      <c r="DH22" s="533" t="str">
        <f t="shared" si="14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>
        <v>6</v>
      </c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145" t="str">
        <f t="shared" si="0"/>
        <v/>
      </c>
      <c r="CI23" s="145" t="str">
        <f t="shared" si="0"/>
        <v/>
      </c>
      <c r="CJ23" s="145" t="str">
        <f t="shared" si="0"/>
        <v/>
      </c>
      <c r="CK23" s="81" t="str">
        <f t="shared" si="0"/>
        <v/>
      </c>
      <c r="CL23" s="81" t="str">
        <f t="shared" si="0"/>
        <v/>
      </c>
      <c r="CM23" s="81" t="str">
        <f t="shared" si="0"/>
        <v/>
      </c>
      <c r="CN23" s="81" t="str">
        <f t="shared" si="0"/>
        <v/>
      </c>
      <c r="CO23" s="81" t="str">
        <f t="shared" si="0"/>
        <v/>
      </c>
      <c r="CP23" s="80" t="str">
        <f t="shared" si="0"/>
        <v/>
      </c>
      <c r="CQ23" s="509" t="str">
        <f t="shared" si="0"/>
        <v/>
      </c>
      <c r="CR23" s="533" t="str">
        <f t="shared" si="13"/>
        <v/>
      </c>
      <c r="CS23" s="534" t="str">
        <f t="shared" si="13"/>
        <v/>
      </c>
      <c r="CT23" s="535" t="str">
        <f t="shared" si="13"/>
        <v/>
      </c>
      <c r="CU23" s="535" t="str">
        <f t="shared" si="13"/>
        <v/>
      </c>
      <c r="CV23" s="535" t="str">
        <f t="shared" si="13"/>
        <v/>
      </c>
      <c r="CW23" s="535" t="str">
        <f t="shared" si="13"/>
        <v/>
      </c>
      <c r="CX23" s="535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5" t="str">
        <f t="shared" si="14"/>
        <v/>
      </c>
      <c r="DC23" s="535" t="str">
        <f t="shared" si="14"/>
        <v/>
      </c>
      <c r="DD23" s="535" t="str">
        <f t="shared" si="14"/>
        <v/>
      </c>
      <c r="DE23" s="535" t="str">
        <f t="shared" si="14"/>
        <v/>
      </c>
      <c r="DF23" s="535" t="str">
        <f t="shared" si="14"/>
        <v/>
      </c>
      <c r="DG23" s="534" t="str">
        <f t="shared" si="14"/>
        <v/>
      </c>
      <c r="DH23" s="533" t="str">
        <f t="shared" si="14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>
        <v>2</v>
      </c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145" t="str">
        <f t="shared" si="0"/>
        <v/>
      </c>
      <c r="CI24" s="145" t="str">
        <f t="shared" si="0"/>
        <v/>
      </c>
      <c r="CJ24" s="145" t="str">
        <f t="shared" si="0"/>
        <v/>
      </c>
      <c r="CK24" s="81" t="str">
        <f t="shared" si="0"/>
        <v/>
      </c>
      <c r="CL24" s="81" t="str">
        <f t="shared" si="0"/>
        <v/>
      </c>
      <c r="CM24" s="81" t="str">
        <f t="shared" si="0"/>
        <v/>
      </c>
      <c r="CN24" s="81" t="str">
        <f t="shared" si="0"/>
        <v/>
      </c>
      <c r="CO24" s="81" t="str">
        <f t="shared" si="0"/>
        <v/>
      </c>
      <c r="CP24" s="80" t="str">
        <f t="shared" si="0"/>
        <v/>
      </c>
      <c r="CQ24" s="509" t="str">
        <f t="shared" si="0"/>
        <v/>
      </c>
      <c r="CR24" s="533" t="str">
        <f t="shared" si="13"/>
        <v/>
      </c>
      <c r="CS24" s="534" t="str">
        <f t="shared" si="13"/>
        <v/>
      </c>
      <c r="CT24" s="535" t="str">
        <f t="shared" si="13"/>
        <v/>
      </c>
      <c r="CU24" s="535" t="str">
        <f t="shared" si="13"/>
        <v/>
      </c>
      <c r="CV24" s="535" t="str">
        <f t="shared" si="13"/>
        <v/>
      </c>
      <c r="CW24" s="535" t="str">
        <f t="shared" si="13"/>
        <v/>
      </c>
      <c r="CX24" s="535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5" t="str">
        <f t="shared" si="14"/>
        <v/>
      </c>
      <c r="DC24" s="535" t="str">
        <f t="shared" si="14"/>
        <v/>
      </c>
      <c r="DD24" s="535" t="str">
        <f t="shared" si="14"/>
        <v/>
      </c>
      <c r="DE24" s="535" t="str">
        <f t="shared" si="14"/>
        <v/>
      </c>
      <c r="DF24" s="535" t="str">
        <f t="shared" si="14"/>
        <v/>
      </c>
      <c r="DG24" s="534" t="str">
        <f t="shared" si="14"/>
        <v/>
      </c>
      <c r="DH24" s="533" t="str">
        <f t="shared" si="14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>
        <v>90</v>
      </c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145" t="str">
        <f t="shared" si="0"/>
        <v/>
      </c>
      <c r="CI25" s="145" t="str">
        <f t="shared" si="0"/>
        <v/>
      </c>
      <c r="CJ25" s="145" t="str">
        <f t="shared" si="0"/>
        <v/>
      </c>
      <c r="CK25" s="81" t="str">
        <f t="shared" si="0"/>
        <v/>
      </c>
      <c r="CL25" s="81" t="str">
        <f t="shared" si="0"/>
        <v/>
      </c>
      <c r="CM25" s="81" t="str">
        <f t="shared" si="0"/>
        <v/>
      </c>
      <c r="CN25" s="81" t="str">
        <f t="shared" si="0"/>
        <v/>
      </c>
      <c r="CO25" s="81" t="str">
        <f t="shared" si="0"/>
        <v/>
      </c>
      <c r="CP25" s="80" t="str">
        <f t="shared" si="0"/>
        <v/>
      </c>
      <c r="CQ25" s="509" t="str">
        <f t="shared" si="0"/>
        <v/>
      </c>
      <c r="CR25" s="533" t="str">
        <f t="shared" si="13"/>
        <v/>
      </c>
      <c r="CS25" s="534" t="str">
        <f t="shared" si="13"/>
        <v/>
      </c>
      <c r="CT25" s="535" t="str">
        <f t="shared" si="13"/>
        <v/>
      </c>
      <c r="CU25" s="535" t="str">
        <f t="shared" si="13"/>
        <v/>
      </c>
      <c r="CV25" s="535" t="str">
        <f t="shared" si="13"/>
        <v/>
      </c>
      <c r="CW25" s="535" t="str">
        <f t="shared" si="13"/>
        <v/>
      </c>
      <c r="CX25" s="535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5" t="str">
        <f t="shared" si="14"/>
        <v/>
      </c>
      <c r="DC25" s="535" t="str">
        <f t="shared" si="14"/>
        <v/>
      </c>
      <c r="DD25" s="535" t="str">
        <f t="shared" si="14"/>
        <v/>
      </c>
      <c r="DE25" s="535" t="str">
        <f t="shared" si="14"/>
        <v/>
      </c>
      <c r="DF25" s="535" t="str">
        <f t="shared" si="14"/>
        <v/>
      </c>
      <c r="DG25" s="534" t="str">
        <f t="shared" si="14"/>
        <v/>
      </c>
      <c r="DH25" s="533" t="str">
        <f t="shared" si="14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5">IF(B23="","",B22*B23*B24*B25)</f>
        <v/>
      </c>
      <c r="C26" s="870" t="str">
        <f t="shared" si="15"/>
        <v/>
      </c>
      <c r="D26" s="870" t="str">
        <f t="shared" si="15"/>
        <v/>
      </c>
      <c r="E26" s="870" t="str">
        <f t="shared" si="15"/>
        <v/>
      </c>
      <c r="F26" s="870" t="str">
        <f t="shared" si="15"/>
        <v/>
      </c>
      <c r="G26" s="870" t="str">
        <f t="shared" si="15"/>
        <v/>
      </c>
      <c r="H26" s="870" t="str">
        <f t="shared" si="15"/>
        <v/>
      </c>
      <c r="I26" s="870" t="str">
        <f t="shared" si="15"/>
        <v/>
      </c>
      <c r="J26" s="870" t="str">
        <f t="shared" si="15"/>
        <v/>
      </c>
      <c r="K26" s="870" t="str">
        <f t="shared" si="15"/>
        <v/>
      </c>
      <c r="L26" s="870" t="str">
        <f t="shared" si="15"/>
        <v/>
      </c>
      <c r="M26" s="870" t="str">
        <f t="shared" si="15"/>
        <v/>
      </c>
      <c r="N26" s="870" t="str">
        <f t="shared" si="15"/>
        <v/>
      </c>
      <c r="O26" s="870" t="str">
        <f t="shared" si="15"/>
        <v/>
      </c>
      <c r="P26" s="870" t="str">
        <f t="shared" si="15"/>
        <v/>
      </c>
      <c r="Q26" s="870" t="str">
        <f t="shared" si="15"/>
        <v/>
      </c>
      <c r="R26" s="870" t="str">
        <f t="shared" si="15"/>
        <v/>
      </c>
      <c r="S26" s="858"/>
      <c r="T26" s="870" t="str">
        <f t="shared" ref="T26:AC26" si="16">IF(T23="","",T22*T23*T24*T25)</f>
        <v/>
      </c>
      <c r="U26" s="870" t="str">
        <f t="shared" si="16"/>
        <v/>
      </c>
      <c r="V26" s="870" t="str">
        <f t="shared" si="16"/>
        <v/>
      </c>
      <c r="W26" s="870" t="str">
        <f t="shared" si="16"/>
        <v/>
      </c>
      <c r="X26" s="870" t="str">
        <f t="shared" si="16"/>
        <v/>
      </c>
      <c r="Y26" s="870" t="str">
        <f t="shared" si="16"/>
        <v/>
      </c>
      <c r="Z26" s="870" t="str">
        <f t="shared" si="16"/>
        <v/>
      </c>
      <c r="AA26" s="870" t="str">
        <f t="shared" si="16"/>
        <v/>
      </c>
      <c r="AB26" s="870" t="str">
        <f t="shared" si="16"/>
        <v/>
      </c>
      <c r="AC26" s="870" t="str">
        <f t="shared" si="16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7">IF(AL23="","",AL22*AL23*AL24*AL25)</f>
        <v/>
      </c>
      <c r="AM26" s="870" t="str">
        <f t="shared" si="17"/>
        <v/>
      </c>
      <c r="AN26" s="870" t="str">
        <f t="shared" si="17"/>
        <v/>
      </c>
      <c r="AO26" s="870" t="str">
        <f t="shared" si="17"/>
        <v/>
      </c>
      <c r="AP26" s="870" t="str">
        <f t="shared" si="17"/>
        <v/>
      </c>
      <c r="AQ26" s="870" t="str">
        <f t="shared" si="17"/>
        <v/>
      </c>
      <c r="AR26" s="870" t="str">
        <f t="shared" si="17"/>
        <v/>
      </c>
      <c r="AS26" s="870" t="str">
        <f t="shared" si="17"/>
        <v/>
      </c>
      <c r="AT26" s="870" t="str">
        <f t="shared" si="17"/>
        <v/>
      </c>
      <c r="AU26" s="870" t="str">
        <f t="shared" si="17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8">IF(BD23="","",BD22*BD23*BD24*BD25)</f>
        <v/>
      </c>
      <c r="BE26" s="870" t="str">
        <f t="shared" si="18"/>
        <v/>
      </c>
      <c r="BF26" s="870" t="str">
        <f t="shared" si="18"/>
        <v/>
      </c>
      <c r="BG26" s="870" t="str">
        <f t="shared" si="18"/>
        <v/>
      </c>
      <c r="BH26" s="870" t="str">
        <f t="shared" si="18"/>
        <v/>
      </c>
      <c r="BI26" s="870" t="str">
        <f t="shared" si="18"/>
        <v/>
      </c>
      <c r="BJ26" s="870" t="str">
        <f t="shared" si="18"/>
        <v/>
      </c>
      <c r="BK26" s="870" t="str">
        <f t="shared" si="18"/>
        <v/>
      </c>
      <c r="BL26" s="870" t="str">
        <f t="shared" si="18"/>
        <v/>
      </c>
      <c r="BM26" s="870" t="str">
        <f t="shared" si="18"/>
        <v/>
      </c>
      <c r="BN26" s="870"/>
      <c r="BO26" s="870"/>
      <c r="BP26" s="870"/>
      <c r="BQ26" s="870"/>
      <c r="BR26" s="870"/>
      <c r="BS26" s="870"/>
      <c r="BT26" s="870"/>
      <c r="BU26" s="858"/>
      <c r="BV26" s="870">
        <f>IF(BV23="","",BV22*BV23*BV24*BV25)</f>
        <v>1080</v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145" t="str">
        <f t="shared" si="19"/>
        <v/>
      </c>
      <c r="CI26" s="145" t="str">
        <f t="shared" si="19"/>
        <v/>
      </c>
      <c r="CJ26" s="145" t="str">
        <f t="shared" si="19"/>
        <v/>
      </c>
      <c r="CK26" s="81" t="str">
        <f t="shared" si="19"/>
        <v/>
      </c>
      <c r="CL26" s="81" t="str">
        <f t="shared" si="19"/>
        <v/>
      </c>
      <c r="CM26" s="81" t="str">
        <f t="shared" si="19"/>
        <v/>
      </c>
      <c r="CN26" s="81" t="str">
        <f t="shared" si="19"/>
        <v/>
      </c>
      <c r="CO26" s="81" t="str">
        <f t="shared" si="19"/>
        <v/>
      </c>
      <c r="CP26" s="80" t="str">
        <f t="shared" si="19"/>
        <v/>
      </c>
      <c r="CQ26" s="509" t="str">
        <f t="shared" si="19"/>
        <v/>
      </c>
      <c r="CR26" s="533" t="str">
        <f t="shared" si="13"/>
        <v/>
      </c>
      <c r="CS26" s="534" t="str">
        <f t="shared" si="13"/>
        <v/>
      </c>
      <c r="CT26" s="535" t="str">
        <f t="shared" si="13"/>
        <v/>
      </c>
      <c r="CU26" s="535" t="str">
        <f t="shared" si="13"/>
        <v/>
      </c>
      <c r="CV26" s="535" t="str">
        <f t="shared" si="13"/>
        <v/>
      </c>
      <c r="CW26" s="535" t="str">
        <f t="shared" si="13"/>
        <v/>
      </c>
      <c r="CX26" s="535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5" t="str">
        <f t="shared" si="14"/>
        <v/>
      </c>
      <c r="DC26" s="535" t="str">
        <f t="shared" si="14"/>
        <v/>
      </c>
      <c r="DD26" s="535" t="str">
        <f t="shared" si="14"/>
        <v/>
      </c>
      <c r="DE26" s="535" t="str">
        <f t="shared" si="14"/>
        <v/>
      </c>
      <c r="DF26" s="535" t="str">
        <f t="shared" si="14"/>
        <v/>
      </c>
      <c r="DG26" s="534" t="str">
        <f t="shared" si="14"/>
        <v/>
      </c>
      <c r="DH26" s="533" t="str">
        <f t="shared" si="14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145" t="str">
        <f t="shared" si="20"/>
        <v/>
      </c>
      <c r="CI28" s="145" t="str">
        <f t="shared" si="20"/>
        <v/>
      </c>
      <c r="CJ28" s="145" t="str">
        <f t="shared" si="20"/>
        <v/>
      </c>
      <c r="CK28" s="81" t="str">
        <f t="shared" si="20"/>
        <v/>
      </c>
      <c r="CL28" s="81" t="str">
        <f t="shared" si="20"/>
        <v/>
      </c>
      <c r="CM28" s="81" t="str">
        <f t="shared" si="20"/>
        <v/>
      </c>
      <c r="CN28" s="81" t="str">
        <f t="shared" si="20"/>
        <v/>
      </c>
      <c r="CO28" s="81" t="str">
        <f t="shared" si="20"/>
        <v/>
      </c>
      <c r="CP28" s="80" t="str">
        <f t="shared" si="20"/>
        <v/>
      </c>
      <c r="CQ28" s="509" t="str">
        <f t="shared" ref="CE28:CQ32" si="21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2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2"/>
        <v/>
      </c>
      <c r="CT28" s="535" t="str">
        <f t="shared" si="22"/>
        <v/>
      </c>
      <c r="CU28" s="535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5" t="str">
        <f t="shared" ref="DB28:DH32" si="23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3"/>
        <v/>
      </c>
      <c r="DD28" s="535" t="str">
        <f t="shared" si="23"/>
        <v/>
      </c>
      <c r="DE28" s="535" t="str">
        <f t="shared" si="23"/>
        <v/>
      </c>
      <c r="DF28" s="535" t="str">
        <f t="shared" si="23"/>
        <v/>
      </c>
      <c r="DG28" s="534" t="str">
        <f t="shared" si="23"/>
        <v/>
      </c>
      <c r="DH28" s="533" t="str">
        <f t="shared" si="23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145" t="str">
        <f t="shared" si="21"/>
        <v/>
      </c>
      <c r="CI29" s="145" t="str">
        <f t="shared" si="21"/>
        <v/>
      </c>
      <c r="CJ29" s="145" t="str">
        <f t="shared" si="21"/>
        <v/>
      </c>
      <c r="CK29" s="81" t="str">
        <f t="shared" si="21"/>
        <v/>
      </c>
      <c r="CL29" s="81" t="str">
        <f t="shared" si="21"/>
        <v/>
      </c>
      <c r="CM29" s="81" t="str">
        <f t="shared" si="21"/>
        <v/>
      </c>
      <c r="CN29" s="81" t="str">
        <f t="shared" si="21"/>
        <v/>
      </c>
      <c r="CO29" s="81" t="str">
        <f t="shared" si="21"/>
        <v/>
      </c>
      <c r="CP29" s="80" t="str">
        <f t="shared" si="21"/>
        <v/>
      </c>
      <c r="CQ29" s="509" t="str">
        <f t="shared" si="21"/>
        <v/>
      </c>
      <c r="CR29" s="533" t="str">
        <f t="shared" si="22"/>
        <v/>
      </c>
      <c r="CS29" s="534" t="str">
        <f t="shared" si="22"/>
        <v/>
      </c>
      <c r="CT29" s="535" t="str">
        <f t="shared" si="22"/>
        <v/>
      </c>
      <c r="CU29" s="535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5" t="str">
        <f t="shared" si="23"/>
        <v/>
      </c>
      <c r="DC29" s="535" t="str">
        <f t="shared" si="23"/>
        <v/>
      </c>
      <c r="DD29" s="535" t="str">
        <f t="shared" si="23"/>
        <v/>
      </c>
      <c r="DE29" s="535" t="str">
        <f t="shared" si="23"/>
        <v/>
      </c>
      <c r="DF29" s="535" t="str">
        <f t="shared" si="23"/>
        <v/>
      </c>
      <c r="DG29" s="534" t="str">
        <f t="shared" si="23"/>
        <v/>
      </c>
      <c r="DH29" s="533" t="str">
        <f t="shared" si="23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145" t="str">
        <f t="shared" si="21"/>
        <v/>
      </c>
      <c r="CI30" s="145" t="str">
        <f t="shared" si="21"/>
        <v/>
      </c>
      <c r="CJ30" s="145" t="str">
        <f t="shared" si="21"/>
        <v/>
      </c>
      <c r="CK30" s="81" t="str">
        <f t="shared" si="21"/>
        <v/>
      </c>
      <c r="CL30" s="81" t="str">
        <f t="shared" si="21"/>
        <v/>
      </c>
      <c r="CM30" s="81" t="str">
        <f t="shared" si="21"/>
        <v/>
      </c>
      <c r="CN30" s="81" t="str">
        <f t="shared" si="21"/>
        <v/>
      </c>
      <c r="CO30" s="81" t="str">
        <f t="shared" si="21"/>
        <v/>
      </c>
      <c r="CP30" s="80" t="str">
        <f t="shared" si="21"/>
        <v/>
      </c>
      <c r="CQ30" s="509" t="str">
        <f t="shared" si="21"/>
        <v/>
      </c>
      <c r="CR30" s="533" t="str">
        <f t="shared" si="22"/>
        <v/>
      </c>
      <c r="CS30" s="534" t="str">
        <f t="shared" si="22"/>
        <v/>
      </c>
      <c r="CT30" s="535" t="str">
        <f t="shared" si="22"/>
        <v/>
      </c>
      <c r="CU30" s="535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5" t="str">
        <f t="shared" si="23"/>
        <v/>
      </c>
      <c r="DC30" s="535" t="str">
        <f t="shared" si="23"/>
        <v/>
      </c>
      <c r="DD30" s="535" t="str">
        <f t="shared" si="23"/>
        <v/>
      </c>
      <c r="DE30" s="535" t="str">
        <f t="shared" si="23"/>
        <v/>
      </c>
      <c r="DF30" s="535" t="str">
        <f t="shared" si="23"/>
        <v/>
      </c>
      <c r="DG30" s="534" t="str">
        <f t="shared" si="23"/>
        <v/>
      </c>
      <c r="DH30" s="533" t="str">
        <f t="shared" si="23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145" t="str">
        <f t="shared" si="21"/>
        <v/>
      </c>
      <c r="CI31" s="145" t="str">
        <f t="shared" si="21"/>
        <v/>
      </c>
      <c r="CJ31" s="145" t="str">
        <f t="shared" si="21"/>
        <v/>
      </c>
      <c r="CK31" s="81" t="str">
        <f t="shared" si="21"/>
        <v/>
      </c>
      <c r="CL31" s="81" t="str">
        <f t="shared" si="21"/>
        <v/>
      </c>
      <c r="CM31" s="81" t="str">
        <f t="shared" si="21"/>
        <v/>
      </c>
      <c r="CN31" s="81" t="str">
        <f t="shared" si="21"/>
        <v/>
      </c>
      <c r="CO31" s="81" t="str">
        <f t="shared" si="21"/>
        <v/>
      </c>
      <c r="CP31" s="80" t="str">
        <f t="shared" si="21"/>
        <v/>
      </c>
      <c r="CQ31" s="509" t="str">
        <f t="shared" si="21"/>
        <v/>
      </c>
      <c r="CR31" s="533" t="str">
        <f t="shared" si="22"/>
        <v/>
      </c>
      <c r="CS31" s="534" t="str">
        <f t="shared" si="22"/>
        <v/>
      </c>
      <c r="CT31" s="535" t="str">
        <f t="shared" si="22"/>
        <v/>
      </c>
      <c r="CU31" s="535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5" t="str">
        <f t="shared" si="23"/>
        <v/>
      </c>
      <c r="DC31" s="535" t="str">
        <f t="shared" si="23"/>
        <v/>
      </c>
      <c r="DD31" s="535" t="str">
        <f t="shared" si="23"/>
        <v/>
      </c>
      <c r="DE31" s="535" t="str">
        <f t="shared" si="23"/>
        <v/>
      </c>
      <c r="DF31" s="535" t="str">
        <f t="shared" si="23"/>
        <v/>
      </c>
      <c r="DG31" s="534" t="str">
        <f t="shared" si="23"/>
        <v/>
      </c>
      <c r="DH31" s="533" t="str">
        <f t="shared" si="23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4">IF(B29="","",B28*B29*B30*B31)</f>
        <v/>
      </c>
      <c r="C32" s="870" t="str">
        <f t="shared" si="24"/>
        <v/>
      </c>
      <c r="D32" s="870" t="str">
        <f t="shared" si="24"/>
        <v/>
      </c>
      <c r="E32" s="870" t="str">
        <f t="shared" si="24"/>
        <v/>
      </c>
      <c r="F32" s="870" t="str">
        <f t="shared" si="24"/>
        <v/>
      </c>
      <c r="G32" s="870" t="str">
        <f t="shared" si="24"/>
        <v/>
      </c>
      <c r="H32" s="870" t="str">
        <f t="shared" si="24"/>
        <v/>
      </c>
      <c r="I32" s="870" t="str">
        <f t="shared" si="24"/>
        <v/>
      </c>
      <c r="J32" s="870" t="str">
        <f t="shared" si="24"/>
        <v/>
      </c>
      <c r="K32" s="870" t="str">
        <f t="shared" si="24"/>
        <v/>
      </c>
      <c r="L32" s="870" t="str">
        <f t="shared" si="24"/>
        <v/>
      </c>
      <c r="M32" s="870" t="str">
        <f t="shared" si="24"/>
        <v/>
      </c>
      <c r="N32" s="870" t="str">
        <f t="shared" si="24"/>
        <v/>
      </c>
      <c r="O32" s="870" t="str">
        <f t="shared" si="24"/>
        <v/>
      </c>
      <c r="P32" s="870" t="str">
        <f t="shared" si="24"/>
        <v/>
      </c>
      <c r="Q32" s="870" t="str">
        <f t="shared" si="24"/>
        <v/>
      </c>
      <c r="R32" s="870" t="str">
        <f t="shared" si="24"/>
        <v/>
      </c>
      <c r="S32" s="858"/>
      <c r="T32" s="870" t="str">
        <f t="shared" ref="T32:AC32" si="25">IF(T29="","",T28*T29*T30*T31)</f>
        <v/>
      </c>
      <c r="U32" s="870" t="str">
        <f t="shared" si="25"/>
        <v/>
      </c>
      <c r="V32" s="870" t="str">
        <f t="shared" si="25"/>
        <v/>
      </c>
      <c r="W32" s="870" t="str">
        <f t="shared" si="25"/>
        <v/>
      </c>
      <c r="X32" s="870" t="str">
        <f t="shared" si="25"/>
        <v/>
      </c>
      <c r="Y32" s="870" t="str">
        <f t="shared" si="25"/>
        <v/>
      </c>
      <c r="Z32" s="870" t="str">
        <f t="shared" si="25"/>
        <v/>
      </c>
      <c r="AA32" s="870" t="str">
        <f t="shared" si="25"/>
        <v/>
      </c>
      <c r="AB32" s="870" t="str">
        <f t="shared" si="25"/>
        <v/>
      </c>
      <c r="AC32" s="870" t="str">
        <f t="shared" si="25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6">IF(AL29="","",AL28*AL29*AL30*AL31)</f>
        <v/>
      </c>
      <c r="AM32" s="870" t="str">
        <f t="shared" si="26"/>
        <v/>
      </c>
      <c r="AN32" s="870" t="str">
        <f t="shared" si="26"/>
        <v/>
      </c>
      <c r="AO32" s="870" t="str">
        <f t="shared" si="26"/>
        <v/>
      </c>
      <c r="AP32" s="870" t="str">
        <f t="shared" si="26"/>
        <v/>
      </c>
      <c r="AQ32" s="870" t="str">
        <f t="shared" si="26"/>
        <v/>
      </c>
      <c r="AR32" s="870" t="str">
        <f t="shared" si="26"/>
        <v/>
      </c>
      <c r="AS32" s="870" t="str">
        <f t="shared" si="26"/>
        <v/>
      </c>
      <c r="AT32" s="870" t="str">
        <f t="shared" si="26"/>
        <v/>
      </c>
      <c r="AU32" s="870" t="str">
        <f t="shared" si="26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7">IF(BD29="","",BD28*BD29*BD30*BD31)</f>
        <v/>
      </c>
      <c r="BE32" s="870" t="str">
        <f t="shared" si="27"/>
        <v/>
      </c>
      <c r="BF32" s="870" t="str">
        <f t="shared" si="27"/>
        <v/>
      </c>
      <c r="BG32" s="870" t="str">
        <f t="shared" si="27"/>
        <v/>
      </c>
      <c r="BH32" s="870" t="str">
        <f t="shared" si="27"/>
        <v/>
      </c>
      <c r="BI32" s="870" t="str">
        <f t="shared" si="27"/>
        <v/>
      </c>
      <c r="BJ32" s="870" t="str">
        <f t="shared" si="27"/>
        <v/>
      </c>
      <c r="BK32" s="870" t="str">
        <f t="shared" si="27"/>
        <v/>
      </c>
      <c r="BL32" s="870" t="str">
        <f t="shared" si="27"/>
        <v/>
      </c>
      <c r="BM32" s="870" t="str">
        <f t="shared" si="27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145" t="str">
        <f t="shared" si="21"/>
        <v/>
      </c>
      <c r="CI32" s="145" t="str">
        <f t="shared" si="21"/>
        <v/>
      </c>
      <c r="CJ32" s="145" t="str">
        <f t="shared" si="21"/>
        <v/>
      </c>
      <c r="CK32" s="81" t="str">
        <f t="shared" si="21"/>
        <v/>
      </c>
      <c r="CL32" s="81" t="str">
        <f t="shared" si="21"/>
        <v/>
      </c>
      <c r="CM32" s="81" t="str">
        <f t="shared" si="21"/>
        <v/>
      </c>
      <c r="CN32" s="81" t="str">
        <f t="shared" si="21"/>
        <v/>
      </c>
      <c r="CO32" s="81" t="str">
        <f t="shared" si="21"/>
        <v/>
      </c>
      <c r="CP32" s="80" t="str">
        <f t="shared" si="21"/>
        <v/>
      </c>
      <c r="CQ32" s="509" t="str">
        <f t="shared" si="21"/>
        <v/>
      </c>
      <c r="CR32" s="533" t="str">
        <f t="shared" si="22"/>
        <v/>
      </c>
      <c r="CS32" s="534" t="str">
        <f t="shared" si="22"/>
        <v/>
      </c>
      <c r="CT32" s="535" t="str">
        <f t="shared" si="22"/>
        <v/>
      </c>
      <c r="CU32" s="535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5" t="str">
        <f t="shared" si="23"/>
        <v/>
      </c>
      <c r="DC32" s="535" t="str">
        <f t="shared" si="23"/>
        <v/>
      </c>
      <c r="DD32" s="535" t="str">
        <f t="shared" si="23"/>
        <v/>
      </c>
      <c r="DE32" s="535" t="str">
        <f t="shared" si="23"/>
        <v/>
      </c>
      <c r="DF32" s="535" t="str">
        <f t="shared" si="23"/>
        <v/>
      </c>
      <c r="DG32" s="534" t="str">
        <f t="shared" si="23"/>
        <v/>
      </c>
      <c r="DH32" s="533" t="str">
        <f t="shared" si="23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145" t="str">
        <f t="shared" si="28"/>
        <v/>
      </c>
      <c r="CI34" s="145" t="str">
        <f t="shared" si="28"/>
        <v/>
      </c>
      <c r="CJ34" s="145" t="str">
        <f t="shared" si="28"/>
        <v/>
      </c>
      <c r="CK34" s="81" t="str">
        <f t="shared" si="28"/>
        <v/>
      </c>
      <c r="CL34" s="81" t="str">
        <f t="shared" si="28"/>
        <v/>
      </c>
      <c r="CM34" s="81" t="str">
        <f t="shared" si="28"/>
        <v/>
      </c>
      <c r="CN34" s="81" t="str">
        <f t="shared" si="28"/>
        <v/>
      </c>
      <c r="CO34" s="81" t="str">
        <f t="shared" si="28"/>
        <v/>
      </c>
      <c r="CP34" s="80" t="str">
        <f t="shared" si="28"/>
        <v/>
      </c>
      <c r="CQ34" s="509" t="str">
        <f t="shared" ref="CE34:CQ38" si="29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0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0"/>
        <v/>
      </c>
      <c r="CT34" s="535" t="str">
        <f t="shared" si="30"/>
        <v/>
      </c>
      <c r="CU34" s="535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5" t="str">
        <f t="shared" ref="DB34:DH38" si="31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1"/>
        <v/>
      </c>
      <c r="DD34" s="535" t="str">
        <f t="shared" si="31"/>
        <v/>
      </c>
      <c r="DE34" s="535" t="str">
        <f t="shared" si="31"/>
        <v/>
      </c>
      <c r="DF34" s="535" t="str">
        <f t="shared" si="31"/>
        <v/>
      </c>
      <c r="DG34" s="534" t="str">
        <f t="shared" si="31"/>
        <v/>
      </c>
      <c r="DH34" s="533" t="str">
        <f t="shared" si="31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145" t="str">
        <f t="shared" si="29"/>
        <v/>
      </c>
      <c r="CI35" s="145" t="str">
        <f t="shared" si="29"/>
        <v/>
      </c>
      <c r="CJ35" s="145" t="str">
        <f t="shared" si="29"/>
        <v/>
      </c>
      <c r="CK35" s="81" t="str">
        <f t="shared" si="29"/>
        <v/>
      </c>
      <c r="CL35" s="81" t="str">
        <f t="shared" si="29"/>
        <v/>
      </c>
      <c r="CM35" s="81" t="str">
        <f t="shared" si="29"/>
        <v/>
      </c>
      <c r="CN35" s="81" t="str">
        <f t="shared" si="29"/>
        <v/>
      </c>
      <c r="CO35" s="81" t="str">
        <f t="shared" si="29"/>
        <v/>
      </c>
      <c r="CP35" s="80" t="str">
        <f t="shared" si="29"/>
        <v/>
      </c>
      <c r="CQ35" s="509" t="str">
        <f t="shared" si="29"/>
        <v/>
      </c>
      <c r="CR35" s="533" t="str">
        <f t="shared" si="30"/>
        <v/>
      </c>
      <c r="CS35" s="534" t="str">
        <f t="shared" si="30"/>
        <v/>
      </c>
      <c r="CT35" s="535" t="str">
        <f t="shared" si="30"/>
        <v/>
      </c>
      <c r="CU35" s="535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5" t="str">
        <f t="shared" si="31"/>
        <v/>
      </c>
      <c r="DC35" s="535" t="str">
        <f t="shared" si="31"/>
        <v/>
      </c>
      <c r="DD35" s="535" t="str">
        <f t="shared" si="31"/>
        <v/>
      </c>
      <c r="DE35" s="535" t="str">
        <f t="shared" si="31"/>
        <v/>
      </c>
      <c r="DF35" s="535" t="str">
        <f t="shared" si="31"/>
        <v/>
      </c>
      <c r="DG35" s="534" t="str">
        <f t="shared" si="31"/>
        <v/>
      </c>
      <c r="DH35" s="533" t="str">
        <f t="shared" si="31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145" t="str">
        <f t="shared" si="29"/>
        <v/>
      </c>
      <c r="CI36" s="145" t="str">
        <f t="shared" si="29"/>
        <v/>
      </c>
      <c r="CJ36" s="145" t="str">
        <f t="shared" si="29"/>
        <v/>
      </c>
      <c r="CK36" s="81" t="str">
        <f t="shared" si="29"/>
        <v/>
      </c>
      <c r="CL36" s="81" t="str">
        <f t="shared" si="29"/>
        <v/>
      </c>
      <c r="CM36" s="81" t="str">
        <f t="shared" si="29"/>
        <v/>
      </c>
      <c r="CN36" s="81" t="str">
        <f t="shared" si="29"/>
        <v/>
      </c>
      <c r="CO36" s="81" t="str">
        <f t="shared" si="29"/>
        <v/>
      </c>
      <c r="CP36" s="80" t="str">
        <f t="shared" si="29"/>
        <v/>
      </c>
      <c r="CQ36" s="509" t="str">
        <f t="shared" si="29"/>
        <v/>
      </c>
      <c r="CR36" s="533" t="str">
        <f t="shared" si="30"/>
        <v/>
      </c>
      <c r="CS36" s="534" t="str">
        <f t="shared" si="30"/>
        <v/>
      </c>
      <c r="CT36" s="535" t="str">
        <f t="shared" si="30"/>
        <v/>
      </c>
      <c r="CU36" s="535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5" t="str">
        <f t="shared" si="31"/>
        <v/>
      </c>
      <c r="DC36" s="535" t="str">
        <f t="shared" si="31"/>
        <v/>
      </c>
      <c r="DD36" s="535" t="str">
        <f t="shared" si="31"/>
        <v/>
      </c>
      <c r="DE36" s="535" t="str">
        <f t="shared" si="31"/>
        <v/>
      </c>
      <c r="DF36" s="535" t="str">
        <f t="shared" si="31"/>
        <v/>
      </c>
      <c r="DG36" s="534" t="str">
        <f t="shared" si="31"/>
        <v/>
      </c>
      <c r="DH36" s="533" t="str">
        <f t="shared" si="31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145" t="str">
        <f t="shared" si="29"/>
        <v/>
      </c>
      <c r="CI37" s="145" t="str">
        <f t="shared" si="29"/>
        <v/>
      </c>
      <c r="CJ37" s="145" t="str">
        <f t="shared" si="29"/>
        <v/>
      </c>
      <c r="CK37" s="81" t="str">
        <f t="shared" si="29"/>
        <v/>
      </c>
      <c r="CL37" s="81" t="str">
        <f t="shared" si="29"/>
        <v/>
      </c>
      <c r="CM37" s="81" t="str">
        <f t="shared" si="29"/>
        <v/>
      </c>
      <c r="CN37" s="81" t="str">
        <f t="shared" si="29"/>
        <v/>
      </c>
      <c r="CO37" s="81" t="str">
        <f t="shared" si="29"/>
        <v/>
      </c>
      <c r="CP37" s="80" t="str">
        <f t="shared" si="29"/>
        <v/>
      </c>
      <c r="CQ37" s="509" t="str">
        <f t="shared" si="29"/>
        <v/>
      </c>
      <c r="CR37" s="533" t="str">
        <f t="shared" si="30"/>
        <v/>
      </c>
      <c r="CS37" s="534" t="str">
        <f t="shared" si="30"/>
        <v/>
      </c>
      <c r="CT37" s="535" t="str">
        <f t="shared" si="30"/>
        <v/>
      </c>
      <c r="CU37" s="535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5" t="str">
        <f t="shared" si="31"/>
        <v/>
      </c>
      <c r="DC37" s="535" t="str">
        <f t="shared" si="31"/>
        <v/>
      </c>
      <c r="DD37" s="535" t="str">
        <f t="shared" si="31"/>
        <v/>
      </c>
      <c r="DE37" s="535" t="str">
        <f t="shared" si="31"/>
        <v/>
      </c>
      <c r="DF37" s="535" t="str">
        <f t="shared" si="31"/>
        <v/>
      </c>
      <c r="DG37" s="534" t="str">
        <f t="shared" si="31"/>
        <v/>
      </c>
      <c r="DH37" s="533" t="str">
        <f t="shared" si="31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2">IF(B35="","",B34*B35*B36*B37)</f>
        <v/>
      </c>
      <c r="C38" s="870" t="str">
        <f t="shared" si="32"/>
        <v/>
      </c>
      <c r="D38" s="870" t="str">
        <f t="shared" si="32"/>
        <v/>
      </c>
      <c r="E38" s="870" t="str">
        <f t="shared" si="32"/>
        <v/>
      </c>
      <c r="F38" s="870" t="str">
        <f t="shared" si="32"/>
        <v/>
      </c>
      <c r="G38" s="870" t="str">
        <f t="shared" si="32"/>
        <v/>
      </c>
      <c r="H38" s="870" t="str">
        <f t="shared" si="32"/>
        <v/>
      </c>
      <c r="I38" s="870" t="str">
        <f t="shared" si="32"/>
        <v/>
      </c>
      <c r="J38" s="870" t="str">
        <f t="shared" si="32"/>
        <v/>
      </c>
      <c r="K38" s="870" t="str">
        <f t="shared" si="32"/>
        <v/>
      </c>
      <c r="L38" s="870" t="str">
        <f t="shared" si="32"/>
        <v/>
      </c>
      <c r="M38" s="870" t="str">
        <f t="shared" si="32"/>
        <v/>
      </c>
      <c r="N38" s="870" t="str">
        <f t="shared" si="32"/>
        <v/>
      </c>
      <c r="O38" s="870" t="str">
        <f t="shared" si="32"/>
        <v/>
      </c>
      <c r="P38" s="870" t="str">
        <f t="shared" si="32"/>
        <v/>
      </c>
      <c r="Q38" s="870" t="str">
        <f t="shared" si="32"/>
        <v/>
      </c>
      <c r="R38" s="870" t="str">
        <f t="shared" si="32"/>
        <v/>
      </c>
      <c r="S38" s="858"/>
      <c r="T38" s="870" t="str">
        <f t="shared" ref="T38:AC38" si="33">IF(T35="","",T34*T35*T36*T37)</f>
        <v/>
      </c>
      <c r="U38" s="870" t="str">
        <f t="shared" si="33"/>
        <v/>
      </c>
      <c r="V38" s="870" t="str">
        <f t="shared" si="33"/>
        <v/>
      </c>
      <c r="W38" s="870" t="str">
        <f t="shared" si="33"/>
        <v/>
      </c>
      <c r="X38" s="870" t="str">
        <f t="shared" si="33"/>
        <v/>
      </c>
      <c r="Y38" s="870" t="str">
        <f t="shared" si="33"/>
        <v/>
      </c>
      <c r="Z38" s="870" t="str">
        <f t="shared" si="33"/>
        <v/>
      </c>
      <c r="AA38" s="870" t="str">
        <f t="shared" si="33"/>
        <v/>
      </c>
      <c r="AB38" s="870" t="str">
        <f t="shared" si="33"/>
        <v/>
      </c>
      <c r="AC38" s="870" t="str">
        <f t="shared" si="33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4">IF(AL35="","",AL34*AL35*AL36*AL37)</f>
        <v/>
      </c>
      <c r="AM38" s="870" t="str">
        <f t="shared" si="34"/>
        <v/>
      </c>
      <c r="AN38" s="870" t="str">
        <f t="shared" si="34"/>
        <v/>
      </c>
      <c r="AO38" s="870" t="str">
        <f t="shared" si="34"/>
        <v/>
      </c>
      <c r="AP38" s="870" t="str">
        <f t="shared" si="34"/>
        <v/>
      </c>
      <c r="AQ38" s="870" t="str">
        <f t="shared" si="34"/>
        <v/>
      </c>
      <c r="AR38" s="870" t="str">
        <f t="shared" si="34"/>
        <v/>
      </c>
      <c r="AS38" s="870" t="str">
        <f t="shared" si="34"/>
        <v/>
      </c>
      <c r="AT38" s="870" t="str">
        <f t="shared" si="34"/>
        <v/>
      </c>
      <c r="AU38" s="870" t="str">
        <f t="shared" si="34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5">IF(BD35="","",BD34*BD35*BD36*BD37)</f>
        <v/>
      </c>
      <c r="BE38" s="870" t="str">
        <f t="shared" si="35"/>
        <v/>
      </c>
      <c r="BF38" s="870" t="str">
        <f t="shared" si="35"/>
        <v/>
      </c>
      <c r="BG38" s="870" t="str">
        <f t="shared" si="35"/>
        <v/>
      </c>
      <c r="BH38" s="870" t="str">
        <f t="shared" si="35"/>
        <v/>
      </c>
      <c r="BI38" s="870" t="str">
        <f t="shared" si="35"/>
        <v/>
      </c>
      <c r="BJ38" s="870" t="str">
        <f t="shared" si="35"/>
        <v/>
      </c>
      <c r="BK38" s="870" t="str">
        <f t="shared" si="35"/>
        <v/>
      </c>
      <c r="BL38" s="870" t="str">
        <f t="shared" si="35"/>
        <v/>
      </c>
      <c r="BM38" s="870" t="str">
        <f t="shared" si="35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145" t="str">
        <f t="shared" si="29"/>
        <v/>
      </c>
      <c r="CI38" s="145" t="str">
        <f t="shared" si="29"/>
        <v/>
      </c>
      <c r="CJ38" s="145" t="str">
        <f t="shared" si="29"/>
        <v/>
      </c>
      <c r="CK38" s="81" t="str">
        <f t="shared" si="29"/>
        <v/>
      </c>
      <c r="CL38" s="81" t="str">
        <f t="shared" si="29"/>
        <v/>
      </c>
      <c r="CM38" s="81" t="str">
        <f t="shared" si="29"/>
        <v/>
      </c>
      <c r="CN38" s="81" t="str">
        <f t="shared" si="29"/>
        <v/>
      </c>
      <c r="CO38" s="81" t="str">
        <f t="shared" si="29"/>
        <v/>
      </c>
      <c r="CP38" s="80" t="str">
        <f t="shared" si="29"/>
        <v/>
      </c>
      <c r="CQ38" s="509" t="str">
        <f t="shared" si="29"/>
        <v/>
      </c>
      <c r="CR38" s="533" t="str">
        <f t="shared" si="30"/>
        <v/>
      </c>
      <c r="CS38" s="534" t="str">
        <f t="shared" si="30"/>
        <v/>
      </c>
      <c r="CT38" s="535" t="str">
        <f t="shared" si="30"/>
        <v/>
      </c>
      <c r="CU38" s="535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5" t="str">
        <f t="shared" si="31"/>
        <v/>
      </c>
      <c r="DC38" s="535" t="str">
        <f t="shared" si="31"/>
        <v/>
      </c>
      <c r="DD38" s="535" t="str">
        <f t="shared" si="31"/>
        <v/>
      </c>
      <c r="DE38" s="535" t="str">
        <f t="shared" si="31"/>
        <v/>
      </c>
      <c r="DF38" s="535" t="str">
        <f t="shared" si="31"/>
        <v/>
      </c>
      <c r="DG38" s="534" t="str">
        <f t="shared" si="31"/>
        <v/>
      </c>
      <c r="DH38" s="533" t="str">
        <f t="shared" si="31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145" t="str">
        <f t="shared" si="36"/>
        <v/>
      </c>
      <c r="CI40" s="145" t="str">
        <f t="shared" si="36"/>
        <v/>
      </c>
      <c r="CJ40" s="145" t="str">
        <f t="shared" si="36"/>
        <v/>
      </c>
      <c r="CK40" s="81" t="str">
        <f t="shared" si="36"/>
        <v/>
      </c>
      <c r="CL40" s="81" t="str">
        <f t="shared" si="36"/>
        <v/>
      </c>
      <c r="CM40" s="81" t="str">
        <f t="shared" si="36"/>
        <v/>
      </c>
      <c r="CN40" s="81" t="str">
        <f t="shared" si="36"/>
        <v/>
      </c>
      <c r="CO40" s="81" t="str">
        <f t="shared" si="36"/>
        <v/>
      </c>
      <c r="CP40" s="80" t="str">
        <f t="shared" si="36"/>
        <v/>
      </c>
      <c r="CQ40" s="509" t="str">
        <f t="shared" ref="CE40:CQ44" si="37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8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8"/>
        <v/>
      </c>
      <c r="CT40" s="535" t="str">
        <f t="shared" si="38"/>
        <v/>
      </c>
      <c r="CU40" s="535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5" t="str">
        <f t="shared" ref="DB40:DH44" si="39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39"/>
        <v/>
      </c>
      <c r="DD40" s="535" t="str">
        <f t="shared" si="39"/>
        <v/>
      </c>
      <c r="DE40" s="535" t="str">
        <f t="shared" si="39"/>
        <v/>
      </c>
      <c r="DF40" s="535" t="str">
        <f t="shared" si="39"/>
        <v/>
      </c>
      <c r="DG40" s="534" t="str">
        <f t="shared" si="39"/>
        <v/>
      </c>
      <c r="DH40" s="533" t="str">
        <f t="shared" si="39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145" t="str">
        <f t="shared" si="37"/>
        <v/>
      </c>
      <c r="CI41" s="145" t="str">
        <f t="shared" si="37"/>
        <v/>
      </c>
      <c r="CJ41" s="145" t="str">
        <f t="shared" si="37"/>
        <v/>
      </c>
      <c r="CK41" s="81" t="str">
        <f t="shared" si="37"/>
        <v/>
      </c>
      <c r="CL41" s="81" t="str">
        <f t="shared" si="37"/>
        <v/>
      </c>
      <c r="CM41" s="81" t="str">
        <f t="shared" si="37"/>
        <v/>
      </c>
      <c r="CN41" s="81" t="str">
        <f t="shared" si="37"/>
        <v/>
      </c>
      <c r="CO41" s="81" t="str">
        <f t="shared" si="37"/>
        <v/>
      </c>
      <c r="CP41" s="80" t="str">
        <f t="shared" si="37"/>
        <v/>
      </c>
      <c r="CQ41" s="509" t="str">
        <f t="shared" si="37"/>
        <v/>
      </c>
      <c r="CR41" s="533" t="str">
        <f t="shared" si="38"/>
        <v/>
      </c>
      <c r="CS41" s="534" t="str">
        <f t="shared" si="38"/>
        <v/>
      </c>
      <c r="CT41" s="535" t="str">
        <f t="shared" si="38"/>
        <v/>
      </c>
      <c r="CU41" s="535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5" t="str">
        <f t="shared" si="39"/>
        <v/>
      </c>
      <c r="DC41" s="535" t="str">
        <f t="shared" si="39"/>
        <v/>
      </c>
      <c r="DD41" s="535" t="str">
        <f t="shared" si="39"/>
        <v/>
      </c>
      <c r="DE41" s="535" t="str">
        <f t="shared" si="39"/>
        <v/>
      </c>
      <c r="DF41" s="535" t="str">
        <f t="shared" si="39"/>
        <v/>
      </c>
      <c r="DG41" s="534" t="str">
        <f t="shared" si="39"/>
        <v/>
      </c>
      <c r="DH41" s="533" t="str">
        <f t="shared" si="39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145" t="str">
        <f t="shared" si="37"/>
        <v/>
      </c>
      <c r="CI42" s="145" t="str">
        <f t="shared" si="37"/>
        <v/>
      </c>
      <c r="CJ42" s="145" t="str">
        <f t="shared" si="37"/>
        <v/>
      </c>
      <c r="CK42" s="81" t="str">
        <f t="shared" si="37"/>
        <v/>
      </c>
      <c r="CL42" s="81" t="str">
        <f t="shared" si="37"/>
        <v/>
      </c>
      <c r="CM42" s="81" t="str">
        <f t="shared" si="37"/>
        <v/>
      </c>
      <c r="CN42" s="81" t="str">
        <f t="shared" si="37"/>
        <v/>
      </c>
      <c r="CO42" s="81" t="str">
        <f t="shared" si="37"/>
        <v/>
      </c>
      <c r="CP42" s="80" t="str">
        <f t="shared" si="37"/>
        <v/>
      </c>
      <c r="CQ42" s="509" t="str">
        <f t="shared" si="37"/>
        <v/>
      </c>
      <c r="CR42" s="533" t="str">
        <f t="shared" si="38"/>
        <v/>
      </c>
      <c r="CS42" s="534" t="str">
        <f t="shared" si="38"/>
        <v/>
      </c>
      <c r="CT42" s="535" t="str">
        <f t="shared" si="38"/>
        <v/>
      </c>
      <c r="CU42" s="535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5" t="str">
        <f t="shared" si="39"/>
        <v/>
      </c>
      <c r="DC42" s="535" t="str">
        <f t="shared" si="39"/>
        <v/>
      </c>
      <c r="DD42" s="535" t="str">
        <f t="shared" si="39"/>
        <v/>
      </c>
      <c r="DE42" s="535" t="str">
        <f t="shared" si="39"/>
        <v/>
      </c>
      <c r="DF42" s="535" t="str">
        <f t="shared" si="39"/>
        <v/>
      </c>
      <c r="DG42" s="534" t="str">
        <f t="shared" si="39"/>
        <v/>
      </c>
      <c r="DH42" s="533" t="str">
        <f t="shared" si="39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145" t="str">
        <f t="shared" si="37"/>
        <v/>
      </c>
      <c r="CI43" s="145" t="str">
        <f t="shared" si="37"/>
        <v/>
      </c>
      <c r="CJ43" s="145" t="str">
        <f t="shared" si="37"/>
        <v/>
      </c>
      <c r="CK43" s="81" t="str">
        <f t="shared" si="37"/>
        <v/>
      </c>
      <c r="CL43" s="81" t="str">
        <f t="shared" si="37"/>
        <v/>
      </c>
      <c r="CM43" s="81" t="str">
        <f t="shared" si="37"/>
        <v/>
      </c>
      <c r="CN43" s="81" t="str">
        <f t="shared" si="37"/>
        <v/>
      </c>
      <c r="CO43" s="81" t="str">
        <f t="shared" si="37"/>
        <v/>
      </c>
      <c r="CP43" s="80" t="str">
        <f t="shared" si="37"/>
        <v/>
      </c>
      <c r="CQ43" s="509" t="str">
        <f t="shared" si="37"/>
        <v/>
      </c>
      <c r="CR43" s="533" t="str">
        <f t="shared" si="38"/>
        <v/>
      </c>
      <c r="CS43" s="534" t="str">
        <f t="shared" si="38"/>
        <v/>
      </c>
      <c r="CT43" s="535" t="str">
        <f t="shared" si="38"/>
        <v/>
      </c>
      <c r="CU43" s="535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5" t="str">
        <f t="shared" si="39"/>
        <v/>
      </c>
      <c r="DC43" s="535" t="str">
        <f t="shared" si="39"/>
        <v/>
      </c>
      <c r="DD43" s="535" t="str">
        <f t="shared" si="39"/>
        <v/>
      </c>
      <c r="DE43" s="535" t="str">
        <f t="shared" si="39"/>
        <v/>
      </c>
      <c r="DF43" s="535" t="str">
        <f t="shared" si="39"/>
        <v/>
      </c>
      <c r="DG43" s="534" t="str">
        <f t="shared" si="39"/>
        <v/>
      </c>
      <c r="DH43" s="533" t="str">
        <f t="shared" si="39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0">IF(B41="","",B40*B41*B42*B43)</f>
        <v/>
      </c>
      <c r="C44" s="870" t="str">
        <f t="shared" si="40"/>
        <v/>
      </c>
      <c r="D44" s="870" t="str">
        <f t="shared" si="40"/>
        <v/>
      </c>
      <c r="E44" s="870" t="str">
        <f t="shared" si="40"/>
        <v/>
      </c>
      <c r="F44" s="870" t="str">
        <f t="shared" si="40"/>
        <v/>
      </c>
      <c r="G44" s="870" t="str">
        <f t="shared" si="40"/>
        <v/>
      </c>
      <c r="H44" s="870" t="str">
        <f t="shared" si="40"/>
        <v/>
      </c>
      <c r="I44" s="870" t="str">
        <f t="shared" si="40"/>
        <v/>
      </c>
      <c r="J44" s="870" t="str">
        <f t="shared" si="40"/>
        <v/>
      </c>
      <c r="K44" s="870" t="str">
        <f t="shared" si="40"/>
        <v/>
      </c>
      <c r="L44" s="870" t="str">
        <f t="shared" si="40"/>
        <v/>
      </c>
      <c r="M44" s="870" t="str">
        <f t="shared" si="40"/>
        <v/>
      </c>
      <c r="N44" s="870" t="str">
        <f t="shared" si="40"/>
        <v/>
      </c>
      <c r="O44" s="870" t="str">
        <f t="shared" si="40"/>
        <v/>
      </c>
      <c r="P44" s="870" t="str">
        <f t="shared" si="40"/>
        <v/>
      </c>
      <c r="Q44" s="870" t="str">
        <f t="shared" si="40"/>
        <v/>
      </c>
      <c r="R44" s="870" t="str">
        <f t="shared" si="40"/>
        <v/>
      </c>
      <c r="S44" s="858"/>
      <c r="T44" s="870" t="str">
        <f t="shared" ref="T44:AC44" si="41">IF(T41="","",T40*T41*T42*T43)</f>
        <v/>
      </c>
      <c r="U44" s="870" t="str">
        <f t="shared" si="41"/>
        <v/>
      </c>
      <c r="V44" s="870" t="str">
        <f t="shared" si="41"/>
        <v/>
      </c>
      <c r="W44" s="870" t="str">
        <f t="shared" si="41"/>
        <v/>
      </c>
      <c r="X44" s="870" t="str">
        <f t="shared" si="41"/>
        <v/>
      </c>
      <c r="Y44" s="870" t="str">
        <f t="shared" si="41"/>
        <v/>
      </c>
      <c r="Z44" s="870" t="str">
        <f t="shared" si="41"/>
        <v/>
      </c>
      <c r="AA44" s="870" t="str">
        <f t="shared" si="41"/>
        <v/>
      </c>
      <c r="AB44" s="870" t="str">
        <f t="shared" si="41"/>
        <v/>
      </c>
      <c r="AC44" s="870" t="str">
        <f t="shared" si="41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2">IF(AL41="","",AL40*AL41*AL42*AL43)</f>
        <v/>
      </c>
      <c r="AM44" s="870" t="str">
        <f t="shared" si="42"/>
        <v/>
      </c>
      <c r="AN44" s="870" t="str">
        <f t="shared" si="42"/>
        <v/>
      </c>
      <c r="AO44" s="870" t="str">
        <f t="shared" si="42"/>
        <v/>
      </c>
      <c r="AP44" s="870" t="str">
        <f t="shared" si="42"/>
        <v/>
      </c>
      <c r="AQ44" s="870" t="str">
        <f t="shared" si="42"/>
        <v/>
      </c>
      <c r="AR44" s="870" t="str">
        <f t="shared" si="42"/>
        <v/>
      </c>
      <c r="AS44" s="870" t="str">
        <f t="shared" si="42"/>
        <v/>
      </c>
      <c r="AT44" s="870" t="str">
        <f t="shared" si="42"/>
        <v/>
      </c>
      <c r="AU44" s="870" t="str">
        <f t="shared" si="42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3">IF(BD41="","",BD40*BD41*BD42*BD43)</f>
        <v/>
      </c>
      <c r="BE44" s="870" t="str">
        <f t="shared" si="43"/>
        <v/>
      </c>
      <c r="BF44" s="870" t="str">
        <f t="shared" si="43"/>
        <v/>
      </c>
      <c r="BG44" s="870" t="str">
        <f t="shared" si="43"/>
        <v/>
      </c>
      <c r="BH44" s="870" t="str">
        <f t="shared" si="43"/>
        <v/>
      </c>
      <c r="BI44" s="870" t="str">
        <f t="shared" si="43"/>
        <v/>
      </c>
      <c r="BJ44" s="870" t="str">
        <f t="shared" si="43"/>
        <v/>
      </c>
      <c r="BK44" s="870" t="str">
        <f t="shared" si="43"/>
        <v/>
      </c>
      <c r="BL44" s="870" t="str">
        <f t="shared" si="43"/>
        <v/>
      </c>
      <c r="BM44" s="870" t="str">
        <f t="shared" si="43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145" t="str">
        <f t="shared" si="37"/>
        <v/>
      </c>
      <c r="CI44" s="145" t="str">
        <f t="shared" si="37"/>
        <v/>
      </c>
      <c r="CJ44" s="145" t="str">
        <f t="shared" si="37"/>
        <v/>
      </c>
      <c r="CK44" s="81" t="str">
        <f t="shared" si="37"/>
        <v/>
      </c>
      <c r="CL44" s="81" t="str">
        <f t="shared" si="37"/>
        <v/>
      </c>
      <c r="CM44" s="81" t="str">
        <f t="shared" si="37"/>
        <v/>
      </c>
      <c r="CN44" s="81" t="str">
        <f t="shared" si="37"/>
        <v/>
      </c>
      <c r="CO44" s="81" t="str">
        <f t="shared" si="37"/>
        <v/>
      </c>
      <c r="CP44" s="80" t="str">
        <f t="shared" si="37"/>
        <v/>
      </c>
      <c r="CQ44" s="509" t="str">
        <f t="shared" si="37"/>
        <v/>
      </c>
      <c r="CR44" s="533" t="str">
        <f t="shared" si="38"/>
        <v/>
      </c>
      <c r="CS44" s="534" t="str">
        <f t="shared" si="38"/>
        <v/>
      </c>
      <c r="CT44" s="535" t="str">
        <f t="shared" si="38"/>
        <v/>
      </c>
      <c r="CU44" s="535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5" t="str">
        <f t="shared" si="39"/>
        <v/>
      </c>
      <c r="DC44" s="535" t="str">
        <f t="shared" si="39"/>
        <v/>
      </c>
      <c r="DD44" s="535" t="str">
        <f t="shared" si="39"/>
        <v/>
      </c>
      <c r="DE44" s="535" t="str">
        <f t="shared" si="39"/>
        <v/>
      </c>
      <c r="DF44" s="535" t="str">
        <f t="shared" si="39"/>
        <v/>
      </c>
      <c r="DG44" s="534" t="str">
        <f t="shared" si="39"/>
        <v/>
      </c>
      <c r="DH44" s="533" t="str">
        <f t="shared" si="39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145" t="str">
        <f t="shared" si="44"/>
        <v/>
      </c>
      <c r="CI46" s="145" t="str">
        <f t="shared" si="44"/>
        <v/>
      </c>
      <c r="CJ46" s="145" t="str">
        <f t="shared" si="44"/>
        <v/>
      </c>
      <c r="CK46" s="81" t="str">
        <f t="shared" si="44"/>
        <v/>
      </c>
      <c r="CL46" s="81" t="str">
        <f t="shared" si="44"/>
        <v/>
      </c>
      <c r="CM46" s="81" t="str">
        <f t="shared" si="44"/>
        <v/>
      </c>
      <c r="CN46" s="81" t="str">
        <f t="shared" si="44"/>
        <v/>
      </c>
      <c r="CO46" s="81" t="str">
        <f t="shared" si="44"/>
        <v/>
      </c>
      <c r="CP46" s="80" t="str">
        <f t="shared" si="44"/>
        <v/>
      </c>
      <c r="CQ46" s="509" t="str">
        <f t="shared" ref="CE46:CQ50" si="45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6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6"/>
        <v/>
      </c>
      <c r="CT46" s="535" t="str">
        <f t="shared" si="46"/>
        <v/>
      </c>
      <c r="CU46" s="535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5" t="str">
        <f t="shared" ref="DB46:DH50" si="47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7"/>
        <v/>
      </c>
      <c r="DD46" s="535" t="str">
        <f t="shared" si="47"/>
        <v/>
      </c>
      <c r="DE46" s="535" t="str">
        <f t="shared" si="47"/>
        <v/>
      </c>
      <c r="DF46" s="535" t="str">
        <f t="shared" si="47"/>
        <v/>
      </c>
      <c r="DG46" s="534" t="str">
        <f t="shared" si="47"/>
        <v/>
      </c>
      <c r="DH46" s="533" t="str">
        <f t="shared" si="47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145" t="str">
        <f t="shared" si="45"/>
        <v/>
      </c>
      <c r="CI47" s="145" t="str">
        <f t="shared" si="45"/>
        <v/>
      </c>
      <c r="CJ47" s="145" t="str">
        <f t="shared" si="45"/>
        <v/>
      </c>
      <c r="CK47" s="81" t="str">
        <f t="shared" si="45"/>
        <v/>
      </c>
      <c r="CL47" s="81" t="str">
        <f t="shared" si="45"/>
        <v/>
      </c>
      <c r="CM47" s="81" t="str">
        <f t="shared" si="45"/>
        <v/>
      </c>
      <c r="CN47" s="81" t="str">
        <f t="shared" si="45"/>
        <v/>
      </c>
      <c r="CO47" s="81" t="str">
        <f t="shared" si="45"/>
        <v/>
      </c>
      <c r="CP47" s="80" t="str">
        <f t="shared" si="45"/>
        <v/>
      </c>
      <c r="CQ47" s="509" t="str">
        <f t="shared" si="45"/>
        <v/>
      </c>
      <c r="CR47" s="533" t="str">
        <f t="shared" si="46"/>
        <v/>
      </c>
      <c r="CS47" s="534" t="str">
        <f t="shared" si="46"/>
        <v/>
      </c>
      <c r="CT47" s="535" t="str">
        <f t="shared" si="46"/>
        <v/>
      </c>
      <c r="CU47" s="535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5" t="str">
        <f t="shared" si="47"/>
        <v/>
      </c>
      <c r="DC47" s="535" t="str">
        <f t="shared" si="47"/>
        <v/>
      </c>
      <c r="DD47" s="535" t="str">
        <f t="shared" si="47"/>
        <v/>
      </c>
      <c r="DE47" s="535" t="str">
        <f t="shared" si="47"/>
        <v/>
      </c>
      <c r="DF47" s="535" t="str">
        <f t="shared" si="47"/>
        <v/>
      </c>
      <c r="DG47" s="534" t="str">
        <f t="shared" si="47"/>
        <v/>
      </c>
      <c r="DH47" s="533" t="str">
        <f t="shared" si="47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145" t="str">
        <f t="shared" si="45"/>
        <v/>
      </c>
      <c r="CI48" s="145" t="str">
        <f t="shared" si="45"/>
        <v/>
      </c>
      <c r="CJ48" s="145" t="str">
        <f t="shared" si="45"/>
        <v/>
      </c>
      <c r="CK48" s="81" t="str">
        <f t="shared" si="45"/>
        <v/>
      </c>
      <c r="CL48" s="81" t="str">
        <f t="shared" si="45"/>
        <v/>
      </c>
      <c r="CM48" s="81" t="str">
        <f t="shared" si="45"/>
        <v/>
      </c>
      <c r="CN48" s="81" t="str">
        <f t="shared" si="45"/>
        <v/>
      </c>
      <c r="CO48" s="81" t="str">
        <f t="shared" si="45"/>
        <v/>
      </c>
      <c r="CP48" s="80" t="str">
        <f t="shared" si="45"/>
        <v/>
      </c>
      <c r="CQ48" s="509" t="str">
        <f t="shared" si="45"/>
        <v/>
      </c>
      <c r="CR48" s="533" t="str">
        <f t="shared" si="46"/>
        <v/>
      </c>
      <c r="CS48" s="534" t="str">
        <f t="shared" si="46"/>
        <v/>
      </c>
      <c r="CT48" s="535" t="str">
        <f t="shared" si="46"/>
        <v/>
      </c>
      <c r="CU48" s="535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5" t="str">
        <f t="shared" si="47"/>
        <v/>
      </c>
      <c r="DC48" s="535" t="str">
        <f t="shared" si="47"/>
        <v/>
      </c>
      <c r="DD48" s="535" t="str">
        <f t="shared" si="47"/>
        <v/>
      </c>
      <c r="DE48" s="535" t="str">
        <f t="shared" si="47"/>
        <v/>
      </c>
      <c r="DF48" s="535" t="str">
        <f t="shared" si="47"/>
        <v/>
      </c>
      <c r="DG48" s="534" t="str">
        <f t="shared" si="47"/>
        <v/>
      </c>
      <c r="DH48" s="533" t="str">
        <f t="shared" si="47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145" t="str">
        <f t="shared" si="45"/>
        <v/>
      </c>
      <c r="CI49" s="145" t="str">
        <f t="shared" si="45"/>
        <v/>
      </c>
      <c r="CJ49" s="145" t="str">
        <f t="shared" si="45"/>
        <v/>
      </c>
      <c r="CK49" s="81" t="str">
        <f t="shared" si="45"/>
        <v/>
      </c>
      <c r="CL49" s="81" t="str">
        <f t="shared" si="45"/>
        <v/>
      </c>
      <c r="CM49" s="81" t="str">
        <f t="shared" si="45"/>
        <v/>
      </c>
      <c r="CN49" s="81" t="str">
        <f t="shared" si="45"/>
        <v/>
      </c>
      <c r="CO49" s="81" t="str">
        <f t="shared" si="45"/>
        <v/>
      </c>
      <c r="CP49" s="80" t="str">
        <f t="shared" si="45"/>
        <v/>
      </c>
      <c r="CQ49" s="509" t="str">
        <f t="shared" si="45"/>
        <v/>
      </c>
      <c r="CR49" s="533" t="str">
        <f t="shared" si="46"/>
        <v/>
      </c>
      <c r="CS49" s="534" t="str">
        <f t="shared" si="46"/>
        <v/>
      </c>
      <c r="CT49" s="535" t="str">
        <f t="shared" si="46"/>
        <v/>
      </c>
      <c r="CU49" s="535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5" t="str">
        <f t="shared" si="47"/>
        <v/>
      </c>
      <c r="DC49" s="535" t="str">
        <f t="shared" si="47"/>
        <v/>
      </c>
      <c r="DD49" s="535" t="str">
        <f t="shared" si="47"/>
        <v/>
      </c>
      <c r="DE49" s="535" t="str">
        <f t="shared" si="47"/>
        <v/>
      </c>
      <c r="DF49" s="535" t="str">
        <f t="shared" si="47"/>
        <v/>
      </c>
      <c r="DG49" s="534" t="str">
        <f t="shared" si="47"/>
        <v/>
      </c>
      <c r="DH49" s="533" t="str">
        <f t="shared" si="47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8">IF(B47="","",B46*B47*B48*B49)</f>
        <v/>
      </c>
      <c r="C50" s="870" t="str">
        <f t="shared" si="48"/>
        <v/>
      </c>
      <c r="D50" s="870" t="str">
        <f t="shared" si="48"/>
        <v/>
      </c>
      <c r="E50" s="870" t="str">
        <f t="shared" si="48"/>
        <v/>
      </c>
      <c r="F50" s="870" t="str">
        <f t="shared" si="48"/>
        <v/>
      </c>
      <c r="G50" s="870" t="str">
        <f t="shared" si="48"/>
        <v/>
      </c>
      <c r="H50" s="870" t="str">
        <f t="shared" si="48"/>
        <v/>
      </c>
      <c r="I50" s="870" t="str">
        <f t="shared" si="48"/>
        <v/>
      </c>
      <c r="J50" s="870" t="str">
        <f t="shared" si="48"/>
        <v/>
      </c>
      <c r="K50" s="870" t="str">
        <f t="shared" si="48"/>
        <v/>
      </c>
      <c r="L50" s="870" t="str">
        <f t="shared" si="48"/>
        <v/>
      </c>
      <c r="M50" s="870" t="str">
        <f t="shared" si="48"/>
        <v/>
      </c>
      <c r="N50" s="870" t="str">
        <f t="shared" si="48"/>
        <v/>
      </c>
      <c r="O50" s="870" t="str">
        <f t="shared" si="48"/>
        <v/>
      </c>
      <c r="P50" s="870" t="str">
        <f t="shared" si="48"/>
        <v/>
      </c>
      <c r="Q50" s="870" t="str">
        <f t="shared" si="48"/>
        <v/>
      </c>
      <c r="R50" s="870" t="str">
        <f t="shared" si="48"/>
        <v/>
      </c>
      <c r="S50" s="858"/>
      <c r="T50" s="870" t="str">
        <f t="shared" ref="T50:AC50" si="49">IF(T47="","",T46*T47*T48*T49)</f>
        <v/>
      </c>
      <c r="U50" s="870" t="str">
        <f t="shared" si="49"/>
        <v/>
      </c>
      <c r="V50" s="870" t="str">
        <f t="shared" si="49"/>
        <v/>
      </c>
      <c r="W50" s="870" t="str">
        <f t="shared" si="49"/>
        <v/>
      </c>
      <c r="X50" s="870" t="str">
        <f t="shared" si="49"/>
        <v/>
      </c>
      <c r="Y50" s="870" t="str">
        <f t="shared" si="49"/>
        <v/>
      </c>
      <c r="Z50" s="870" t="str">
        <f t="shared" si="49"/>
        <v/>
      </c>
      <c r="AA50" s="870" t="str">
        <f t="shared" si="49"/>
        <v/>
      </c>
      <c r="AB50" s="870" t="str">
        <f t="shared" si="49"/>
        <v/>
      </c>
      <c r="AC50" s="870" t="str">
        <f t="shared" si="49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0">IF(AL47="","",AL46*AL47*AL48*AL49)</f>
        <v/>
      </c>
      <c r="AM50" s="870" t="str">
        <f t="shared" si="50"/>
        <v/>
      </c>
      <c r="AN50" s="870" t="str">
        <f t="shared" si="50"/>
        <v/>
      </c>
      <c r="AO50" s="870" t="str">
        <f t="shared" si="50"/>
        <v/>
      </c>
      <c r="AP50" s="870" t="str">
        <f t="shared" si="50"/>
        <v/>
      </c>
      <c r="AQ50" s="870" t="str">
        <f t="shared" si="50"/>
        <v/>
      </c>
      <c r="AR50" s="870" t="str">
        <f t="shared" si="50"/>
        <v/>
      </c>
      <c r="AS50" s="870" t="str">
        <f t="shared" si="50"/>
        <v/>
      </c>
      <c r="AT50" s="870" t="str">
        <f t="shared" si="50"/>
        <v/>
      </c>
      <c r="AU50" s="870" t="str">
        <f t="shared" si="50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1">IF(BD47="","",BD46*BD47*BD48*BD49)</f>
        <v/>
      </c>
      <c r="BE50" s="870" t="str">
        <f t="shared" si="51"/>
        <v/>
      </c>
      <c r="BF50" s="870" t="str">
        <f t="shared" si="51"/>
        <v/>
      </c>
      <c r="BG50" s="870" t="str">
        <f t="shared" si="51"/>
        <v/>
      </c>
      <c r="BH50" s="870" t="str">
        <f t="shared" si="51"/>
        <v/>
      </c>
      <c r="BI50" s="870" t="str">
        <f t="shared" si="51"/>
        <v/>
      </c>
      <c r="BJ50" s="870" t="str">
        <f t="shared" si="51"/>
        <v/>
      </c>
      <c r="BK50" s="870" t="str">
        <f t="shared" si="51"/>
        <v/>
      </c>
      <c r="BL50" s="870" t="str">
        <f t="shared" si="51"/>
        <v/>
      </c>
      <c r="BM50" s="870" t="str">
        <f t="shared" si="51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145" t="str">
        <f t="shared" si="45"/>
        <v/>
      </c>
      <c r="CI50" s="145" t="str">
        <f t="shared" si="45"/>
        <v/>
      </c>
      <c r="CJ50" s="145" t="str">
        <f t="shared" si="45"/>
        <v/>
      </c>
      <c r="CK50" s="81" t="str">
        <f t="shared" si="45"/>
        <v/>
      </c>
      <c r="CL50" s="81" t="str">
        <f t="shared" si="45"/>
        <v/>
      </c>
      <c r="CM50" s="81" t="str">
        <f t="shared" si="45"/>
        <v/>
      </c>
      <c r="CN50" s="81" t="str">
        <f t="shared" si="45"/>
        <v/>
      </c>
      <c r="CO50" s="81" t="str">
        <f t="shared" si="45"/>
        <v/>
      </c>
      <c r="CP50" s="80" t="str">
        <f t="shared" si="45"/>
        <v/>
      </c>
      <c r="CQ50" s="509" t="str">
        <f t="shared" si="45"/>
        <v/>
      </c>
      <c r="CR50" s="533" t="str">
        <f t="shared" si="46"/>
        <v/>
      </c>
      <c r="CS50" s="534" t="str">
        <f t="shared" si="46"/>
        <v/>
      </c>
      <c r="CT50" s="535" t="str">
        <f t="shared" si="46"/>
        <v/>
      </c>
      <c r="CU50" s="535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5" t="str">
        <f t="shared" si="47"/>
        <v/>
      </c>
      <c r="DC50" s="535" t="str">
        <f t="shared" si="47"/>
        <v/>
      </c>
      <c r="DD50" s="535" t="str">
        <f t="shared" si="47"/>
        <v/>
      </c>
      <c r="DE50" s="535" t="str">
        <f t="shared" si="47"/>
        <v/>
      </c>
      <c r="DF50" s="535" t="str">
        <f t="shared" si="47"/>
        <v/>
      </c>
      <c r="DG50" s="534" t="str">
        <f t="shared" si="47"/>
        <v/>
      </c>
      <c r="DH50" s="533" t="str">
        <f t="shared" si="47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145" t="str">
        <f t="shared" si="52"/>
        <v/>
      </c>
      <c r="CI52" s="145" t="str">
        <f t="shared" si="52"/>
        <v/>
      </c>
      <c r="CJ52" s="145" t="str">
        <f t="shared" si="52"/>
        <v/>
      </c>
      <c r="CK52" s="81" t="str">
        <f t="shared" si="52"/>
        <v/>
      </c>
      <c r="CL52" s="81" t="str">
        <f t="shared" si="52"/>
        <v/>
      </c>
      <c r="CM52" s="81" t="str">
        <f t="shared" si="52"/>
        <v/>
      </c>
      <c r="CN52" s="81" t="str">
        <f t="shared" si="52"/>
        <v/>
      </c>
      <c r="CO52" s="81" t="str">
        <f t="shared" si="52"/>
        <v/>
      </c>
      <c r="CP52" s="80" t="str">
        <f t="shared" si="52"/>
        <v/>
      </c>
      <c r="CQ52" s="509" t="str">
        <f t="shared" ref="CE52:CQ56" si="53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4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4"/>
        <v/>
      </c>
      <c r="CT52" s="535" t="str">
        <f t="shared" si="54"/>
        <v/>
      </c>
      <c r="CU52" s="535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5" t="str">
        <f t="shared" ref="DB52:DH56" si="55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5"/>
        <v/>
      </c>
      <c r="DD52" s="535" t="str">
        <f t="shared" si="55"/>
        <v/>
      </c>
      <c r="DE52" s="535" t="str">
        <f t="shared" si="55"/>
        <v/>
      </c>
      <c r="DF52" s="535" t="str">
        <f t="shared" si="55"/>
        <v/>
      </c>
      <c r="DG52" s="534" t="str">
        <f t="shared" si="55"/>
        <v/>
      </c>
      <c r="DH52" s="533" t="str">
        <f t="shared" si="55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145" t="str">
        <f t="shared" si="53"/>
        <v/>
      </c>
      <c r="CI53" s="145" t="str">
        <f t="shared" si="53"/>
        <v/>
      </c>
      <c r="CJ53" s="145" t="str">
        <f t="shared" si="53"/>
        <v/>
      </c>
      <c r="CK53" s="81" t="str">
        <f t="shared" si="53"/>
        <v/>
      </c>
      <c r="CL53" s="81" t="str">
        <f t="shared" si="53"/>
        <v/>
      </c>
      <c r="CM53" s="81" t="str">
        <f t="shared" si="53"/>
        <v/>
      </c>
      <c r="CN53" s="81" t="str">
        <f t="shared" si="53"/>
        <v/>
      </c>
      <c r="CO53" s="81" t="str">
        <f t="shared" si="53"/>
        <v/>
      </c>
      <c r="CP53" s="80" t="str">
        <f t="shared" si="53"/>
        <v/>
      </c>
      <c r="CQ53" s="509" t="str">
        <f t="shared" si="53"/>
        <v/>
      </c>
      <c r="CR53" s="533" t="str">
        <f t="shared" si="54"/>
        <v/>
      </c>
      <c r="CS53" s="534" t="str">
        <f t="shared" si="54"/>
        <v/>
      </c>
      <c r="CT53" s="535" t="str">
        <f t="shared" si="54"/>
        <v/>
      </c>
      <c r="CU53" s="535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5" t="str">
        <f t="shared" si="55"/>
        <v/>
      </c>
      <c r="DC53" s="535" t="str">
        <f t="shared" si="55"/>
        <v/>
      </c>
      <c r="DD53" s="535" t="str">
        <f t="shared" si="55"/>
        <v/>
      </c>
      <c r="DE53" s="535" t="str">
        <f t="shared" si="55"/>
        <v/>
      </c>
      <c r="DF53" s="535" t="str">
        <f t="shared" si="55"/>
        <v/>
      </c>
      <c r="DG53" s="534" t="str">
        <f t="shared" si="55"/>
        <v/>
      </c>
      <c r="DH53" s="533" t="str">
        <f t="shared" si="55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145" t="str">
        <f t="shared" si="53"/>
        <v/>
      </c>
      <c r="CI54" s="145" t="str">
        <f t="shared" si="53"/>
        <v/>
      </c>
      <c r="CJ54" s="145" t="str">
        <f t="shared" si="53"/>
        <v/>
      </c>
      <c r="CK54" s="81" t="str">
        <f t="shared" si="53"/>
        <v/>
      </c>
      <c r="CL54" s="81" t="str">
        <f t="shared" si="53"/>
        <v/>
      </c>
      <c r="CM54" s="81" t="str">
        <f t="shared" si="53"/>
        <v/>
      </c>
      <c r="CN54" s="81" t="str">
        <f t="shared" si="53"/>
        <v/>
      </c>
      <c r="CO54" s="81" t="str">
        <f t="shared" si="53"/>
        <v/>
      </c>
      <c r="CP54" s="80" t="str">
        <f t="shared" si="53"/>
        <v/>
      </c>
      <c r="CQ54" s="509" t="str">
        <f t="shared" si="53"/>
        <v/>
      </c>
      <c r="CR54" s="533" t="str">
        <f t="shared" si="54"/>
        <v/>
      </c>
      <c r="CS54" s="534" t="str">
        <f t="shared" si="54"/>
        <v/>
      </c>
      <c r="CT54" s="535" t="str">
        <f t="shared" si="54"/>
        <v/>
      </c>
      <c r="CU54" s="535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5" t="str">
        <f t="shared" si="55"/>
        <v/>
      </c>
      <c r="DC54" s="535" t="str">
        <f t="shared" si="55"/>
        <v/>
      </c>
      <c r="DD54" s="535" t="str">
        <f t="shared" si="55"/>
        <v/>
      </c>
      <c r="DE54" s="535" t="str">
        <f t="shared" si="55"/>
        <v/>
      </c>
      <c r="DF54" s="535" t="str">
        <f t="shared" si="55"/>
        <v/>
      </c>
      <c r="DG54" s="534" t="str">
        <f t="shared" si="55"/>
        <v/>
      </c>
      <c r="DH54" s="533" t="str">
        <f t="shared" si="55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145" t="str">
        <f t="shared" si="53"/>
        <v/>
      </c>
      <c r="CI55" s="145" t="str">
        <f t="shared" si="53"/>
        <v/>
      </c>
      <c r="CJ55" s="145" t="str">
        <f t="shared" si="53"/>
        <v/>
      </c>
      <c r="CK55" s="81" t="str">
        <f t="shared" si="53"/>
        <v/>
      </c>
      <c r="CL55" s="81" t="str">
        <f t="shared" si="53"/>
        <v/>
      </c>
      <c r="CM55" s="81" t="str">
        <f t="shared" si="53"/>
        <v/>
      </c>
      <c r="CN55" s="81" t="str">
        <f t="shared" si="53"/>
        <v/>
      </c>
      <c r="CO55" s="81" t="str">
        <f t="shared" si="53"/>
        <v/>
      </c>
      <c r="CP55" s="80" t="str">
        <f t="shared" si="53"/>
        <v/>
      </c>
      <c r="CQ55" s="509" t="str">
        <f t="shared" si="53"/>
        <v/>
      </c>
      <c r="CR55" s="533" t="str">
        <f t="shared" si="54"/>
        <v/>
      </c>
      <c r="CS55" s="534" t="str">
        <f t="shared" si="54"/>
        <v/>
      </c>
      <c r="CT55" s="535" t="str">
        <f t="shared" si="54"/>
        <v/>
      </c>
      <c r="CU55" s="535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5" t="str">
        <f t="shared" si="55"/>
        <v/>
      </c>
      <c r="DC55" s="535" t="str">
        <f t="shared" si="55"/>
        <v/>
      </c>
      <c r="DD55" s="535" t="str">
        <f t="shared" si="55"/>
        <v/>
      </c>
      <c r="DE55" s="535" t="str">
        <f t="shared" si="55"/>
        <v/>
      </c>
      <c r="DF55" s="535" t="str">
        <f t="shared" si="55"/>
        <v/>
      </c>
      <c r="DG55" s="534" t="str">
        <f t="shared" si="55"/>
        <v/>
      </c>
      <c r="DH55" s="533" t="str">
        <f t="shared" si="55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6">IF(B53="","",B52*B53*B54*B55)</f>
        <v/>
      </c>
      <c r="C56" s="870" t="str">
        <f t="shared" si="56"/>
        <v/>
      </c>
      <c r="D56" s="870" t="str">
        <f t="shared" si="56"/>
        <v/>
      </c>
      <c r="E56" s="870" t="str">
        <f t="shared" si="56"/>
        <v/>
      </c>
      <c r="F56" s="870" t="str">
        <f t="shared" si="56"/>
        <v/>
      </c>
      <c r="G56" s="870" t="str">
        <f t="shared" si="56"/>
        <v/>
      </c>
      <c r="H56" s="870" t="str">
        <f t="shared" si="56"/>
        <v/>
      </c>
      <c r="I56" s="870" t="str">
        <f t="shared" si="56"/>
        <v/>
      </c>
      <c r="J56" s="870" t="str">
        <f t="shared" si="56"/>
        <v/>
      </c>
      <c r="K56" s="870" t="str">
        <f t="shared" si="56"/>
        <v/>
      </c>
      <c r="L56" s="870" t="str">
        <f t="shared" si="56"/>
        <v/>
      </c>
      <c r="M56" s="870" t="str">
        <f t="shared" si="56"/>
        <v/>
      </c>
      <c r="N56" s="870" t="str">
        <f t="shared" si="56"/>
        <v/>
      </c>
      <c r="O56" s="870" t="str">
        <f t="shared" si="56"/>
        <v/>
      </c>
      <c r="P56" s="870" t="str">
        <f t="shared" si="56"/>
        <v/>
      </c>
      <c r="Q56" s="870" t="str">
        <f t="shared" si="56"/>
        <v/>
      </c>
      <c r="R56" s="870" t="str">
        <f t="shared" si="56"/>
        <v/>
      </c>
      <c r="S56" s="858"/>
      <c r="T56" s="870" t="str">
        <f t="shared" ref="T56:AC56" si="57">IF(T53="","",T52*T53*T54*T55)</f>
        <v/>
      </c>
      <c r="U56" s="870" t="str">
        <f t="shared" si="57"/>
        <v/>
      </c>
      <c r="V56" s="870" t="str">
        <f t="shared" si="57"/>
        <v/>
      </c>
      <c r="W56" s="870" t="str">
        <f t="shared" si="57"/>
        <v/>
      </c>
      <c r="X56" s="870" t="str">
        <f t="shared" si="57"/>
        <v/>
      </c>
      <c r="Y56" s="870" t="str">
        <f t="shared" si="57"/>
        <v/>
      </c>
      <c r="Z56" s="870" t="str">
        <f t="shared" si="57"/>
        <v/>
      </c>
      <c r="AA56" s="870" t="str">
        <f t="shared" si="57"/>
        <v/>
      </c>
      <c r="AB56" s="870" t="str">
        <f t="shared" si="57"/>
        <v/>
      </c>
      <c r="AC56" s="870" t="str">
        <f t="shared" si="57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8">IF(AL53="","",AL52*AL53*AL54*AL55)</f>
        <v/>
      </c>
      <c r="AM56" s="870" t="str">
        <f t="shared" si="58"/>
        <v/>
      </c>
      <c r="AN56" s="870" t="str">
        <f t="shared" si="58"/>
        <v/>
      </c>
      <c r="AO56" s="870" t="str">
        <f t="shared" si="58"/>
        <v/>
      </c>
      <c r="AP56" s="870" t="str">
        <f t="shared" si="58"/>
        <v/>
      </c>
      <c r="AQ56" s="870" t="str">
        <f t="shared" si="58"/>
        <v/>
      </c>
      <c r="AR56" s="870" t="str">
        <f t="shared" si="58"/>
        <v/>
      </c>
      <c r="AS56" s="870" t="str">
        <f t="shared" si="58"/>
        <v/>
      </c>
      <c r="AT56" s="870" t="str">
        <f t="shared" si="58"/>
        <v/>
      </c>
      <c r="AU56" s="870" t="str">
        <f t="shared" si="58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59">IF(BD53="","",BD52*BD53*BD54*BD55)</f>
        <v/>
      </c>
      <c r="BE56" s="870" t="str">
        <f t="shared" si="59"/>
        <v/>
      </c>
      <c r="BF56" s="870" t="str">
        <f t="shared" si="59"/>
        <v/>
      </c>
      <c r="BG56" s="870" t="str">
        <f t="shared" si="59"/>
        <v/>
      </c>
      <c r="BH56" s="870" t="str">
        <f t="shared" si="59"/>
        <v/>
      </c>
      <c r="BI56" s="870" t="str">
        <f t="shared" si="59"/>
        <v/>
      </c>
      <c r="BJ56" s="870" t="str">
        <f t="shared" si="59"/>
        <v/>
      </c>
      <c r="BK56" s="870" t="str">
        <f t="shared" si="59"/>
        <v/>
      </c>
      <c r="BL56" s="870" t="str">
        <f t="shared" si="59"/>
        <v/>
      </c>
      <c r="BM56" s="870" t="str">
        <f t="shared" si="59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145" t="str">
        <f t="shared" si="53"/>
        <v/>
      </c>
      <c r="CI56" s="145" t="str">
        <f t="shared" si="53"/>
        <v/>
      </c>
      <c r="CJ56" s="145" t="str">
        <f t="shared" si="53"/>
        <v/>
      </c>
      <c r="CK56" s="81" t="str">
        <f t="shared" si="53"/>
        <v/>
      </c>
      <c r="CL56" s="81" t="str">
        <f t="shared" si="53"/>
        <v/>
      </c>
      <c r="CM56" s="81" t="str">
        <f t="shared" si="53"/>
        <v/>
      </c>
      <c r="CN56" s="81" t="str">
        <f t="shared" si="53"/>
        <v/>
      </c>
      <c r="CO56" s="81" t="str">
        <f t="shared" si="53"/>
        <v/>
      </c>
      <c r="CP56" s="80" t="str">
        <f t="shared" si="53"/>
        <v/>
      </c>
      <c r="CQ56" s="509" t="str">
        <f t="shared" si="53"/>
        <v/>
      </c>
      <c r="CR56" s="533" t="str">
        <f t="shared" si="54"/>
        <v/>
      </c>
      <c r="CS56" s="534" t="str">
        <f t="shared" si="54"/>
        <v/>
      </c>
      <c r="CT56" s="535" t="str">
        <f t="shared" si="54"/>
        <v/>
      </c>
      <c r="CU56" s="535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5" t="str">
        <f t="shared" si="55"/>
        <v/>
      </c>
      <c r="DC56" s="535" t="str">
        <f t="shared" si="55"/>
        <v/>
      </c>
      <c r="DD56" s="535" t="str">
        <f t="shared" si="55"/>
        <v/>
      </c>
      <c r="DE56" s="535" t="str">
        <f t="shared" si="55"/>
        <v/>
      </c>
      <c r="DF56" s="535" t="str">
        <f t="shared" si="55"/>
        <v/>
      </c>
      <c r="DG56" s="534" t="str">
        <f t="shared" si="55"/>
        <v/>
      </c>
      <c r="DH56" s="533" t="str">
        <f t="shared" si="55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0">IF(DI58&lt;3,"",(SUM(B58:R58)-MIN(B58:R58)-MAX(B58:R58))/(DI58-2))</f>
        <v/>
      </c>
      <c r="CA58" s="864" t="str">
        <f t="shared" ref="CA58:CA63" si="61">IF(DJ58&lt;3,"",(SUM(T58:AJ58)-MIN(T58:AJ58)-MAX(T58:AJ58))/(DJ58-2))</f>
        <v/>
      </c>
      <c r="CB58" s="864" t="str">
        <f t="shared" ref="CB58:CB63" si="62">IF(DK58&lt;3,"",(SUM(AL58:BB58)-MIN(AL58:BB58)-MAX(AL58:BB58))/(DK58-2))</f>
        <v/>
      </c>
      <c r="CC58" s="865" t="str">
        <f t="shared" ref="CC58:CC63" si="63">IF(DL58&lt;3,"",(SUM(BD58:BT58)-MIN(BD58:BT58)-MAX(BD58:BT58))/(DL58-2))</f>
        <v/>
      </c>
      <c r="CD58" s="508" t="str">
        <f t="shared" ref="CD58:CP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145" t="str">
        <f t="shared" si="64"/>
        <v/>
      </c>
      <c r="CI58" s="145" t="str">
        <f t="shared" si="64"/>
        <v/>
      </c>
      <c r="CJ58" s="145" t="str">
        <f t="shared" si="64"/>
        <v/>
      </c>
      <c r="CK58" s="81" t="str">
        <f t="shared" si="64"/>
        <v/>
      </c>
      <c r="CL58" s="81" t="str">
        <f t="shared" si="64"/>
        <v/>
      </c>
      <c r="CM58" s="81" t="str">
        <f t="shared" si="64"/>
        <v/>
      </c>
      <c r="CN58" s="81" t="str">
        <f t="shared" si="64"/>
        <v/>
      </c>
      <c r="CO58" s="81" t="str">
        <f t="shared" si="64"/>
        <v/>
      </c>
      <c r="CP58" s="80" t="str">
        <f t="shared" si="64"/>
        <v/>
      </c>
      <c r="CQ58" s="509" t="str">
        <f t="shared" ref="CE58:CQ63" si="65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6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7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8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69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0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1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2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3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4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5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6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7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8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79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0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1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2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3">COUNT(B58:R58)</f>
        <v>0</v>
      </c>
      <c r="DJ58" s="822">
        <f t="shared" ref="DJ58:DJ63" si="84">COUNT(T58:AJ58)</f>
        <v>0</v>
      </c>
      <c r="DK58" s="822">
        <f t="shared" ref="DK58:DK63" si="85">COUNT(AL58:BB58)</f>
        <v>0</v>
      </c>
      <c r="DL58" s="823">
        <f t="shared" ref="DL58:DL63" si="86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0"/>
        <v/>
      </c>
      <c r="CA59" s="864" t="str">
        <f t="shared" si="61"/>
        <v/>
      </c>
      <c r="CB59" s="864" t="str">
        <f t="shared" si="62"/>
        <v/>
      </c>
      <c r="CC59" s="865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145" t="str">
        <f t="shared" si="65"/>
        <v/>
      </c>
      <c r="CI59" s="145" t="str">
        <f t="shared" si="65"/>
        <v/>
      </c>
      <c r="CJ59" s="145" t="str">
        <f t="shared" si="65"/>
        <v/>
      </c>
      <c r="CK59" s="81" t="str">
        <f t="shared" si="65"/>
        <v/>
      </c>
      <c r="CL59" s="81" t="str">
        <f t="shared" si="65"/>
        <v/>
      </c>
      <c r="CM59" s="81" t="str">
        <f t="shared" si="65"/>
        <v/>
      </c>
      <c r="CN59" s="81" t="str">
        <f t="shared" si="65"/>
        <v/>
      </c>
      <c r="CO59" s="81" t="str">
        <f t="shared" si="65"/>
        <v/>
      </c>
      <c r="CP59" s="80" t="str">
        <f t="shared" si="65"/>
        <v/>
      </c>
      <c r="CQ59" s="509" t="str">
        <f t="shared" si="65"/>
        <v/>
      </c>
      <c r="CR59" s="533" t="str">
        <f t="shared" si="66"/>
        <v/>
      </c>
      <c r="CS59" s="534" t="str">
        <f t="shared" si="67"/>
        <v/>
      </c>
      <c r="CT59" s="535" t="str">
        <f t="shared" si="68"/>
        <v/>
      </c>
      <c r="CU59" s="535" t="str">
        <f t="shared" si="69"/>
        <v/>
      </c>
      <c r="CV59" s="535" t="str">
        <f t="shared" si="70"/>
        <v/>
      </c>
      <c r="CW59" s="535" t="str">
        <f t="shared" si="71"/>
        <v/>
      </c>
      <c r="CX59" s="535" t="str">
        <f t="shared" si="72"/>
        <v/>
      </c>
      <c r="CY59" s="536" t="str">
        <f t="shared" si="73"/>
        <v/>
      </c>
      <c r="CZ59" s="536" t="str">
        <f t="shared" si="74"/>
        <v/>
      </c>
      <c r="DA59" s="536" t="str">
        <f t="shared" si="75"/>
        <v/>
      </c>
      <c r="DB59" s="535" t="str">
        <f t="shared" si="76"/>
        <v/>
      </c>
      <c r="DC59" s="535" t="str">
        <f t="shared" si="77"/>
        <v/>
      </c>
      <c r="DD59" s="535" t="str">
        <f t="shared" si="78"/>
        <v/>
      </c>
      <c r="DE59" s="535" t="str">
        <f t="shared" si="79"/>
        <v/>
      </c>
      <c r="DF59" s="535" t="str">
        <f t="shared" si="80"/>
        <v/>
      </c>
      <c r="DG59" s="534" t="str">
        <f t="shared" si="81"/>
        <v/>
      </c>
      <c r="DH59" s="533" t="str">
        <f t="shared" si="82"/>
        <v/>
      </c>
      <c r="DI59" s="866">
        <f t="shared" si="83"/>
        <v>0</v>
      </c>
      <c r="DJ59" s="822">
        <f t="shared" si="84"/>
        <v>0</v>
      </c>
      <c r="DK59" s="822">
        <f t="shared" si="85"/>
        <v>0</v>
      </c>
      <c r="DL59" s="823">
        <f t="shared" si="86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0"/>
        <v/>
      </c>
      <c r="CA60" s="864" t="str">
        <f t="shared" si="61"/>
        <v/>
      </c>
      <c r="CB60" s="864" t="str">
        <f t="shared" si="62"/>
        <v/>
      </c>
      <c r="CC60" s="865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145" t="str">
        <f t="shared" si="65"/>
        <v/>
      </c>
      <c r="CI60" s="145" t="str">
        <f t="shared" si="65"/>
        <v/>
      </c>
      <c r="CJ60" s="145" t="str">
        <f t="shared" si="65"/>
        <v/>
      </c>
      <c r="CK60" s="81" t="str">
        <f t="shared" si="65"/>
        <v/>
      </c>
      <c r="CL60" s="81" t="str">
        <f t="shared" si="65"/>
        <v/>
      </c>
      <c r="CM60" s="81" t="str">
        <f t="shared" si="65"/>
        <v/>
      </c>
      <c r="CN60" s="81" t="str">
        <f t="shared" si="65"/>
        <v/>
      </c>
      <c r="CO60" s="81" t="str">
        <f t="shared" si="65"/>
        <v/>
      </c>
      <c r="CP60" s="80" t="str">
        <f t="shared" si="65"/>
        <v/>
      </c>
      <c r="CQ60" s="509" t="str">
        <f t="shared" si="65"/>
        <v/>
      </c>
      <c r="CR60" s="533" t="str">
        <f t="shared" si="66"/>
        <v/>
      </c>
      <c r="CS60" s="534" t="str">
        <f t="shared" si="67"/>
        <v/>
      </c>
      <c r="CT60" s="535" t="str">
        <f t="shared" si="68"/>
        <v/>
      </c>
      <c r="CU60" s="535" t="str">
        <f t="shared" si="69"/>
        <v/>
      </c>
      <c r="CV60" s="535" t="str">
        <f t="shared" si="70"/>
        <v/>
      </c>
      <c r="CW60" s="535" t="str">
        <f t="shared" si="71"/>
        <v/>
      </c>
      <c r="CX60" s="535" t="str">
        <f t="shared" si="72"/>
        <v/>
      </c>
      <c r="CY60" s="536" t="str">
        <f t="shared" si="73"/>
        <v/>
      </c>
      <c r="CZ60" s="536" t="str">
        <f t="shared" si="74"/>
        <v/>
      </c>
      <c r="DA60" s="536" t="str">
        <f t="shared" si="75"/>
        <v/>
      </c>
      <c r="DB60" s="535" t="str">
        <f t="shared" si="76"/>
        <v/>
      </c>
      <c r="DC60" s="535" t="str">
        <f t="shared" si="77"/>
        <v/>
      </c>
      <c r="DD60" s="535" t="str">
        <f t="shared" si="78"/>
        <v/>
      </c>
      <c r="DE60" s="535" t="str">
        <f t="shared" si="79"/>
        <v/>
      </c>
      <c r="DF60" s="535" t="str">
        <f t="shared" si="80"/>
        <v/>
      </c>
      <c r="DG60" s="534" t="str">
        <f t="shared" si="81"/>
        <v/>
      </c>
      <c r="DH60" s="533" t="str">
        <f t="shared" si="82"/>
        <v/>
      </c>
      <c r="DI60" s="866">
        <f t="shared" si="83"/>
        <v>0</v>
      </c>
      <c r="DJ60" s="822">
        <f t="shared" si="84"/>
        <v>0</v>
      </c>
      <c r="DK60" s="822">
        <f t="shared" si="85"/>
        <v>0</v>
      </c>
      <c r="DL60" s="823">
        <f t="shared" si="86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0"/>
        <v/>
      </c>
      <c r="CA61" s="864" t="str">
        <f t="shared" si="61"/>
        <v/>
      </c>
      <c r="CB61" s="864" t="str">
        <f t="shared" si="62"/>
        <v/>
      </c>
      <c r="CC61" s="865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145" t="str">
        <f t="shared" si="65"/>
        <v/>
      </c>
      <c r="CI61" s="145" t="str">
        <f t="shared" si="65"/>
        <v/>
      </c>
      <c r="CJ61" s="145" t="str">
        <f t="shared" si="65"/>
        <v/>
      </c>
      <c r="CK61" s="81" t="str">
        <f t="shared" si="65"/>
        <v/>
      </c>
      <c r="CL61" s="81" t="str">
        <f t="shared" si="65"/>
        <v/>
      </c>
      <c r="CM61" s="81" t="str">
        <f t="shared" si="65"/>
        <v/>
      </c>
      <c r="CN61" s="81" t="str">
        <f t="shared" si="65"/>
        <v/>
      </c>
      <c r="CO61" s="81" t="str">
        <f t="shared" si="65"/>
        <v/>
      </c>
      <c r="CP61" s="80" t="str">
        <f t="shared" si="65"/>
        <v/>
      </c>
      <c r="CQ61" s="509" t="str">
        <f t="shared" si="65"/>
        <v/>
      </c>
      <c r="CR61" s="533" t="str">
        <f t="shared" si="66"/>
        <v/>
      </c>
      <c r="CS61" s="534" t="str">
        <f t="shared" si="67"/>
        <v/>
      </c>
      <c r="CT61" s="535" t="str">
        <f t="shared" si="68"/>
        <v/>
      </c>
      <c r="CU61" s="535" t="str">
        <f t="shared" si="69"/>
        <v/>
      </c>
      <c r="CV61" s="535" t="str">
        <f t="shared" si="70"/>
        <v/>
      </c>
      <c r="CW61" s="535" t="str">
        <f t="shared" si="71"/>
        <v/>
      </c>
      <c r="CX61" s="535" t="str">
        <f t="shared" si="72"/>
        <v/>
      </c>
      <c r="CY61" s="536" t="str">
        <f t="shared" si="73"/>
        <v/>
      </c>
      <c r="CZ61" s="536" t="str">
        <f t="shared" si="74"/>
        <v/>
      </c>
      <c r="DA61" s="536" t="str">
        <f t="shared" si="75"/>
        <v/>
      </c>
      <c r="DB61" s="535" t="str">
        <f t="shared" si="76"/>
        <v/>
      </c>
      <c r="DC61" s="535" t="str">
        <f t="shared" si="77"/>
        <v/>
      </c>
      <c r="DD61" s="535" t="str">
        <f t="shared" si="78"/>
        <v/>
      </c>
      <c r="DE61" s="535" t="str">
        <f t="shared" si="79"/>
        <v/>
      </c>
      <c r="DF61" s="535" t="str">
        <f t="shared" si="80"/>
        <v/>
      </c>
      <c r="DG61" s="534" t="str">
        <f t="shared" si="81"/>
        <v/>
      </c>
      <c r="DH61" s="533" t="str">
        <f t="shared" si="82"/>
        <v/>
      </c>
      <c r="DI61" s="866">
        <f t="shared" si="83"/>
        <v>0</v>
      </c>
      <c r="DJ61" s="822">
        <f t="shared" si="84"/>
        <v>0</v>
      </c>
      <c r="DK61" s="822">
        <f t="shared" si="85"/>
        <v>0</v>
      </c>
      <c r="DL61" s="823">
        <f t="shared" si="86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7">IF(B59="","",B58*B59*B60*B61)</f>
        <v/>
      </c>
      <c r="C62" s="870" t="str">
        <f t="shared" si="87"/>
        <v/>
      </c>
      <c r="D62" s="870" t="str">
        <f t="shared" si="87"/>
        <v/>
      </c>
      <c r="E62" s="870" t="str">
        <f t="shared" si="87"/>
        <v/>
      </c>
      <c r="F62" s="870" t="str">
        <f t="shared" si="87"/>
        <v/>
      </c>
      <c r="G62" s="870" t="str">
        <f t="shared" si="87"/>
        <v/>
      </c>
      <c r="H62" s="870" t="str">
        <f t="shared" si="87"/>
        <v/>
      </c>
      <c r="I62" s="870" t="str">
        <f t="shared" si="87"/>
        <v/>
      </c>
      <c r="J62" s="870" t="str">
        <f t="shared" si="87"/>
        <v/>
      </c>
      <c r="K62" s="870" t="str">
        <f t="shared" si="87"/>
        <v/>
      </c>
      <c r="L62" s="870" t="str">
        <f t="shared" si="87"/>
        <v/>
      </c>
      <c r="M62" s="870" t="str">
        <f t="shared" si="87"/>
        <v/>
      </c>
      <c r="N62" s="870" t="str">
        <f t="shared" si="87"/>
        <v/>
      </c>
      <c r="O62" s="870" t="str">
        <f t="shared" si="87"/>
        <v/>
      </c>
      <c r="P62" s="870" t="str">
        <f t="shared" si="87"/>
        <v/>
      </c>
      <c r="Q62" s="870" t="str">
        <f t="shared" si="87"/>
        <v/>
      </c>
      <c r="R62" s="870" t="str">
        <f t="shared" si="87"/>
        <v/>
      </c>
      <c r="S62" s="858"/>
      <c r="T62" s="870" t="str">
        <f t="shared" ref="T62:AC62" si="88">IF(T59="","",T58*T59*T60*T61)</f>
        <v/>
      </c>
      <c r="U62" s="870" t="str">
        <f t="shared" si="88"/>
        <v/>
      </c>
      <c r="V62" s="870" t="str">
        <f t="shared" si="88"/>
        <v/>
      </c>
      <c r="W62" s="870" t="str">
        <f t="shared" si="88"/>
        <v/>
      </c>
      <c r="X62" s="870" t="str">
        <f t="shared" si="88"/>
        <v/>
      </c>
      <c r="Y62" s="870" t="str">
        <f t="shared" si="88"/>
        <v/>
      </c>
      <c r="Z62" s="870" t="str">
        <f t="shared" si="88"/>
        <v/>
      </c>
      <c r="AA62" s="870" t="str">
        <f t="shared" si="88"/>
        <v/>
      </c>
      <c r="AB62" s="870" t="str">
        <f t="shared" si="88"/>
        <v/>
      </c>
      <c r="AC62" s="870" t="str">
        <f t="shared" si="88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89">IF(AL59="","",AL58*AL59*AL60*AL61)</f>
        <v/>
      </c>
      <c r="AM62" s="870" t="str">
        <f t="shared" si="89"/>
        <v/>
      </c>
      <c r="AN62" s="870" t="str">
        <f t="shared" si="89"/>
        <v/>
      </c>
      <c r="AO62" s="870" t="str">
        <f t="shared" si="89"/>
        <v/>
      </c>
      <c r="AP62" s="870" t="str">
        <f t="shared" si="89"/>
        <v/>
      </c>
      <c r="AQ62" s="870" t="str">
        <f t="shared" si="89"/>
        <v/>
      </c>
      <c r="AR62" s="870" t="str">
        <f t="shared" si="89"/>
        <v/>
      </c>
      <c r="AS62" s="870" t="str">
        <f t="shared" si="89"/>
        <v/>
      </c>
      <c r="AT62" s="870" t="str">
        <f t="shared" si="89"/>
        <v/>
      </c>
      <c r="AU62" s="870" t="str">
        <f t="shared" si="89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0">IF(BD59="","",BD58*BD59*BD60*BD61)</f>
        <v/>
      </c>
      <c r="BE62" s="870" t="str">
        <f t="shared" si="90"/>
        <v/>
      </c>
      <c r="BF62" s="870" t="str">
        <f t="shared" si="90"/>
        <v/>
      </c>
      <c r="BG62" s="870" t="str">
        <f t="shared" si="90"/>
        <v/>
      </c>
      <c r="BH62" s="870" t="str">
        <f t="shared" si="90"/>
        <v/>
      </c>
      <c r="BI62" s="870" t="str">
        <f t="shared" si="90"/>
        <v/>
      </c>
      <c r="BJ62" s="870" t="str">
        <f t="shared" si="90"/>
        <v/>
      </c>
      <c r="BK62" s="870" t="str">
        <f t="shared" si="90"/>
        <v/>
      </c>
      <c r="BL62" s="870" t="str">
        <f t="shared" si="90"/>
        <v/>
      </c>
      <c r="BM62" s="870" t="str">
        <f t="shared" si="90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0"/>
        <v/>
      </c>
      <c r="CA62" s="864" t="str">
        <f t="shared" si="61"/>
        <v/>
      </c>
      <c r="CB62" s="864" t="str">
        <f t="shared" si="62"/>
        <v/>
      </c>
      <c r="CC62" s="865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145" t="str">
        <f t="shared" si="65"/>
        <v/>
      </c>
      <c r="CI62" s="145" t="str">
        <f t="shared" si="65"/>
        <v/>
      </c>
      <c r="CJ62" s="145" t="str">
        <f t="shared" si="65"/>
        <v/>
      </c>
      <c r="CK62" s="81" t="str">
        <f t="shared" si="65"/>
        <v/>
      </c>
      <c r="CL62" s="81" t="str">
        <f t="shared" si="65"/>
        <v/>
      </c>
      <c r="CM62" s="81" t="str">
        <f t="shared" si="65"/>
        <v/>
      </c>
      <c r="CN62" s="81" t="str">
        <f t="shared" si="65"/>
        <v/>
      </c>
      <c r="CO62" s="81" t="str">
        <f t="shared" si="65"/>
        <v/>
      </c>
      <c r="CP62" s="80" t="str">
        <f t="shared" si="65"/>
        <v/>
      </c>
      <c r="CQ62" s="509" t="str">
        <f t="shared" si="65"/>
        <v/>
      </c>
      <c r="CR62" s="533" t="str">
        <f t="shared" si="66"/>
        <v/>
      </c>
      <c r="CS62" s="534" t="str">
        <f t="shared" si="67"/>
        <v/>
      </c>
      <c r="CT62" s="535" t="str">
        <f t="shared" si="68"/>
        <v/>
      </c>
      <c r="CU62" s="535" t="str">
        <f t="shared" si="69"/>
        <v/>
      </c>
      <c r="CV62" s="535" t="str">
        <f t="shared" si="70"/>
        <v/>
      </c>
      <c r="CW62" s="535" t="str">
        <f t="shared" si="71"/>
        <v/>
      </c>
      <c r="CX62" s="535" t="str">
        <f t="shared" si="72"/>
        <v/>
      </c>
      <c r="CY62" s="536" t="str">
        <f t="shared" si="73"/>
        <v/>
      </c>
      <c r="CZ62" s="536" t="str">
        <f t="shared" si="74"/>
        <v/>
      </c>
      <c r="DA62" s="536" t="str">
        <f t="shared" si="75"/>
        <v/>
      </c>
      <c r="DB62" s="535" t="str">
        <f t="shared" si="76"/>
        <v/>
      </c>
      <c r="DC62" s="535" t="str">
        <f t="shared" si="77"/>
        <v/>
      </c>
      <c r="DD62" s="535" t="str">
        <f t="shared" si="78"/>
        <v/>
      </c>
      <c r="DE62" s="535" t="str">
        <f t="shared" si="79"/>
        <v/>
      </c>
      <c r="DF62" s="535" t="str">
        <f t="shared" si="80"/>
        <v/>
      </c>
      <c r="DG62" s="534" t="str">
        <f t="shared" si="81"/>
        <v/>
      </c>
      <c r="DH62" s="533" t="str">
        <f t="shared" si="82"/>
        <v/>
      </c>
      <c r="DI62" s="866">
        <f t="shared" si="83"/>
        <v>0</v>
      </c>
      <c r="DJ62" s="822">
        <f t="shared" si="84"/>
        <v>0</v>
      </c>
      <c r="DK62" s="822">
        <f t="shared" si="85"/>
        <v>0</v>
      </c>
      <c r="DL62" s="823">
        <f t="shared" si="86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1">SUM(C14,C20,C26,C32,C38,C44,C50,C56,C62)</f>
        <v>0</v>
      </c>
      <c r="D63" s="877">
        <f t="shared" si="91"/>
        <v>0</v>
      </c>
      <c r="E63" s="877">
        <f t="shared" si="91"/>
        <v>0</v>
      </c>
      <c r="F63" s="877">
        <f t="shared" si="91"/>
        <v>0</v>
      </c>
      <c r="G63" s="877">
        <f t="shared" si="91"/>
        <v>0</v>
      </c>
      <c r="H63" s="877">
        <f t="shared" si="91"/>
        <v>0</v>
      </c>
      <c r="I63" s="877">
        <f t="shared" si="91"/>
        <v>0</v>
      </c>
      <c r="J63" s="877">
        <f t="shared" si="91"/>
        <v>0</v>
      </c>
      <c r="K63" s="877">
        <f t="shared" si="91"/>
        <v>0</v>
      </c>
      <c r="L63" s="877">
        <f t="shared" si="91"/>
        <v>0</v>
      </c>
      <c r="M63" s="877">
        <f t="shared" si="91"/>
        <v>0</v>
      </c>
      <c r="N63" s="877">
        <f t="shared" si="91"/>
        <v>0</v>
      </c>
      <c r="O63" s="877">
        <f t="shared" si="91"/>
        <v>0</v>
      </c>
      <c r="P63" s="877">
        <f t="shared" si="91"/>
        <v>0</v>
      </c>
      <c r="Q63" s="877">
        <f t="shared" si="91"/>
        <v>0</v>
      </c>
      <c r="R63" s="877">
        <f t="shared" si="91"/>
        <v>0</v>
      </c>
      <c r="S63" s="878"/>
      <c r="T63" s="877">
        <f t="shared" ref="T63:AC63" si="92">SUM(T14,T20,T26,T32,T38,T44,T50,T56,T62)</f>
        <v>0</v>
      </c>
      <c r="U63" s="877">
        <f t="shared" si="92"/>
        <v>0</v>
      </c>
      <c r="V63" s="877">
        <f t="shared" si="92"/>
        <v>0</v>
      </c>
      <c r="W63" s="877">
        <f t="shared" si="92"/>
        <v>0</v>
      </c>
      <c r="X63" s="877">
        <f t="shared" si="92"/>
        <v>0</v>
      </c>
      <c r="Y63" s="877">
        <f t="shared" si="92"/>
        <v>0</v>
      </c>
      <c r="Z63" s="877">
        <f t="shared" si="92"/>
        <v>0</v>
      </c>
      <c r="AA63" s="877">
        <f t="shared" si="92"/>
        <v>0</v>
      </c>
      <c r="AB63" s="877">
        <f t="shared" si="92"/>
        <v>0</v>
      </c>
      <c r="AC63" s="877">
        <f t="shared" si="92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3">SUM(AL14,AL20,AL26,AL32,AL38,AL44,AL50,AL56,AL62)</f>
        <v>0</v>
      </c>
      <c r="AM63" s="877">
        <f t="shared" si="93"/>
        <v>0</v>
      </c>
      <c r="AN63" s="877">
        <f t="shared" si="93"/>
        <v>0</v>
      </c>
      <c r="AO63" s="877">
        <f t="shared" si="93"/>
        <v>0</v>
      </c>
      <c r="AP63" s="877">
        <f t="shared" si="93"/>
        <v>0</v>
      </c>
      <c r="AQ63" s="877">
        <f t="shared" si="93"/>
        <v>0</v>
      </c>
      <c r="AR63" s="877">
        <f t="shared" si="93"/>
        <v>0</v>
      </c>
      <c r="AS63" s="877">
        <f t="shared" si="93"/>
        <v>0</v>
      </c>
      <c r="AT63" s="877">
        <f t="shared" si="93"/>
        <v>0</v>
      </c>
      <c r="AU63" s="877">
        <f t="shared" si="93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 t="shared" ref="BD63:BM63" si="94">SUM(BD14,BD20,BD26,BD32,BD38,BD44,BD50,BD56,BD62)</f>
        <v>0</v>
      </c>
      <c r="BE63" s="877">
        <f t="shared" si="94"/>
        <v>0</v>
      </c>
      <c r="BF63" s="877">
        <f t="shared" si="94"/>
        <v>0</v>
      </c>
      <c r="BG63" s="877">
        <f t="shared" si="94"/>
        <v>0</v>
      </c>
      <c r="BH63" s="877">
        <f t="shared" si="94"/>
        <v>0</v>
      </c>
      <c r="BI63" s="877">
        <f t="shared" si="94"/>
        <v>0</v>
      </c>
      <c r="BJ63" s="877">
        <f t="shared" si="94"/>
        <v>0</v>
      </c>
      <c r="BK63" s="877">
        <f t="shared" si="94"/>
        <v>0</v>
      </c>
      <c r="BL63" s="877">
        <f t="shared" si="94"/>
        <v>0</v>
      </c>
      <c r="BM63" s="877">
        <f t="shared" si="94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3780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0"/>
        <v>0</v>
      </c>
      <c r="CA63" s="864">
        <f t="shared" si="61"/>
        <v>0</v>
      </c>
      <c r="CB63" s="864">
        <f t="shared" si="62"/>
        <v>0</v>
      </c>
      <c r="CC63" s="865">
        <f t="shared" si="63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145">
        <f t="shared" si="65"/>
        <v>0</v>
      </c>
      <c r="CI63" s="145">
        <f t="shared" si="65"/>
        <v>0</v>
      </c>
      <c r="CJ63" s="145">
        <f t="shared" si="65"/>
        <v>0</v>
      </c>
      <c r="CK63" s="81">
        <f t="shared" si="65"/>
        <v>0</v>
      </c>
      <c r="CL63" s="81">
        <f t="shared" si="65"/>
        <v>0</v>
      </c>
      <c r="CM63" s="81">
        <f t="shared" si="65"/>
        <v>0</v>
      </c>
      <c r="CN63" s="81">
        <f t="shared" si="65"/>
        <v>0</v>
      </c>
      <c r="CO63" s="81" t="str">
        <f t="shared" si="65"/>
        <v/>
      </c>
      <c r="CP63" s="80" t="str">
        <f t="shared" si="65"/>
        <v/>
      </c>
      <c r="CQ63" s="509" t="str">
        <f t="shared" si="65"/>
        <v/>
      </c>
      <c r="CR63" s="533" t="str">
        <f t="shared" si="66"/>
        <v/>
      </c>
      <c r="CS63" s="534" t="str">
        <f t="shared" si="67"/>
        <v/>
      </c>
      <c r="CT63" s="535" t="str">
        <f t="shared" si="68"/>
        <v/>
      </c>
      <c r="CU63" s="535" t="str">
        <f t="shared" si="69"/>
        <v/>
      </c>
      <c r="CV63" s="535">
        <f t="shared" si="70"/>
        <v>0</v>
      </c>
      <c r="CW63" s="535">
        <f t="shared" si="71"/>
        <v>0</v>
      </c>
      <c r="CX63" s="535">
        <f t="shared" si="72"/>
        <v>0</v>
      </c>
      <c r="CY63" s="536">
        <f t="shared" si="73"/>
        <v>0</v>
      </c>
      <c r="CZ63" s="536">
        <f t="shared" si="74"/>
        <v>0</v>
      </c>
      <c r="DA63" s="536">
        <f t="shared" si="75"/>
        <v>0</v>
      </c>
      <c r="DB63" s="535">
        <f t="shared" si="76"/>
        <v>0</v>
      </c>
      <c r="DC63" s="535">
        <f t="shared" si="77"/>
        <v>0</v>
      </c>
      <c r="DD63" s="535">
        <f t="shared" si="78"/>
        <v>0</v>
      </c>
      <c r="DE63" s="535">
        <f t="shared" si="79"/>
        <v>0</v>
      </c>
      <c r="DF63" s="535" t="str">
        <f t="shared" si="80"/>
        <v/>
      </c>
      <c r="DG63" s="534" t="str">
        <f t="shared" si="81"/>
        <v/>
      </c>
      <c r="DH63" s="533" t="str">
        <f t="shared" si="82"/>
        <v/>
      </c>
      <c r="DI63" s="866">
        <f t="shared" si="83"/>
        <v>17</v>
      </c>
      <c r="DJ63" s="822">
        <f t="shared" si="84"/>
        <v>10</v>
      </c>
      <c r="DK63" s="822">
        <f t="shared" si="85"/>
        <v>10</v>
      </c>
      <c r="DL63" s="823">
        <f t="shared" si="86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5"/>
        <v/>
      </c>
      <c r="CF67" s="81" t="str">
        <f t="shared" si="95"/>
        <v/>
      </c>
      <c r="CG67" s="81" t="str">
        <f t="shared" si="95"/>
        <v/>
      </c>
      <c r="CH67" s="145" t="str">
        <f t="shared" si="95"/>
        <v/>
      </c>
      <c r="CI67" s="145" t="str">
        <f t="shared" si="95"/>
        <v/>
      </c>
      <c r="CJ67" s="145" t="str">
        <f t="shared" si="95"/>
        <v/>
      </c>
      <c r="CK67" s="81" t="str">
        <f t="shared" si="95"/>
        <v/>
      </c>
      <c r="CL67" s="81" t="str">
        <f t="shared" si="95"/>
        <v/>
      </c>
      <c r="CM67" s="81" t="str">
        <f t="shared" si="95"/>
        <v/>
      </c>
      <c r="CN67" s="81" t="str">
        <f t="shared" si="95"/>
        <v/>
      </c>
      <c r="CO67" s="81" t="str">
        <f t="shared" si="95"/>
        <v/>
      </c>
      <c r="CP67" s="80" t="str">
        <f t="shared" si="95"/>
        <v/>
      </c>
      <c r="CQ67" s="509" t="str">
        <f t="shared" ref="CE67:CQ71" si="96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7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7"/>
        <v/>
      </c>
      <c r="CT67" s="535" t="str">
        <f t="shared" si="97"/>
        <v/>
      </c>
      <c r="CU67" s="535" t="str">
        <f t="shared" si="97"/>
        <v/>
      </c>
      <c r="CV67" s="535" t="str">
        <f t="shared" si="97"/>
        <v/>
      </c>
      <c r="CW67" s="535" t="str">
        <f t="shared" si="97"/>
        <v/>
      </c>
      <c r="CX67" s="535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5" t="str">
        <f t="shared" ref="DB67:DH71" si="98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98"/>
        <v/>
      </c>
      <c r="DD67" s="535" t="str">
        <f t="shared" si="98"/>
        <v/>
      </c>
      <c r="DE67" s="535" t="str">
        <f t="shared" si="98"/>
        <v/>
      </c>
      <c r="DF67" s="535" t="str">
        <f t="shared" si="98"/>
        <v/>
      </c>
      <c r="DG67" s="534" t="str">
        <f t="shared" si="98"/>
        <v/>
      </c>
      <c r="DH67" s="533" t="str">
        <f t="shared" si="98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6"/>
        <v/>
      </c>
      <c r="CF68" s="81" t="str">
        <f t="shared" si="96"/>
        <v/>
      </c>
      <c r="CG68" s="81" t="str">
        <f t="shared" si="96"/>
        <v/>
      </c>
      <c r="CH68" s="145" t="str">
        <f t="shared" si="96"/>
        <v/>
      </c>
      <c r="CI68" s="145" t="str">
        <f t="shared" si="96"/>
        <v/>
      </c>
      <c r="CJ68" s="145" t="str">
        <f t="shared" si="96"/>
        <v/>
      </c>
      <c r="CK68" s="81" t="str">
        <f t="shared" si="96"/>
        <v/>
      </c>
      <c r="CL68" s="81" t="str">
        <f t="shared" si="96"/>
        <v/>
      </c>
      <c r="CM68" s="81" t="str">
        <f t="shared" si="96"/>
        <v/>
      </c>
      <c r="CN68" s="81" t="str">
        <f t="shared" si="96"/>
        <v/>
      </c>
      <c r="CO68" s="81" t="str">
        <f t="shared" si="96"/>
        <v/>
      </c>
      <c r="CP68" s="80" t="str">
        <f t="shared" si="96"/>
        <v/>
      </c>
      <c r="CQ68" s="509" t="str">
        <f t="shared" si="96"/>
        <v/>
      </c>
      <c r="CR68" s="533" t="str">
        <f t="shared" si="97"/>
        <v/>
      </c>
      <c r="CS68" s="534" t="str">
        <f t="shared" si="97"/>
        <v/>
      </c>
      <c r="CT68" s="535" t="str">
        <f t="shared" si="97"/>
        <v/>
      </c>
      <c r="CU68" s="535" t="str">
        <f t="shared" si="97"/>
        <v/>
      </c>
      <c r="CV68" s="535" t="str">
        <f t="shared" si="97"/>
        <v/>
      </c>
      <c r="CW68" s="535" t="str">
        <f t="shared" si="97"/>
        <v/>
      </c>
      <c r="CX68" s="535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5" t="str">
        <f t="shared" si="98"/>
        <v/>
      </c>
      <c r="DF68" s="535" t="str">
        <f t="shared" si="98"/>
        <v/>
      </c>
      <c r="DG68" s="534" t="str">
        <f t="shared" si="98"/>
        <v/>
      </c>
      <c r="DH68" s="533" t="str">
        <f t="shared" si="98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6"/>
        <v/>
      </c>
      <c r="CF69" s="81" t="str">
        <f t="shared" si="96"/>
        <v/>
      </c>
      <c r="CG69" s="81" t="str">
        <f t="shared" si="96"/>
        <v/>
      </c>
      <c r="CH69" s="145" t="str">
        <f t="shared" si="96"/>
        <v/>
      </c>
      <c r="CI69" s="145" t="str">
        <f t="shared" si="96"/>
        <v/>
      </c>
      <c r="CJ69" s="145" t="str">
        <f t="shared" si="96"/>
        <v/>
      </c>
      <c r="CK69" s="81" t="str">
        <f t="shared" si="96"/>
        <v/>
      </c>
      <c r="CL69" s="81" t="str">
        <f t="shared" si="96"/>
        <v/>
      </c>
      <c r="CM69" s="81" t="str">
        <f t="shared" si="96"/>
        <v/>
      </c>
      <c r="CN69" s="81" t="str">
        <f t="shared" si="96"/>
        <v/>
      </c>
      <c r="CO69" s="81" t="str">
        <f t="shared" si="96"/>
        <v/>
      </c>
      <c r="CP69" s="80" t="str">
        <f t="shared" si="96"/>
        <v/>
      </c>
      <c r="CQ69" s="509" t="str">
        <f t="shared" si="96"/>
        <v/>
      </c>
      <c r="CR69" s="533" t="str">
        <f t="shared" si="97"/>
        <v/>
      </c>
      <c r="CS69" s="534" t="str">
        <f t="shared" si="97"/>
        <v/>
      </c>
      <c r="CT69" s="535" t="str">
        <f t="shared" si="97"/>
        <v/>
      </c>
      <c r="CU69" s="535" t="str">
        <f t="shared" si="97"/>
        <v/>
      </c>
      <c r="CV69" s="535" t="str">
        <f t="shared" si="97"/>
        <v/>
      </c>
      <c r="CW69" s="535" t="str">
        <f t="shared" si="97"/>
        <v/>
      </c>
      <c r="CX69" s="535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5" t="str">
        <f t="shared" si="98"/>
        <v/>
      </c>
      <c r="DF69" s="535" t="str">
        <f t="shared" si="98"/>
        <v/>
      </c>
      <c r="DG69" s="534" t="str">
        <f t="shared" si="98"/>
        <v/>
      </c>
      <c r="DH69" s="533" t="str">
        <f t="shared" si="98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6"/>
        <v/>
      </c>
      <c r="CF70" s="81" t="str">
        <f t="shared" si="96"/>
        <v/>
      </c>
      <c r="CG70" s="81" t="str">
        <f t="shared" si="96"/>
        <v/>
      </c>
      <c r="CH70" s="145" t="str">
        <f t="shared" si="96"/>
        <v/>
      </c>
      <c r="CI70" s="145" t="str">
        <f t="shared" si="96"/>
        <v/>
      </c>
      <c r="CJ70" s="145" t="str">
        <f t="shared" si="96"/>
        <v/>
      </c>
      <c r="CK70" s="81" t="str">
        <f t="shared" si="96"/>
        <v/>
      </c>
      <c r="CL70" s="81" t="str">
        <f t="shared" si="96"/>
        <v/>
      </c>
      <c r="CM70" s="81" t="str">
        <f t="shared" si="96"/>
        <v/>
      </c>
      <c r="CN70" s="81" t="str">
        <f t="shared" si="96"/>
        <v/>
      </c>
      <c r="CO70" s="81" t="str">
        <f t="shared" si="96"/>
        <v/>
      </c>
      <c r="CP70" s="80" t="str">
        <f t="shared" si="96"/>
        <v/>
      </c>
      <c r="CQ70" s="509" t="str">
        <f t="shared" si="96"/>
        <v/>
      </c>
      <c r="CR70" s="533" t="str">
        <f t="shared" si="97"/>
        <v/>
      </c>
      <c r="CS70" s="534" t="str">
        <f t="shared" si="97"/>
        <v/>
      </c>
      <c r="CT70" s="535" t="str">
        <f t="shared" si="97"/>
        <v/>
      </c>
      <c r="CU70" s="535" t="str">
        <f t="shared" si="97"/>
        <v/>
      </c>
      <c r="CV70" s="535" t="str">
        <f t="shared" si="97"/>
        <v/>
      </c>
      <c r="CW70" s="535" t="str">
        <f t="shared" si="97"/>
        <v/>
      </c>
      <c r="CX70" s="535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5" t="str">
        <f t="shared" si="98"/>
        <v/>
      </c>
      <c r="DF70" s="535" t="str">
        <f t="shared" si="98"/>
        <v/>
      </c>
      <c r="DG70" s="534" t="str">
        <f t="shared" si="98"/>
        <v/>
      </c>
      <c r="DH70" s="533" t="str">
        <f t="shared" si="98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99">IF(B68="","",B67*B68*B69*B70)</f>
        <v/>
      </c>
      <c r="C71" s="870" t="str">
        <f t="shared" si="99"/>
        <v/>
      </c>
      <c r="D71" s="870" t="str">
        <f t="shared" si="99"/>
        <v/>
      </c>
      <c r="E71" s="870" t="str">
        <f t="shared" si="99"/>
        <v/>
      </c>
      <c r="F71" s="870" t="str">
        <f t="shared" si="99"/>
        <v/>
      </c>
      <c r="G71" s="870" t="str">
        <f t="shared" si="99"/>
        <v/>
      </c>
      <c r="H71" s="870" t="str">
        <f t="shared" si="99"/>
        <v/>
      </c>
      <c r="I71" s="870" t="str">
        <f t="shared" si="99"/>
        <v/>
      </c>
      <c r="J71" s="870" t="str">
        <f t="shared" si="99"/>
        <v/>
      </c>
      <c r="K71" s="870" t="str">
        <f t="shared" si="99"/>
        <v/>
      </c>
      <c r="L71" s="870" t="str">
        <f t="shared" si="99"/>
        <v/>
      </c>
      <c r="M71" s="870" t="str">
        <f t="shared" si="99"/>
        <v/>
      </c>
      <c r="N71" s="870" t="str">
        <f t="shared" si="99"/>
        <v/>
      </c>
      <c r="O71" s="870" t="str">
        <f t="shared" si="99"/>
        <v/>
      </c>
      <c r="P71" s="870" t="str">
        <f t="shared" si="99"/>
        <v/>
      </c>
      <c r="Q71" s="870" t="str">
        <f t="shared" si="99"/>
        <v/>
      </c>
      <c r="R71" s="870" t="str">
        <f t="shared" si="99"/>
        <v/>
      </c>
      <c r="S71" s="858"/>
      <c r="T71" s="870" t="str">
        <f t="shared" ref="T71:AC71" si="100">IF(T68="","",T67*T68*T69*T70)</f>
        <v/>
      </c>
      <c r="U71" s="870" t="str">
        <f t="shared" si="100"/>
        <v/>
      </c>
      <c r="V71" s="870" t="str">
        <f t="shared" si="100"/>
        <v/>
      </c>
      <c r="W71" s="870" t="str">
        <f t="shared" si="100"/>
        <v/>
      </c>
      <c r="X71" s="870" t="str">
        <f t="shared" si="100"/>
        <v/>
      </c>
      <c r="Y71" s="870" t="str">
        <f t="shared" si="100"/>
        <v/>
      </c>
      <c r="Z71" s="870" t="str">
        <f t="shared" si="100"/>
        <v/>
      </c>
      <c r="AA71" s="870" t="str">
        <f t="shared" si="100"/>
        <v/>
      </c>
      <c r="AB71" s="870" t="str">
        <f t="shared" si="100"/>
        <v/>
      </c>
      <c r="AC71" s="870" t="str">
        <f t="shared" si="100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1">IF(AL68="","",AL67*AL68*AL69*AL70)</f>
        <v/>
      </c>
      <c r="AM71" s="870" t="str">
        <f t="shared" si="101"/>
        <v/>
      </c>
      <c r="AN71" s="870" t="str">
        <f t="shared" si="101"/>
        <v/>
      </c>
      <c r="AO71" s="870" t="str">
        <f t="shared" si="101"/>
        <v/>
      </c>
      <c r="AP71" s="870" t="str">
        <f t="shared" si="101"/>
        <v/>
      </c>
      <c r="AQ71" s="870" t="str">
        <f t="shared" si="101"/>
        <v/>
      </c>
      <c r="AR71" s="870" t="str">
        <f t="shared" si="101"/>
        <v/>
      </c>
      <c r="AS71" s="870" t="str">
        <f t="shared" si="101"/>
        <v/>
      </c>
      <c r="AT71" s="870" t="str">
        <f t="shared" si="101"/>
        <v/>
      </c>
      <c r="AU71" s="870" t="str">
        <f t="shared" si="101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2">IF(BD68="","",BD67*BD68*BD69*BD70)</f>
        <v/>
      </c>
      <c r="BE71" s="870" t="str">
        <f t="shared" si="102"/>
        <v/>
      </c>
      <c r="BF71" s="870" t="str">
        <f t="shared" si="102"/>
        <v/>
      </c>
      <c r="BG71" s="870" t="str">
        <f t="shared" si="102"/>
        <v/>
      </c>
      <c r="BH71" s="870" t="str">
        <f t="shared" si="102"/>
        <v/>
      </c>
      <c r="BI71" s="870" t="str">
        <f t="shared" si="102"/>
        <v/>
      </c>
      <c r="BJ71" s="870" t="str">
        <f t="shared" si="102"/>
        <v/>
      </c>
      <c r="BK71" s="870" t="str">
        <f t="shared" si="102"/>
        <v/>
      </c>
      <c r="BL71" s="870" t="str">
        <f t="shared" si="102"/>
        <v/>
      </c>
      <c r="BM71" s="870" t="str">
        <f t="shared" si="102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6"/>
        <v/>
      </c>
      <c r="CF71" s="81" t="str">
        <f t="shared" si="96"/>
        <v/>
      </c>
      <c r="CG71" s="81" t="str">
        <f t="shared" si="96"/>
        <v/>
      </c>
      <c r="CH71" s="145" t="str">
        <f t="shared" si="96"/>
        <v/>
      </c>
      <c r="CI71" s="145" t="str">
        <f t="shared" si="96"/>
        <v/>
      </c>
      <c r="CJ71" s="145" t="str">
        <f t="shared" si="96"/>
        <v/>
      </c>
      <c r="CK71" s="81" t="str">
        <f t="shared" si="96"/>
        <v/>
      </c>
      <c r="CL71" s="81" t="str">
        <f t="shared" si="96"/>
        <v/>
      </c>
      <c r="CM71" s="81" t="str">
        <f t="shared" si="96"/>
        <v/>
      </c>
      <c r="CN71" s="81" t="str">
        <f t="shared" si="96"/>
        <v/>
      </c>
      <c r="CO71" s="81" t="str">
        <f t="shared" si="96"/>
        <v/>
      </c>
      <c r="CP71" s="80" t="str">
        <f t="shared" si="96"/>
        <v/>
      </c>
      <c r="CQ71" s="509" t="str">
        <f t="shared" si="96"/>
        <v/>
      </c>
      <c r="CR71" s="533" t="str">
        <f t="shared" si="97"/>
        <v/>
      </c>
      <c r="CS71" s="534" t="str">
        <f t="shared" si="97"/>
        <v/>
      </c>
      <c r="CT71" s="535" t="str">
        <f t="shared" si="97"/>
        <v/>
      </c>
      <c r="CU71" s="535" t="str">
        <f t="shared" si="97"/>
        <v/>
      </c>
      <c r="CV71" s="535" t="str">
        <f t="shared" si="97"/>
        <v/>
      </c>
      <c r="CW71" s="535" t="str">
        <f t="shared" si="97"/>
        <v/>
      </c>
      <c r="CX71" s="535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5" t="str">
        <f t="shared" si="98"/>
        <v/>
      </c>
      <c r="DF71" s="535" t="str">
        <f t="shared" si="98"/>
        <v/>
      </c>
      <c r="DG71" s="534" t="str">
        <f t="shared" si="98"/>
        <v/>
      </c>
      <c r="DH71" s="533" t="str">
        <f t="shared" si="98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3"/>
        <v/>
      </c>
      <c r="CF73" s="81" t="str">
        <f t="shared" si="103"/>
        <v/>
      </c>
      <c r="CG73" s="81" t="str">
        <f t="shared" si="103"/>
        <v/>
      </c>
      <c r="CH73" s="145" t="str">
        <f t="shared" si="103"/>
        <v/>
      </c>
      <c r="CI73" s="145" t="str">
        <f t="shared" si="103"/>
        <v/>
      </c>
      <c r="CJ73" s="145" t="str">
        <f t="shared" si="103"/>
        <v/>
      </c>
      <c r="CK73" s="81" t="str">
        <f t="shared" si="103"/>
        <v/>
      </c>
      <c r="CL73" s="81" t="str">
        <f t="shared" si="103"/>
        <v/>
      </c>
      <c r="CM73" s="81" t="str">
        <f t="shared" si="103"/>
        <v/>
      </c>
      <c r="CN73" s="81" t="str">
        <f t="shared" si="103"/>
        <v/>
      </c>
      <c r="CO73" s="81" t="str">
        <f t="shared" si="103"/>
        <v/>
      </c>
      <c r="CP73" s="80" t="str">
        <f t="shared" si="103"/>
        <v/>
      </c>
      <c r="CQ73" s="509" t="str">
        <f t="shared" ref="CE73:CQ77" si="104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5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5"/>
        <v/>
      </c>
      <c r="CT73" s="535" t="str">
        <f t="shared" si="105"/>
        <v/>
      </c>
      <c r="CU73" s="535" t="str">
        <f t="shared" si="105"/>
        <v/>
      </c>
      <c r="CV73" s="535" t="str">
        <f t="shared" si="105"/>
        <v/>
      </c>
      <c r="CW73" s="535" t="str">
        <f t="shared" si="105"/>
        <v/>
      </c>
      <c r="CX73" s="535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5" t="str">
        <f t="shared" ref="DB73:DH77" si="106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6"/>
        <v/>
      </c>
      <c r="DD73" s="535" t="str">
        <f t="shared" si="106"/>
        <v/>
      </c>
      <c r="DE73" s="535" t="str">
        <f t="shared" si="106"/>
        <v/>
      </c>
      <c r="DF73" s="535" t="str">
        <f t="shared" si="106"/>
        <v/>
      </c>
      <c r="DG73" s="534" t="str">
        <f t="shared" si="106"/>
        <v/>
      </c>
      <c r="DH73" s="533" t="str">
        <f t="shared" si="106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4"/>
        <v/>
      </c>
      <c r="CF74" s="81" t="str">
        <f t="shared" si="104"/>
        <v/>
      </c>
      <c r="CG74" s="81" t="str">
        <f t="shared" si="104"/>
        <v/>
      </c>
      <c r="CH74" s="145" t="str">
        <f t="shared" si="104"/>
        <v/>
      </c>
      <c r="CI74" s="145" t="str">
        <f t="shared" si="104"/>
        <v/>
      </c>
      <c r="CJ74" s="145" t="str">
        <f t="shared" si="104"/>
        <v/>
      </c>
      <c r="CK74" s="81" t="str">
        <f t="shared" si="104"/>
        <v/>
      </c>
      <c r="CL74" s="81" t="str">
        <f t="shared" si="104"/>
        <v/>
      </c>
      <c r="CM74" s="81" t="str">
        <f t="shared" si="104"/>
        <v/>
      </c>
      <c r="CN74" s="81" t="str">
        <f t="shared" si="104"/>
        <v/>
      </c>
      <c r="CO74" s="81" t="str">
        <f t="shared" si="104"/>
        <v/>
      </c>
      <c r="CP74" s="80" t="str">
        <f t="shared" si="104"/>
        <v/>
      </c>
      <c r="CQ74" s="509" t="str">
        <f t="shared" si="104"/>
        <v/>
      </c>
      <c r="CR74" s="533" t="str">
        <f t="shared" si="105"/>
        <v/>
      </c>
      <c r="CS74" s="534" t="str">
        <f t="shared" si="105"/>
        <v/>
      </c>
      <c r="CT74" s="535" t="str">
        <f t="shared" si="105"/>
        <v/>
      </c>
      <c r="CU74" s="535" t="str">
        <f t="shared" si="105"/>
        <v/>
      </c>
      <c r="CV74" s="535" t="str">
        <f t="shared" si="105"/>
        <v/>
      </c>
      <c r="CW74" s="535" t="str">
        <f t="shared" si="105"/>
        <v/>
      </c>
      <c r="CX74" s="535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5" t="str">
        <f t="shared" si="106"/>
        <v/>
      </c>
      <c r="DF74" s="535" t="str">
        <f t="shared" si="106"/>
        <v/>
      </c>
      <c r="DG74" s="534" t="str">
        <f t="shared" si="106"/>
        <v/>
      </c>
      <c r="DH74" s="533" t="str">
        <f t="shared" si="106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4"/>
        <v/>
      </c>
      <c r="CF75" s="81" t="str">
        <f t="shared" si="104"/>
        <v/>
      </c>
      <c r="CG75" s="81" t="str">
        <f t="shared" si="104"/>
        <v/>
      </c>
      <c r="CH75" s="145" t="str">
        <f t="shared" si="104"/>
        <v/>
      </c>
      <c r="CI75" s="145" t="str">
        <f t="shared" si="104"/>
        <v/>
      </c>
      <c r="CJ75" s="145" t="str">
        <f t="shared" si="104"/>
        <v/>
      </c>
      <c r="CK75" s="81" t="str">
        <f t="shared" si="104"/>
        <v/>
      </c>
      <c r="CL75" s="81" t="str">
        <f t="shared" si="104"/>
        <v/>
      </c>
      <c r="CM75" s="81" t="str">
        <f t="shared" si="104"/>
        <v/>
      </c>
      <c r="CN75" s="81" t="str">
        <f t="shared" si="104"/>
        <v/>
      </c>
      <c r="CO75" s="81" t="str">
        <f t="shared" si="104"/>
        <v/>
      </c>
      <c r="CP75" s="80" t="str">
        <f t="shared" si="104"/>
        <v/>
      </c>
      <c r="CQ75" s="509" t="str">
        <f t="shared" si="104"/>
        <v/>
      </c>
      <c r="CR75" s="533" t="str">
        <f t="shared" si="105"/>
        <v/>
      </c>
      <c r="CS75" s="534" t="str">
        <f t="shared" si="105"/>
        <v/>
      </c>
      <c r="CT75" s="535" t="str">
        <f t="shared" si="105"/>
        <v/>
      </c>
      <c r="CU75" s="535" t="str">
        <f t="shared" si="105"/>
        <v/>
      </c>
      <c r="CV75" s="535" t="str">
        <f t="shared" si="105"/>
        <v/>
      </c>
      <c r="CW75" s="535" t="str">
        <f t="shared" si="105"/>
        <v/>
      </c>
      <c r="CX75" s="535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5" t="str">
        <f t="shared" si="106"/>
        <v/>
      </c>
      <c r="DF75" s="535" t="str">
        <f t="shared" si="106"/>
        <v/>
      </c>
      <c r="DG75" s="534" t="str">
        <f t="shared" si="106"/>
        <v/>
      </c>
      <c r="DH75" s="533" t="str">
        <f t="shared" si="106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4"/>
        <v/>
      </c>
      <c r="CF76" s="81" t="str">
        <f t="shared" si="104"/>
        <v/>
      </c>
      <c r="CG76" s="81" t="str">
        <f t="shared" si="104"/>
        <v/>
      </c>
      <c r="CH76" s="145" t="str">
        <f t="shared" si="104"/>
        <v/>
      </c>
      <c r="CI76" s="145" t="str">
        <f t="shared" si="104"/>
        <v/>
      </c>
      <c r="CJ76" s="145" t="str">
        <f t="shared" si="104"/>
        <v/>
      </c>
      <c r="CK76" s="81" t="str">
        <f t="shared" si="104"/>
        <v/>
      </c>
      <c r="CL76" s="81" t="str">
        <f t="shared" si="104"/>
        <v/>
      </c>
      <c r="CM76" s="81" t="str">
        <f t="shared" si="104"/>
        <v/>
      </c>
      <c r="CN76" s="81" t="str">
        <f t="shared" si="104"/>
        <v/>
      </c>
      <c r="CO76" s="81" t="str">
        <f t="shared" si="104"/>
        <v/>
      </c>
      <c r="CP76" s="80" t="str">
        <f t="shared" si="104"/>
        <v/>
      </c>
      <c r="CQ76" s="509" t="str">
        <f t="shared" si="104"/>
        <v/>
      </c>
      <c r="CR76" s="533" t="str">
        <f t="shared" si="105"/>
        <v/>
      </c>
      <c r="CS76" s="534" t="str">
        <f t="shared" si="105"/>
        <v/>
      </c>
      <c r="CT76" s="535" t="str">
        <f t="shared" si="105"/>
        <v/>
      </c>
      <c r="CU76" s="535" t="str">
        <f t="shared" si="105"/>
        <v/>
      </c>
      <c r="CV76" s="535" t="str">
        <f t="shared" si="105"/>
        <v/>
      </c>
      <c r="CW76" s="535" t="str">
        <f t="shared" si="105"/>
        <v/>
      </c>
      <c r="CX76" s="535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5" t="str">
        <f t="shared" si="106"/>
        <v/>
      </c>
      <c r="DF76" s="535" t="str">
        <f t="shared" si="106"/>
        <v/>
      </c>
      <c r="DG76" s="534" t="str">
        <f t="shared" si="106"/>
        <v/>
      </c>
      <c r="DH76" s="533" t="str">
        <f t="shared" si="106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7">IF(B74="","",B73*B74*B75*B76)</f>
        <v/>
      </c>
      <c r="C77" s="870" t="str">
        <f t="shared" si="107"/>
        <v/>
      </c>
      <c r="D77" s="870" t="str">
        <f t="shared" si="107"/>
        <v/>
      </c>
      <c r="E77" s="870" t="str">
        <f t="shared" si="107"/>
        <v/>
      </c>
      <c r="F77" s="870" t="str">
        <f t="shared" si="107"/>
        <v/>
      </c>
      <c r="G77" s="870" t="str">
        <f t="shared" si="107"/>
        <v/>
      </c>
      <c r="H77" s="870" t="str">
        <f t="shared" si="107"/>
        <v/>
      </c>
      <c r="I77" s="870" t="str">
        <f t="shared" si="107"/>
        <v/>
      </c>
      <c r="J77" s="870" t="str">
        <f t="shared" si="107"/>
        <v/>
      </c>
      <c r="K77" s="870" t="str">
        <f t="shared" si="107"/>
        <v/>
      </c>
      <c r="L77" s="870" t="str">
        <f t="shared" si="107"/>
        <v/>
      </c>
      <c r="M77" s="870" t="str">
        <f t="shared" si="107"/>
        <v/>
      </c>
      <c r="N77" s="870" t="str">
        <f t="shared" si="107"/>
        <v/>
      </c>
      <c r="O77" s="870" t="str">
        <f t="shared" si="107"/>
        <v/>
      </c>
      <c r="P77" s="870" t="str">
        <f t="shared" si="107"/>
        <v/>
      </c>
      <c r="Q77" s="870" t="str">
        <f t="shared" si="107"/>
        <v/>
      </c>
      <c r="R77" s="870" t="str">
        <f t="shared" si="107"/>
        <v/>
      </c>
      <c r="S77" s="858"/>
      <c r="T77" s="870" t="str">
        <f t="shared" ref="T77:AC77" si="108">IF(T74="","",T73*T74*T75*T76)</f>
        <v/>
      </c>
      <c r="U77" s="870" t="str">
        <f t="shared" si="108"/>
        <v/>
      </c>
      <c r="V77" s="870" t="str">
        <f t="shared" si="108"/>
        <v/>
      </c>
      <c r="W77" s="870" t="str">
        <f t="shared" si="108"/>
        <v/>
      </c>
      <c r="X77" s="870" t="str">
        <f t="shared" si="108"/>
        <v/>
      </c>
      <c r="Y77" s="870" t="str">
        <f t="shared" si="108"/>
        <v/>
      </c>
      <c r="Z77" s="870" t="str">
        <f t="shared" si="108"/>
        <v/>
      </c>
      <c r="AA77" s="870" t="str">
        <f t="shared" si="108"/>
        <v/>
      </c>
      <c r="AB77" s="870" t="str">
        <f t="shared" si="108"/>
        <v/>
      </c>
      <c r="AC77" s="870" t="str">
        <f t="shared" si="108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09">IF(AL74="","",AL73*AL74*AL75*AL76)</f>
        <v/>
      </c>
      <c r="AM77" s="870" t="str">
        <f t="shared" si="109"/>
        <v/>
      </c>
      <c r="AN77" s="870" t="str">
        <f t="shared" si="109"/>
        <v/>
      </c>
      <c r="AO77" s="870" t="str">
        <f t="shared" si="109"/>
        <v/>
      </c>
      <c r="AP77" s="870" t="str">
        <f t="shared" si="109"/>
        <v/>
      </c>
      <c r="AQ77" s="870" t="str">
        <f t="shared" si="109"/>
        <v/>
      </c>
      <c r="AR77" s="870" t="str">
        <f t="shared" si="109"/>
        <v/>
      </c>
      <c r="AS77" s="870" t="str">
        <f t="shared" si="109"/>
        <v/>
      </c>
      <c r="AT77" s="870" t="str">
        <f t="shared" si="109"/>
        <v/>
      </c>
      <c r="AU77" s="870" t="str">
        <f t="shared" si="109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0">IF(BD74="","",BD73*BD74*BD75*BD76)</f>
        <v/>
      </c>
      <c r="BE77" s="870" t="str">
        <f t="shared" si="110"/>
        <v/>
      </c>
      <c r="BF77" s="870" t="str">
        <f t="shared" si="110"/>
        <v/>
      </c>
      <c r="BG77" s="870" t="str">
        <f t="shared" si="110"/>
        <v/>
      </c>
      <c r="BH77" s="870" t="str">
        <f t="shared" si="110"/>
        <v/>
      </c>
      <c r="BI77" s="870" t="str">
        <f t="shared" si="110"/>
        <v/>
      </c>
      <c r="BJ77" s="870" t="str">
        <f t="shared" si="110"/>
        <v/>
      </c>
      <c r="BK77" s="870" t="str">
        <f t="shared" si="110"/>
        <v/>
      </c>
      <c r="BL77" s="870" t="str">
        <f t="shared" si="110"/>
        <v/>
      </c>
      <c r="BM77" s="870" t="str">
        <f t="shared" si="110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4"/>
        <v/>
      </c>
      <c r="CF77" s="81" t="str">
        <f t="shared" si="104"/>
        <v/>
      </c>
      <c r="CG77" s="81" t="str">
        <f t="shared" si="104"/>
        <v/>
      </c>
      <c r="CH77" s="145" t="str">
        <f t="shared" si="104"/>
        <v/>
      </c>
      <c r="CI77" s="145" t="str">
        <f t="shared" si="104"/>
        <v/>
      </c>
      <c r="CJ77" s="145" t="str">
        <f t="shared" si="104"/>
        <v/>
      </c>
      <c r="CK77" s="81" t="str">
        <f t="shared" si="104"/>
        <v/>
      </c>
      <c r="CL77" s="81" t="str">
        <f t="shared" si="104"/>
        <v/>
      </c>
      <c r="CM77" s="81" t="str">
        <f t="shared" si="104"/>
        <v/>
      </c>
      <c r="CN77" s="81" t="str">
        <f t="shared" si="104"/>
        <v/>
      </c>
      <c r="CO77" s="81" t="str">
        <f t="shared" si="104"/>
        <v/>
      </c>
      <c r="CP77" s="80" t="str">
        <f t="shared" si="104"/>
        <v/>
      </c>
      <c r="CQ77" s="509" t="str">
        <f t="shared" si="104"/>
        <v/>
      </c>
      <c r="CR77" s="533" t="str">
        <f t="shared" si="105"/>
        <v/>
      </c>
      <c r="CS77" s="534" t="str">
        <f t="shared" si="105"/>
        <v/>
      </c>
      <c r="CT77" s="535" t="str">
        <f t="shared" si="105"/>
        <v/>
      </c>
      <c r="CU77" s="535" t="str">
        <f t="shared" si="105"/>
        <v/>
      </c>
      <c r="CV77" s="535" t="str">
        <f t="shared" si="105"/>
        <v/>
      </c>
      <c r="CW77" s="535" t="str">
        <f t="shared" si="105"/>
        <v/>
      </c>
      <c r="CX77" s="535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5" t="str">
        <f t="shared" si="106"/>
        <v/>
      </c>
      <c r="DF77" s="535" t="str">
        <f t="shared" si="106"/>
        <v/>
      </c>
      <c r="DG77" s="534" t="str">
        <f t="shared" si="106"/>
        <v/>
      </c>
      <c r="DH77" s="533" t="str">
        <f t="shared" si="106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1"/>
        <v/>
      </c>
      <c r="CF79" s="81" t="str">
        <f t="shared" si="111"/>
        <v/>
      </c>
      <c r="CG79" s="81" t="str">
        <f t="shared" si="111"/>
        <v/>
      </c>
      <c r="CH79" s="145" t="str">
        <f t="shared" si="111"/>
        <v/>
      </c>
      <c r="CI79" s="145" t="str">
        <f t="shared" si="111"/>
        <v/>
      </c>
      <c r="CJ79" s="145" t="str">
        <f t="shared" si="111"/>
        <v/>
      </c>
      <c r="CK79" s="81" t="str">
        <f t="shared" si="111"/>
        <v/>
      </c>
      <c r="CL79" s="81" t="str">
        <f t="shared" si="111"/>
        <v/>
      </c>
      <c r="CM79" s="81" t="str">
        <f t="shared" si="111"/>
        <v/>
      </c>
      <c r="CN79" s="81" t="str">
        <f t="shared" si="111"/>
        <v/>
      </c>
      <c r="CO79" s="81" t="str">
        <f t="shared" si="111"/>
        <v/>
      </c>
      <c r="CP79" s="80" t="str">
        <f t="shared" si="111"/>
        <v/>
      </c>
      <c r="CQ79" s="509" t="str">
        <f t="shared" ref="CE79:CQ83" si="112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3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3"/>
        <v/>
      </c>
      <c r="CT79" s="535" t="str">
        <f t="shared" si="113"/>
        <v/>
      </c>
      <c r="CU79" s="535" t="str">
        <f t="shared" si="113"/>
        <v/>
      </c>
      <c r="CV79" s="535" t="str">
        <f t="shared" si="113"/>
        <v/>
      </c>
      <c r="CW79" s="535" t="str">
        <f t="shared" si="113"/>
        <v/>
      </c>
      <c r="CX79" s="535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5" t="str">
        <f t="shared" ref="DB79:DH83" si="114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4"/>
        <v/>
      </c>
      <c r="DD79" s="535" t="str">
        <f t="shared" si="114"/>
        <v/>
      </c>
      <c r="DE79" s="535" t="str">
        <f t="shared" si="114"/>
        <v/>
      </c>
      <c r="DF79" s="535" t="str">
        <f t="shared" si="114"/>
        <v/>
      </c>
      <c r="DG79" s="534" t="str">
        <f t="shared" si="114"/>
        <v/>
      </c>
      <c r="DH79" s="533" t="str">
        <f t="shared" si="114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2"/>
        <v/>
      </c>
      <c r="CF80" s="81" t="str">
        <f t="shared" si="112"/>
        <v/>
      </c>
      <c r="CG80" s="81" t="str">
        <f t="shared" si="112"/>
        <v/>
      </c>
      <c r="CH80" s="145" t="str">
        <f t="shared" si="112"/>
        <v/>
      </c>
      <c r="CI80" s="145" t="str">
        <f t="shared" si="112"/>
        <v/>
      </c>
      <c r="CJ80" s="145" t="str">
        <f t="shared" si="112"/>
        <v/>
      </c>
      <c r="CK80" s="81" t="str">
        <f t="shared" si="112"/>
        <v/>
      </c>
      <c r="CL80" s="81" t="str">
        <f t="shared" si="112"/>
        <v/>
      </c>
      <c r="CM80" s="81" t="str">
        <f t="shared" si="112"/>
        <v/>
      </c>
      <c r="CN80" s="81" t="str">
        <f t="shared" si="112"/>
        <v/>
      </c>
      <c r="CO80" s="81" t="str">
        <f t="shared" si="112"/>
        <v/>
      </c>
      <c r="CP80" s="80" t="str">
        <f t="shared" si="112"/>
        <v/>
      </c>
      <c r="CQ80" s="509" t="str">
        <f t="shared" si="112"/>
        <v/>
      </c>
      <c r="CR80" s="533" t="str">
        <f t="shared" si="113"/>
        <v/>
      </c>
      <c r="CS80" s="534" t="str">
        <f t="shared" si="113"/>
        <v/>
      </c>
      <c r="CT80" s="535" t="str">
        <f t="shared" si="113"/>
        <v/>
      </c>
      <c r="CU80" s="535" t="str">
        <f t="shared" si="113"/>
        <v/>
      </c>
      <c r="CV80" s="535" t="str">
        <f t="shared" si="113"/>
        <v/>
      </c>
      <c r="CW80" s="535" t="str">
        <f t="shared" si="113"/>
        <v/>
      </c>
      <c r="CX80" s="535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5" t="str">
        <f t="shared" si="114"/>
        <v/>
      </c>
      <c r="DF80" s="535" t="str">
        <f t="shared" si="114"/>
        <v/>
      </c>
      <c r="DG80" s="534" t="str">
        <f t="shared" si="114"/>
        <v/>
      </c>
      <c r="DH80" s="533" t="str">
        <f t="shared" si="114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2"/>
        <v/>
      </c>
      <c r="CF81" s="81" t="str">
        <f t="shared" si="112"/>
        <v/>
      </c>
      <c r="CG81" s="81" t="str">
        <f t="shared" si="112"/>
        <v/>
      </c>
      <c r="CH81" s="145" t="str">
        <f t="shared" si="112"/>
        <v/>
      </c>
      <c r="CI81" s="145" t="str">
        <f t="shared" si="112"/>
        <v/>
      </c>
      <c r="CJ81" s="145" t="str">
        <f t="shared" si="112"/>
        <v/>
      </c>
      <c r="CK81" s="81" t="str">
        <f t="shared" si="112"/>
        <v/>
      </c>
      <c r="CL81" s="81" t="str">
        <f t="shared" si="112"/>
        <v/>
      </c>
      <c r="CM81" s="81" t="str">
        <f t="shared" si="112"/>
        <v/>
      </c>
      <c r="CN81" s="81" t="str">
        <f t="shared" si="112"/>
        <v/>
      </c>
      <c r="CO81" s="81" t="str">
        <f t="shared" si="112"/>
        <v/>
      </c>
      <c r="CP81" s="80" t="str">
        <f t="shared" si="112"/>
        <v/>
      </c>
      <c r="CQ81" s="509" t="str">
        <f t="shared" si="112"/>
        <v/>
      </c>
      <c r="CR81" s="533" t="str">
        <f t="shared" si="113"/>
        <v/>
      </c>
      <c r="CS81" s="534" t="str">
        <f t="shared" si="113"/>
        <v/>
      </c>
      <c r="CT81" s="535" t="str">
        <f t="shared" si="113"/>
        <v/>
      </c>
      <c r="CU81" s="535" t="str">
        <f t="shared" si="113"/>
        <v/>
      </c>
      <c r="CV81" s="535" t="str">
        <f t="shared" si="113"/>
        <v/>
      </c>
      <c r="CW81" s="535" t="str">
        <f t="shared" si="113"/>
        <v/>
      </c>
      <c r="CX81" s="535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5" t="str">
        <f t="shared" si="114"/>
        <v/>
      </c>
      <c r="DF81" s="535" t="str">
        <f t="shared" si="114"/>
        <v/>
      </c>
      <c r="DG81" s="534" t="str">
        <f t="shared" si="114"/>
        <v/>
      </c>
      <c r="DH81" s="533" t="str">
        <f t="shared" si="114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2"/>
        <v/>
      </c>
      <c r="CF82" s="81" t="str">
        <f t="shared" si="112"/>
        <v/>
      </c>
      <c r="CG82" s="81" t="str">
        <f t="shared" si="112"/>
        <v/>
      </c>
      <c r="CH82" s="145" t="str">
        <f t="shared" si="112"/>
        <v/>
      </c>
      <c r="CI82" s="145" t="str">
        <f t="shared" si="112"/>
        <v/>
      </c>
      <c r="CJ82" s="145" t="str">
        <f t="shared" si="112"/>
        <v/>
      </c>
      <c r="CK82" s="81" t="str">
        <f t="shared" si="112"/>
        <v/>
      </c>
      <c r="CL82" s="81" t="str">
        <f t="shared" si="112"/>
        <v/>
      </c>
      <c r="CM82" s="81" t="str">
        <f t="shared" si="112"/>
        <v/>
      </c>
      <c r="CN82" s="81" t="str">
        <f t="shared" si="112"/>
        <v/>
      </c>
      <c r="CO82" s="81" t="str">
        <f t="shared" si="112"/>
        <v/>
      </c>
      <c r="CP82" s="80" t="str">
        <f t="shared" si="112"/>
        <v/>
      </c>
      <c r="CQ82" s="509" t="str">
        <f t="shared" si="112"/>
        <v/>
      </c>
      <c r="CR82" s="533" t="str">
        <f t="shared" si="113"/>
        <v/>
      </c>
      <c r="CS82" s="534" t="str">
        <f t="shared" si="113"/>
        <v/>
      </c>
      <c r="CT82" s="535" t="str">
        <f t="shared" si="113"/>
        <v/>
      </c>
      <c r="CU82" s="535" t="str">
        <f t="shared" si="113"/>
        <v/>
      </c>
      <c r="CV82" s="535" t="str">
        <f t="shared" si="113"/>
        <v/>
      </c>
      <c r="CW82" s="535" t="str">
        <f t="shared" si="113"/>
        <v/>
      </c>
      <c r="CX82" s="535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5" t="str">
        <f t="shared" si="114"/>
        <v/>
      </c>
      <c r="DF82" s="535" t="str">
        <f t="shared" si="114"/>
        <v/>
      </c>
      <c r="DG82" s="534" t="str">
        <f t="shared" si="114"/>
        <v/>
      </c>
      <c r="DH82" s="533" t="str">
        <f t="shared" si="114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5">IF(B80="","",B79*B80*B81*B82)</f>
        <v/>
      </c>
      <c r="C83" s="870" t="str">
        <f t="shared" si="115"/>
        <v/>
      </c>
      <c r="D83" s="870" t="str">
        <f t="shared" si="115"/>
        <v/>
      </c>
      <c r="E83" s="870" t="str">
        <f t="shared" si="115"/>
        <v/>
      </c>
      <c r="F83" s="870" t="str">
        <f t="shared" si="115"/>
        <v/>
      </c>
      <c r="G83" s="870" t="str">
        <f t="shared" si="115"/>
        <v/>
      </c>
      <c r="H83" s="870" t="str">
        <f t="shared" si="115"/>
        <v/>
      </c>
      <c r="I83" s="870" t="str">
        <f t="shared" si="115"/>
        <v/>
      </c>
      <c r="J83" s="870" t="str">
        <f t="shared" si="115"/>
        <v/>
      </c>
      <c r="K83" s="870" t="str">
        <f t="shared" si="115"/>
        <v/>
      </c>
      <c r="L83" s="870" t="str">
        <f t="shared" si="115"/>
        <v/>
      </c>
      <c r="M83" s="870" t="str">
        <f t="shared" si="115"/>
        <v/>
      </c>
      <c r="N83" s="870" t="str">
        <f t="shared" si="115"/>
        <v/>
      </c>
      <c r="O83" s="870" t="str">
        <f t="shared" si="115"/>
        <v/>
      </c>
      <c r="P83" s="870" t="str">
        <f t="shared" si="115"/>
        <v/>
      </c>
      <c r="Q83" s="870" t="str">
        <f t="shared" si="115"/>
        <v/>
      </c>
      <c r="R83" s="870" t="str">
        <f t="shared" si="115"/>
        <v/>
      </c>
      <c r="S83" s="858"/>
      <c r="T83" s="870" t="str">
        <f t="shared" ref="T83:AC83" si="116">IF(T80="","",T79*T80*T81*T82)</f>
        <v/>
      </c>
      <c r="U83" s="870" t="str">
        <f t="shared" si="116"/>
        <v/>
      </c>
      <c r="V83" s="870" t="str">
        <f t="shared" si="116"/>
        <v/>
      </c>
      <c r="W83" s="870" t="str">
        <f t="shared" si="116"/>
        <v/>
      </c>
      <c r="X83" s="870" t="str">
        <f t="shared" si="116"/>
        <v/>
      </c>
      <c r="Y83" s="870" t="str">
        <f t="shared" si="116"/>
        <v/>
      </c>
      <c r="Z83" s="870" t="str">
        <f t="shared" si="116"/>
        <v/>
      </c>
      <c r="AA83" s="870" t="str">
        <f t="shared" si="116"/>
        <v/>
      </c>
      <c r="AB83" s="870" t="str">
        <f t="shared" si="116"/>
        <v/>
      </c>
      <c r="AC83" s="870" t="str">
        <f t="shared" si="116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7">IF(AL80="","",AL79*AL80*AL81*AL82)</f>
        <v/>
      </c>
      <c r="AM83" s="870" t="str">
        <f t="shared" si="117"/>
        <v/>
      </c>
      <c r="AN83" s="870" t="str">
        <f t="shared" si="117"/>
        <v/>
      </c>
      <c r="AO83" s="870" t="str">
        <f t="shared" si="117"/>
        <v/>
      </c>
      <c r="AP83" s="870" t="str">
        <f t="shared" si="117"/>
        <v/>
      </c>
      <c r="AQ83" s="870" t="str">
        <f t="shared" si="117"/>
        <v/>
      </c>
      <c r="AR83" s="870" t="str">
        <f t="shared" si="117"/>
        <v/>
      </c>
      <c r="AS83" s="870" t="str">
        <f t="shared" si="117"/>
        <v/>
      </c>
      <c r="AT83" s="870" t="str">
        <f t="shared" si="117"/>
        <v/>
      </c>
      <c r="AU83" s="870" t="str">
        <f t="shared" si="117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18">IF(BD80="","",BD79*BD80*BD81*BD82)</f>
        <v/>
      </c>
      <c r="BE83" s="870" t="str">
        <f t="shared" si="118"/>
        <v/>
      </c>
      <c r="BF83" s="870" t="str">
        <f t="shared" si="118"/>
        <v/>
      </c>
      <c r="BG83" s="870" t="str">
        <f t="shared" si="118"/>
        <v/>
      </c>
      <c r="BH83" s="870" t="str">
        <f t="shared" si="118"/>
        <v/>
      </c>
      <c r="BI83" s="870" t="str">
        <f t="shared" si="118"/>
        <v/>
      </c>
      <c r="BJ83" s="870" t="str">
        <f t="shared" si="118"/>
        <v/>
      </c>
      <c r="BK83" s="870" t="str">
        <f t="shared" si="118"/>
        <v/>
      </c>
      <c r="BL83" s="870" t="str">
        <f t="shared" si="118"/>
        <v/>
      </c>
      <c r="BM83" s="870" t="str">
        <f t="shared" si="118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2"/>
        <v/>
      </c>
      <c r="CF83" s="81" t="str">
        <f t="shared" si="112"/>
        <v/>
      </c>
      <c r="CG83" s="81" t="str">
        <f t="shared" si="112"/>
        <v/>
      </c>
      <c r="CH83" s="145" t="str">
        <f t="shared" si="112"/>
        <v/>
      </c>
      <c r="CI83" s="145" t="str">
        <f t="shared" si="112"/>
        <v/>
      </c>
      <c r="CJ83" s="145" t="str">
        <f t="shared" si="112"/>
        <v/>
      </c>
      <c r="CK83" s="81" t="str">
        <f t="shared" si="112"/>
        <v/>
      </c>
      <c r="CL83" s="81" t="str">
        <f t="shared" si="112"/>
        <v/>
      </c>
      <c r="CM83" s="81" t="str">
        <f t="shared" si="112"/>
        <v/>
      </c>
      <c r="CN83" s="81" t="str">
        <f t="shared" si="112"/>
        <v/>
      </c>
      <c r="CO83" s="81" t="str">
        <f t="shared" si="112"/>
        <v/>
      </c>
      <c r="CP83" s="80" t="str">
        <f t="shared" si="112"/>
        <v/>
      </c>
      <c r="CQ83" s="509" t="str">
        <f t="shared" si="112"/>
        <v/>
      </c>
      <c r="CR83" s="533" t="str">
        <f t="shared" si="113"/>
        <v/>
      </c>
      <c r="CS83" s="534" t="str">
        <f t="shared" si="113"/>
        <v/>
      </c>
      <c r="CT83" s="535" t="str">
        <f t="shared" si="113"/>
        <v/>
      </c>
      <c r="CU83" s="535" t="str">
        <f t="shared" si="113"/>
        <v/>
      </c>
      <c r="CV83" s="535" t="str">
        <f t="shared" si="113"/>
        <v/>
      </c>
      <c r="CW83" s="535" t="str">
        <f t="shared" si="113"/>
        <v/>
      </c>
      <c r="CX83" s="535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5" t="str">
        <f t="shared" si="114"/>
        <v/>
      </c>
      <c r="DF83" s="535" t="str">
        <f t="shared" si="114"/>
        <v/>
      </c>
      <c r="DG83" s="534" t="str">
        <f t="shared" si="114"/>
        <v/>
      </c>
      <c r="DH83" s="533" t="str">
        <f t="shared" si="114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19"/>
        <v/>
      </c>
      <c r="CF85" s="81" t="str">
        <f t="shared" si="119"/>
        <v/>
      </c>
      <c r="CG85" s="81" t="str">
        <f t="shared" si="119"/>
        <v/>
      </c>
      <c r="CH85" s="145" t="str">
        <f t="shared" si="119"/>
        <v/>
      </c>
      <c r="CI85" s="145" t="str">
        <f t="shared" si="119"/>
        <v/>
      </c>
      <c r="CJ85" s="145" t="str">
        <f t="shared" si="119"/>
        <v/>
      </c>
      <c r="CK85" s="81" t="str">
        <f t="shared" si="119"/>
        <v/>
      </c>
      <c r="CL85" s="81" t="str">
        <f t="shared" si="119"/>
        <v/>
      </c>
      <c r="CM85" s="81" t="str">
        <f t="shared" si="119"/>
        <v/>
      </c>
      <c r="CN85" s="81" t="str">
        <f t="shared" si="119"/>
        <v/>
      </c>
      <c r="CO85" s="81" t="str">
        <f t="shared" si="119"/>
        <v/>
      </c>
      <c r="CP85" s="80" t="str">
        <f t="shared" si="119"/>
        <v/>
      </c>
      <c r="CQ85" s="509" t="str">
        <f t="shared" ref="CE85:CQ89" si="120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1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1"/>
        <v/>
      </c>
      <c r="CT85" s="535" t="str">
        <f t="shared" si="121"/>
        <v/>
      </c>
      <c r="CU85" s="535" t="str">
        <f t="shared" si="121"/>
        <v/>
      </c>
      <c r="CV85" s="535" t="str">
        <f t="shared" si="121"/>
        <v/>
      </c>
      <c r="CW85" s="535" t="str">
        <f t="shared" si="121"/>
        <v/>
      </c>
      <c r="CX85" s="535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5" t="str">
        <f t="shared" ref="DB85:DH89" si="122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2"/>
        <v/>
      </c>
      <c r="DD85" s="535" t="str">
        <f t="shared" si="122"/>
        <v/>
      </c>
      <c r="DE85" s="535" t="str">
        <f t="shared" si="122"/>
        <v/>
      </c>
      <c r="DF85" s="535" t="str">
        <f t="shared" si="122"/>
        <v/>
      </c>
      <c r="DG85" s="534" t="str">
        <f t="shared" si="122"/>
        <v/>
      </c>
      <c r="DH85" s="533" t="str">
        <f t="shared" si="122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0"/>
        <v/>
      </c>
      <c r="CF86" s="81" t="str">
        <f t="shared" si="120"/>
        <v/>
      </c>
      <c r="CG86" s="81" t="str">
        <f t="shared" si="120"/>
        <v/>
      </c>
      <c r="CH86" s="145" t="str">
        <f t="shared" si="120"/>
        <v/>
      </c>
      <c r="CI86" s="145" t="str">
        <f t="shared" si="120"/>
        <v/>
      </c>
      <c r="CJ86" s="145" t="str">
        <f t="shared" si="120"/>
        <v/>
      </c>
      <c r="CK86" s="81" t="str">
        <f t="shared" si="120"/>
        <v/>
      </c>
      <c r="CL86" s="81" t="str">
        <f t="shared" si="120"/>
        <v/>
      </c>
      <c r="CM86" s="81" t="str">
        <f t="shared" si="120"/>
        <v/>
      </c>
      <c r="CN86" s="81" t="str">
        <f t="shared" si="120"/>
        <v/>
      </c>
      <c r="CO86" s="81" t="str">
        <f t="shared" si="120"/>
        <v/>
      </c>
      <c r="CP86" s="80" t="str">
        <f t="shared" si="120"/>
        <v/>
      </c>
      <c r="CQ86" s="509" t="str">
        <f t="shared" si="120"/>
        <v/>
      </c>
      <c r="CR86" s="533" t="str">
        <f t="shared" si="121"/>
        <v/>
      </c>
      <c r="CS86" s="534" t="str">
        <f t="shared" si="121"/>
        <v/>
      </c>
      <c r="CT86" s="535" t="str">
        <f t="shared" si="121"/>
        <v/>
      </c>
      <c r="CU86" s="535" t="str">
        <f t="shared" si="121"/>
        <v/>
      </c>
      <c r="CV86" s="535" t="str">
        <f t="shared" si="121"/>
        <v/>
      </c>
      <c r="CW86" s="535" t="str">
        <f t="shared" si="121"/>
        <v/>
      </c>
      <c r="CX86" s="535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5" t="str">
        <f t="shared" si="122"/>
        <v/>
      </c>
      <c r="DF86" s="535" t="str">
        <f t="shared" si="122"/>
        <v/>
      </c>
      <c r="DG86" s="534" t="str">
        <f t="shared" si="122"/>
        <v/>
      </c>
      <c r="DH86" s="533" t="str">
        <f t="shared" si="122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0"/>
        <v/>
      </c>
      <c r="CF87" s="81" t="str">
        <f t="shared" si="120"/>
        <v/>
      </c>
      <c r="CG87" s="81" t="str">
        <f t="shared" si="120"/>
        <v/>
      </c>
      <c r="CH87" s="145" t="str">
        <f t="shared" si="120"/>
        <v/>
      </c>
      <c r="CI87" s="145" t="str">
        <f t="shared" si="120"/>
        <v/>
      </c>
      <c r="CJ87" s="145" t="str">
        <f t="shared" si="120"/>
        <v/>
      </c>
      <c r="CK87" s="81" t="str">
        <f t="shared" si="120"/>
        <v/>
      </c>
      <c r="CL87" s="81" t="str">
        <f t="shared" si="120"/>
        <v/>
      </c>
      <c r="CM87" s="81" t="str">
        <f t="shared" si="120"/>
        <v/>
      </c>
      <c r="CN87" s="81" t="str">
        <f t="shared" si="120"/>
        <v/>
      </c>
      <c r="CO87" s="81" t="str">
        <f t="shared" si="120"/>
        <v/>
      </c>
      <c r="CP87" s="80" t="str">
        <f t="shared" si="120"/>
        <v/>
      </c>
      <c r="CQ87" s="509" t="str">
        <f t="shared" si="120"/>
        <v/>
      </c>
      <c r="CR87" s="533" t="str">
        <f t="shared" si="121"/>
        <v/>
      </c>
      <c r="CS87" s="534" t="str">
        <f t="shared" si="121"/>
        <v/>
      </c>
      <c r="CT87" s="535" t="str">
        <f t="shared" si="121"/>
        <v/>
      </c>
      <c r="CU87" s="535" t="str">
        <f t="shared" si="121"/>
        <v/>
      </c>
      <c r="CV87" s="535" t="str">
        <f t="shared" si="121"/>
        <v/>
      </c>
      <c r="CW87" s="535" t="str">
        <f t="shared" si="121"/>
        <v/>
      </c>
      <c r="CX87" s="535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5" t="str">
        <f t="shared" si="122"/>
        <v/>
      </c>
      <c r="DF87" s="535" t="str">
        <f t="shared" si="122"/>
        <v/>
      </c>
      <c r="DG87" s="534" t="str">
        <f t="shared" si="122"/>
        <v/>
      </c>
      <c r="DH87" s="533" t="str">
        <f t="shared" si="122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0"/>
        <v/>
      </c>
      <c r="CF88" s="81" t="str">
        <f t="shared" si="120"/>
        <v/>
      </c>
      <c r="CG88" s="81" t="str">
        <f t="shared" si="120"/>
        <v/>
      </c>
      <c r="CH88" s="145" t="str">
        <f t="shared" si="120"/>
        <v/>
      </c>
      <c r="CI88" s="145" t="str">
        <f t="shared" si="120"/>
        <v/>
      </c>
      <c r="CJ88" s="145" t="str">
        <f t="shared" si="120"/>
        <v/>
      </c>
      <c r="CK88" s="81" t="str">
        <f t="shared" si="120"/>
        <v/>
      </c>
      <c r="CL88" s="81" t="str">
        <f t="shared" si="120"/>
        <v/>
      </c>
      <c r="CM88" s="81" t="str">
        <f t="shared" si="120"/>
        <v/>
      </c>
      <c r="CN88" s="81" t="str">
        <f t="shared" si="120"/>
        <v/>
      </c>
      <c r="CO88" s="81" t="str">
        <f t="shared" si="120"/>
        <v/>
      </c>
      <c r="CP88" s="80" t="str">
        <f t="shared" si="120"/>
        <v/>
      </c>
      <c r="CQ88" s="509" t="str">
        <f t="shared" si="120"/>
        <v/>
      </c>
      <c r="CR88" s="533" t="str">
        <f t="shared" si="121"/>
        <v/>
      </c>
      <c r="CS88" s="534" t="str">
        <f t="shared" si="121"/>
        <v/>
      </c>
      <c r="CT88" s="535" t="str">
        <f t="shared" si="121"/>
        <v/>
      </c>
      <c r="CU88" s="535" t="str">
        <f t="shared" si="121"/>
        <v/>
      </c>
      <c r="CV88" s="535" t="str">
        <f t="shared" si="121"/>
        <v/>
      </c>
      <c r="CW88" s="535" t="str">
        <f t="shared" si="121"/>
        <v/>
      </c>
      <c r="CX88" s="535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5" t="str">
        <f t="shared" si="122"/>
        <v/>
      </c>
      <c r="DF88" s="535" t="str">
        <f t="shared" si="122"/>
        <v/>
      </c>
      <c r="DG88" s="534" t="str">
        <f t="shared" si="122"/>
        <v/>
      </c>
      <c r="DH88" s="533" t="str">
        <f t="shared" si="122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3">IF(B86="","",B85*B86*B87*B88)</f>
        <v/>
      </c>
      <c r="C89" s="870" t="str">
        <f t="shared" si="123"/>
        <v/>
      </c>
      <c r="D89" s="870" t="str">
        <f t="shared" si="123"/>
        <v/>
      </c>
      <c r="E89" s="870" t="str">
        <f t="shared" si="123"/>
        <v/>
      </c>
      <c r="F89" s="870" t="str">
        <f t="shared" si="123"/>
        <v/>
      </c>
      <c r="G89" s="870" t="str">
        <f t="shared" si="123"/>
        <v/>
      </c>
      <c r="H89" s="870" t="str">
        <f t="shared" si="123"/>
        <v/>
      </c>
      <c r="I89" s="870" t="str">
        <f t="shared" si="123"/>
        <v/>
      </c>
      <c r="J89" s="870" t="str">
        <f t="shared" si="123"/>
        <v/>
      </c>
      <c r="K89" s="870" t="str">
        <f t="shared" si="123"/>
        <v/>
      </c>
      <c r="L89" s="870" t="str">
        <f t="shared" si="123"/>
        <v/>
      </c>
      <c r="M89" s="870" t="str">
        <f t="shared" si="123"/>
        <v/>
      </c>
      <c r="N89" s="870" t="str">
        <f t="shared" si="123"/>
        <v/>
      </c>
      <c r="O89" s="870" t="str">
        <f t="shared" si="123"/>
        <v/>
      </c>
      <c r="P89" s="870" t="str">
        <f t="shared" si="123"/>
        <v/>
      </c>
      <c r="Q89" s="870" t="str">
        <f t="shared" si="123"/>
        <v/>
      </c>
      <c r="R89" s="870" t="str">
        <f t="shared" si="123"/>
        <v/>
      </c>
      <c r="S89" s="858"/>
      <c r="T89" s="870" t="str">
        <f t="shared" ref="T89:AC89" si="124">IF(T86="","",T85*T86*T87*T88)</f>
        <v/>
      </c>
      <c r="U89" s="870" t="str">
        <f t="shared" si="124"/>
        <v/>
      </c>
      <c r="V89" s="870" t="str">
        <f t="shared" si="124"/>
        <v/>
      </c>
      <c r="W89" s="870" t="str">
        <f t="shared" si="124"/>
        <v/>
      </c>
      <c r="X89" s="870" t="str">
        <f t="shared" si="124"/>
        <v/>
      </c>
      <c r="Y89" s="870" t="str">
        <f t="shared" si="124"/>
        <v/>
      </c>
      <c r="Z89" s="870" t="str">
        <f t="shared" si="124"/>
        <v/>
      </c>
      <c r="AA89" s="870" t="str">
        <f t="shared" si="124"/>
        <v/>
      </c>
      <c r="AB89" s="870" t="str">
        <f t="shared" si="124"/>
        <v/>
      </c>
      <c r="AC89" s="870" t="str">
        <f t="shared" si="124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5">IF(AL86="","",AL85*AL86*AL87*AL88)</f>
        <v/>
      </c>
      <c r="AM89" s="870" t="str">
        <f t="shared" si="125"/>
        <v/>
      </c>
      <c r="AN89" s="870" t="str">
        <f t="shared" si="125"/>
        <v/>
      </c>
      <c r="AO89" s="870" t="str">
        <f t="shared" si="125"/>
        <v/>
      </c>
      <c r="AP89" s="870" t="str">
        <f t="shared" si="125"/>
        <v/>
      </c>
      <c r="AQ89" s="870" t="str">
        <f t="shared" si="125"/>
        <v/>
      </c>
      <c r="AR89" s="870" t="str">
        <f t="shared" si="125"/>
        <v/>
      </c>
      <c r="AS89" s="870" t="str">
        <f t="shared" si="125"/>
        <v/>
      </c>
      <c r="AT89" s="870" t="str">
        <f t="shared" si="125"/>
        <v/>
      </c>
      <c r="AU89" s="870" t="str">
        <f t="shared" si="125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6">IF(BD86="","",BD85*BD86*BD87*BD88)</f>
        <v/>
      </c>
      <c r="BE89" s="870" t="str">
        <f t="shared" si="126"/>
        <v/>
      </c>
      <c r="BF89" s="870" t="str">
        <f t="shared" si="126"/>
        <v/>
      </c>
      <c r="BG89" s="870" t="str">
        <f t="shared" si="126"/>
        <v/>
      </c>
      <c r="BH89" s="870" t="str">
        <f t="shared" si="126"/>
        <v/>
      </c>
      <c r="BI89" s="870" t="str">
        <f t="shared" si="126"/>
        <v/>
      </c>
      <c r="BJ89" s="870" t="str">
        <f t="shared" si="126"/>
        <v/>
      </c>
      <c r="BK89" s="870" t="str">
        <f t="shared" si="126"/>
        <v/>
      </c>
      <c r="BL89" s="870" t="str">
        <f t="shared" si="126"/>
        <v/>
      </c>
      <c r="BM89" s="870" t="str">
        <f t="shared" si="126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0"/>
        <v/>
      </c>
      <c r="CF89" s="81" t="str">
        <f t="shared" si="120"/>
        <v/>
      </c>
      <c r="CG89" s="81" t="str">
        <f t="shared" si="120"/>
        <v/>
      </c>
      <c r="CH89" s="145" t="str">
        <f t="shared" si="120"/>
        <v/>
      </c>
      <c r="CI89" s="145" t="str">
        <f t="shared" si="120"/>
        <v/>
      </c>
      <c r="CJ89" s="145" t="str">
        <f t="shared" si="120"/>
        <v/>
      </c>
      <c r="CK89" s="81" t="str">
        <f t="shared" si="120"/>
        <v/>
      </c>
      <c r="CL89" s="81" t="str">
        <f t="shared" si="120"/>
        <v/>
      </c>
      <c r="CM89" s="81" t="str">
        <f t="shared" si="120"/>
        <v/>
      </c>
      <c r="CN89" s="81" t="str">
        <f t="shared" si="120"/>
        <v/>
      </c>
      <c r="CO89" s="81" t="str">
        <f t="shared" si="120"/>
        <v/>
      </c>
      <c r="CP89" s="80" t="str">
        <f t="shared" si="120"/>
        <v/>
      </c>
      <c r="CQ89" s="509" t="str">
        <f t="shared" si="120"/>
        <v/>
      </c>
      <c r="CR89" s="533" t="str">
        <f t="shared" si="121"/>
        <v/>
      </c>
      <c r="CS89" s="534" t="str">
        <f t="shared" si="121"/>
        <v/>
      </c>
      <c r="CT89" s="535" t="str">
        <f t="shared" si="121"/>
        <v/>
      </c>
      <c r="CU89" s="535" t="str">
        <f t="shared" si="121"/>
        <v/>
      </c>
      <c r="CV89" s="535" t="str">
        <f t="shared" si="121"/>
        <v/>
      </c>
      <c r="CW89" s="535" t="str">
        <f t="shared" si="121"/>
        <v/>
      </c>
      <c r="CX89" s="535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5" t="str">
        <f t="shared" si="122"/>
        <v/>
      </c>
      <c r="DF89" s="535" t="str">
        <f t="shared" si="122"/>
        <v/>
      </c>
      <c r="DG89" s="534" t="str">
        <f t="shared" si="122"/>
        <v/>
      </c>
      <c r="DH89" s="533" t="str">
        <f t="shared" si="122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7"/>
        <v/>
      </c>
      <c r="CF91" s="81" t="str">
        <f t="shared" si="127"/>
        <v/>
      </c>
      <c r="CG91" s="81" t="str">
        <f t="shared" si="127"/>
        <v/>
      </c>
      <c r="CH91" s="145" t="str">
        <f t="shared" si="127"/>
        <v/>
      </c>
      <c r="CI91" s="145" t="str">
        <f t="shared" si="127"/>
        <v/>
      </c>
      <c r="CJ91" s="145" t="str">
        <f t="shared" si="127"/>
        <v/>
      </c>
      <c r="CK91" s="81" t="str">
        <f t="shared" si="127"/>
        <v/>
      </c>
      <c r="CL91" s="81" t="str">
        <f t="shared" si="127"/>
        <v/>
      </c>
      <c r="CM91" s="81" t="str">
        <f t="shared" si="127"/>
        <v/>
      </c>
      <c r="CN91" s="81" t="str">
        <f t="shared" si="127"/>
        <v/>
      </c>
      <c r="CO91" s="81" t="str">
        <f t="shared" si="127"/>
        <v/>
      </c>
      <c r="CP91" s="80" t="str">
        <f t="shared" si="127"/>
        <v/>
      </c>
      <c r="CQ91" s="509" t="str">
        <f t="shared" ref="CE91:CQ95" si="128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29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29"/>
        <v/>
      </c>
      <c r="CT91" s="535" t="str">
        <f t="shared" si="129"/>
        <v/>
      </c>
      <c r="CU91" s="535" t="str">
        <f t="shared" si="129"/>
        <v/>
      </c>
      <c r="CV91" s="535" t="str">
        <f t="shared" si="129"/>
        <v/>
      </c>
      <c r="CW91" s="535" t="str">
        <f t="shared" si="129"/>
        <v/>
      </c>
      <c r="CX91" s="535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5" t="str">
        <f t="shared" ref="DB91:DH95" si="130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0"/>
        <v/>
      </c>
      <c r="DD91" s="535" t="str">
        <f t="shared" si="130"/>
        <v/>
      </c>
      <c r="DE91" s="535" t="str">
        <f t="shared" si="130"/>
        <v/>
      </c>
      <c r="DF91" s="535" t="str">
        <f t="shared" si="130"/>
        <v/>
      </c>
      <c r="DG91" s="534" t="str">
        <f t="shared" si="130"/>
        <v/>
      </c>
      <c r="DH91" s="533" t="str">
        <f t="shared" si="130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8"/>
        <v/>
      </c>
      <c r="CF92" s="81" t="str">
        <f t="shared" si="128"/>
        <v/>
      </c>
      <c r="CG92" s="81" t="str">
        <f t="shared" si="128"/>
        <v/>
      </c>
      <c r="CH92" s="145" t="str">
        <f t="shared" si="128"/>
        <v/>
      </c>
      <c r="CI92" s="145" t="str">
        <f t="shared" si="128"/>
        <v/>
      </c>
      <c r="CJ92" s="145" t="str">
        <f t="shared" si="128"/>
        <v/>
      </c>
      <c r="CK92" s="81" t="str">
        <f t="shared" si="128"/>
        <v/>
      </c>
      <c r="CL92" s="81" t="str">
        <f t="shared" si="128"/>
        <v/>
      </c>
      <c r="CM92" s="81" t="str">
        <f t="shared" si="128"/>
        <v/>
      </c>
      <c r="CN92" s="81" t="str">
        <f t="shared" si="128"/>
        <v/>
      </c>
      <c r="CO92" s="81" t="str">
        <f t="shared" si="128"/>
        <v/>
      </c>
      <c r="CP92" s="80" t="str">
        <f t="shared" si="128"/>
        <v/>
      </c>
      <c r="CQ92" s="509" t="str">
        <f t="shared" si="128"/>
        <v/>
      </c>
      <c r="CR92" s="533" t="str">
        <f t="shared" si="129"/>
        <v/>
      </c>
      <c r="CS92" s="534" t="str">
        <f t="shared" si="129"/>
        <v/>
      </c>
      <c r="CT92" s="535" t="str">
        <f t="shared" si="129"/>
        <v/>
      </c>
      <c r="CU92" s="535" t="str">
        <f t="shared" si="129"/>
        <v/>
      </c>
      <c r="CV92" s="535" t="str">
        <f t="shared" si="129"/>
        <v/>
      </c>
      <c r="CW92" s="535" t="str">
        <f t="shared" si="129"/>
        <v/>
      </c>
      <c r="CX92" s="535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5" t="str">
        <f t="shared" si="130"/>
        <v/>
      </c>
      <c r="DF92" s="535" t="str">
        <f t="shared" si="130"/>
        <v/>
      </c>
      <c r="DG92" s="534" t="str">
        <f t="shared" si="130"/>
        <v/>
      </c>
      <c r="DH92" s="533" t="str">
        <f t="shared" si="130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8"/>
        <v/>
      </c>
      <c r="CF93" s="81" t="str">
        <f t="shared" si="128"/>
        <v/>
      </c>
      <c r="CG93" s="81" t="str">
        <f t="shared" si="128"/>
        <v/>
      </c>
      <c r="CH93" s="145" t="str">
        <f t="shared" si="128"/>
        <v/>
      </c>
      <c r="CI93" s="145" t="str">
        <f t="shared" si="128"/>
        <v/>
      </c>
      <c r="CJ93" s="145" t="str">
        <f t="shared" si="128"/>
        <v/>
      </c>
      <c r="CK93" s="81" t="str">
        <f t="shared" si="128"/>
        <v/>
      </c>
      <c r="CL93" s="81" t="str">
        <f t="shared" si="128"/>
        <v/>
      </c>
      <c r="CM93" s="81" t="str">
        <f t="shared" si="128"/>
        <v/>
      </c>
      <c r="CN93" s="81" t="str">
        <f t="shared" si="128"/>
        <v/>
      </c>
      <c r="CO93" s="81" t="str">
        <f t="shared" si="128"/>
        <v/>
      </c>
      <c r="CP93" s="80" t="str">
        <f t="shared" si="128"/>
        <v/>
      </c>
      <c r="CQ93" s="509" t="str">
        <f t="shared" si="128"/>
        <v/>
      </c>
      <c r="CR93" s="533" t="str">
        <f t="shared" si="129"/>
        <v/>
      </c>
      <c r="CS93" s="534" t="str">
        <f t="shared" si="129"/>
        <v/>
      </c>
      <c r="CT93" s="535" t="str">
        <f t="shared" si="129"/>
        <v/>
      </c>
      <c r="CU93" s="535" t="str">
        <f t="shared" si="129"/>
        <v/>
      </c>
      <c r="CV93" s="535" t="str">
        <f t="shared" si="129"/>
        <v/>
      </c>
      <c r="CW93" s="535" t="str">
        <f t="shared" si="129"/>
        <v/>
      </c>
      <c r="CX93" s="535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5" t="str">
        <f t="shared" si="130"/>
        <v/>
      </c>
      <c r="DF93" s="535" t="str">
        <f t="shared" si="130"/>
        <v/>
      </c>
      <c r="DG93" s="534" t="str">
        <f t="shared" si="130"/>
        <v/>
      </c>
      <c r="DH93" s="533" t="str">
        <f t="shared" si="130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8"/>
        <v/>
      </c>
      <c r="CF94" s="81" t="str">
        <f t="shared" si="128"/>
        <v/>
      </c>
      <c r="CG94" s="81" t="str">
        <f t="shared" si="128"/>
        <v/>
      </c>
      <c r="CH94" s="145" t="str">
        <f t="shared" si="128"/>
        <v/>
      </c>
      <c r="CI94" s="145" t="str">
        <f t="shared" si="128"/>
        <v/>
      </c>
      <c r="CJ94" s="145" t="str">
        <f t="shared" si="128"/>
        <v/>
      </c>
      <c r="CK94" s="81" t="str">
        <f t="shared" si="128"/>
        <v/>
      </c>
      <c r="CL94" s="81" t="str">
        <f t="shared" si="128"/>
        <v/>
      </c>
      <c r="CM94" s="81" t="str">
        <f t="shared" si="128"/>
        <v/>
      </c>
      <c r="CN94" s="81" t="str">
        <f t="shared" si="128"/>
        <v/>
      </c>
      <c r="CO94" s="81" t="str">
        <f t="shared" si="128"/>
        <v/>
      </c>
      <c r="CP94" s="80" t="str">
        <f t="shared" si="128"/>
        <v/>
      </c>
      <c r="CQ94" s="509" t="str">
        <f t="shared" si="128"/>
        <v/>
      </c>
      <c r="CR94" s="533" t="str">
        <f t="shared" si="129"/>
        <v/>
      </c>
      <c r="CS94" s="534" t="str">
        <f t="shared" si="129"/>
        <v/>
      </c>
      <c r="CT94" s="535" t="str">
        <f t="shared" si="129"/>
        <v/>
      </c>
      <c r="CU94" s="535" t="str">
        <f t="shared" si="129"/>
        <v/>
      </c>
      <c r="CV94" s="535" t="str">
        <f t="shared" si="129"/>
        <v/>
      </c>
      <c r="CW94" s="535" t="str">
        <f t="shared" si="129"/>
        <v/>
      </c>
      <c r="CX94" s="535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5" t="str">
        <f t="shared" si="130"/>
        <v/>
      </c>
      <c r="DF94" s="535" t="str">
        <f t="shared" si="130"/>
        <v/>
      </c>
      <c r="DG94" s="534" t="str">
        <f t="shared" si="130"/>
        <v/>
      </c>
      <c r="DH94" s="533" t="str">
        <f t="shared" si="130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1">IF(B92="","",B91*B92*B93*B94)</f>
        <v/>
      </c>
      <c r="C95" s="870" t="str">
        <f t="shared" si="131"/>
        <v/>
      </c>
      <c r="D95" s="870" t="str">
        <f t="shared" si="131"/>
        <v/>
      </c>
      <c r="E95" s="870" t="str">
        <f t="shared" si="131"/>
        <v/>
      </c>
      <c r="F95" s="870" t="str">
        <f t="shared" si="131"/>
        <v/>
      </c>
      <c r="G95" s="870" t="str">
        <f t="shared" si="131"/>
        <v/>
      </c>
      <c r="H95" s="870" t="str">
        <f t="shared" si="131"/>
        <v/>
      </c>
      <c r="I95" s="870" t="str">
        <f t="shared" si="131"/>
        <v/>
      </c>
      <c r="J95" s="870" t="str">
        <f t="shared" si="131"/>
        <v/>
      </c>
      <c r="K95" s="870" t="str">
        <f t="shared" si="131"/>
        <v/>
      </c>
      <c r="L95" s="870" t="str">
        <f t="shared" si="131"/>
        <v/>
      </c>
      <c r="M95" s="870" t="str">
        <f t="shared" si="131"/>
        <v/>
      </c>
      <c r="N95" s="870" t="str">
        <f t="shared" si="131"/>
        <v/>
      </c>
      <c r="O95" s="870" t="str">
        <f t="shared" si="131"/>
        <v/>
      </c>
      <c r="P95" s="870" t="str">
        <f t="shared" si="131"/>
        <v/>
      </c>
      <c r="Q95" s="870" t="str">
        <f t="shared" si="131"/>
        <v/>
      </c>
      <c r="R95" s="870" t="str">
        <f t="shared" si="131"/>
        <v/>
      </c>
      <c r="S95" s="858"/>
      <c r="T95" s="870" t="str">
        <f t="shared" ref="T95:AC95" si="132">IF(T92="","",T91*T92*T93*T94)</f>
        <v/>
      </c>
      <c r="U95" s="870" t="str">
        <f t="shared" si="132"/>
        <v/>
      </c>
      <c r="V95" s="870" t="str">
        <f t="shared" si="132"/>
        <v/>
      </c>
      <c r="W95" s="870" t="str">
        <f t="shared" si="132"/>
        <v/>
      </c>
      <c r="X95" s="870" t="str">
        <f t="shared" si="132"/>
        <v/>
      </c>
      <c r="Y95" s="870" t="str">
        <f t="shared" si="132"/>
        <v/>
      </c>
      <c r="Z95" s="870" t="str">
        <f t="shared" si="132"/>
        <v/>
      </c>
      <c r="AA95" s="870" t="str">
        <f t="shared" si="132"/>
        <v/>
      </c>
      <c r="AB95" s="870" t="str">
        <f t="shared" si="132"/>
        <v/>
      </c>
      <c r="AC95" s="870" t="str">
        <f t="shared" si="132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3">IF(AL92="","",AL91*AL92*AL93*AL94)</f>
        <v/>
      </c>
      <c r="AM95" s="870" t="str">
        <f t="shared" si="133"/>
        <v/>
      </c>
      <c r="AN95" s="870" t="str">
        <f t="shared" si="133"/>
        <v/>
      </c>
      <c r="AO95" s="870" t="str">
        <f t="shared" si="133"/>
        <v/>
      </c>
      <c r="AP95" s="870" t="str">
        <f t="shared" si="133"/>
        <v/>
      </c>
      <c r="AQ95" s="870" t="str">
        <f t="shared" si="133"/>
        <v/>
      </c>
      <c r="AR95" s="870" t="str">
        <f t="shared" si="133"/>
        <v/>
      </c>
      <c r="AS95" s="870" t="str">
        <f t="shared" si="133"/>
        <v/>
      </c>
      <c r="AT95" s="870" t="str">
        <f t="shared" si="133"/>
        <v/>
      </c>
      <c r="AU95" s="870" t="str">
        <f t="shared" si="133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4">IF(BD92="","",BD91*BD92*BD93*BD94)</f>
        <v/>
      </c>
      <c r="BE95" s="870" t="str">
        <f t="shared" si="134"/>
        <v/>
      </c>
      <c r="BF95" s="870" t="str">
        <f t="shared" si="134"/>
        <v/>
      </c>
      <c r="BG95" s="870" t="str">
        <f t="shared" si="134"/>
        <v/>
      </c>
      <c r="BH95" s="870" t="str">
        <f t="shared" si="134"/>
        <v/>
      </c>
      <c r="BI95" s="870" t="str">
        <f t="shared" si="134"/>
        <v/>
      </c>
      <c r="BJ95" s="870" t="str">
        <f t="shared" si="134"/>
        <v/>
      </c>
      <c r="BK95" s="870" t="str">
        <f t="shared" si="134"/>
        <v/>
      </c>
      <c r="BL95" s="870" t="str">
        <f t="shared" si="134"/>
        <v/>
      </c>
      <c r="BM95" s="870" t="str">
        <f t="shared" si="134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8"/>
        <v/>
      </c>
      <c r="CF95" s="81" t="str">
        <f t="shared" si="128"/>
        <v/>
      </c>
      <c r="CG95" s="81" t="str">
        <f t="shared" si="128"/>
        <v/>
      </c>
      <c r="CH95" s="145" t="str">
        <f t="shared" si="128"/>
        <v/>
      </c>
      <c r="CI95" s="145" t="str">
        <f t="shared" si="128"/>
        <v/>
      </c>
      <c r="CJ95" s="145" t="str">
        <f t="shared" si="128"/>
        <v/>
      </c>
      <c r="CK95" s="81" t="str">
        <f t="shared" si="128"/>
        <v/>
      </c>
      <c r="CL95" s="81" t="str">
        <f t="shared" si="128"/>
        <v/>
      </c>
      <c r="CM95" s="81" t="str">
        <f t="shared" si="128"/>
        <v/>
      </c>
      <c r="CN95" s="81" t="str">
        <f t="shared" si="128"/>
        <v/>
      </c>
      <c r="CO95" s="81" t="str">
        <f t="shared" si="128"/>
        <v/>
      </c>
      <c r="CP95" s="80" t="str">
        <f t="shared" si="128"/>
        <v/>
      </c>
      <c r="CQ95" s="509" t="str">
        <f t="shared" si="128"/>
        <v/>
      </c>
      <c r="CR95" s="533" t="str">
        <f t="shared" si="129"/>
        <v/>
      </c>
      <c r="CS95" s="534" t="str">
        <f t="shared" si="129"/>
        <v/>
      </c>
      <c r="CT95" s="535" t="str">
        <f t="shared" si="129"/>
        <v/>
      </c>
      <c r="CU95" s="535" t="str">
        <f t="shared" si="129"/>
        <v/>
      </c>
      <c r="CV95" s="535" t="str">
        <f t="shared" si="129"/>
        <v/>
      </c>
      <c r="CW95" s="535" t="str">
        <f t="shared" si="129"/>
        <v/>
      </c>
      <c r="CX95" s="535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5" t="str">
        <f t="shared" si="130"/>
        <v/>
      </c>
      <c r="DF95" s="535" t="str">
        <f t="shared" si="130"/>
        <v/>
      </c>
      <c r="DG95" s="534" t="str">
        <f t="shared" si="130"/>
        <v/>
      </c>
      <c r="DH95" s="533" t="str">
        <f t="shared" si="130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5"/>
        <v/>
      </c>
      <c r="CF97" s="81" t="str">
        <f t="shared" si="135"/>
        <v/>
      </c>
      <c r="CG97" s="81" t="str">
        <f t="shared" si="135"/>
        <v/>
      </c>
      <c r="CH97" s="145" t="str">
        <f t="shared" si="135"/>
        <v/>
      </c>
      <c r="CI97" s="145" t="str">
        <f t="shared" si="135"/>
        <v/>
      </c>
      <c r="CJ97" s="145" t="str">
        <f t="shared" si="135"/>
        <v/>
      </c>
      <c r="CK97" s="81" t="str">
        <f t="shared" si="135"/>
        <v/>
      </c>
      <c r="CL97" s="81" t="str">
        <f t="shared" si="135"/>
        <v/>
      </c>
      <c r="CM97" s="81" t="str">
        <f t="shared" si="135"/>
        <v/>
      </c>
      <c r="CN97" s="81" t="str">
        <f t="shared" si="135"/>
        <v/>
      </c>
      <c r="CO97" s="81" t="str">
        <f t="shared" si="135"/>
        <v/>
      </c>
      <c r="CP97" s="80" t="str">
        <f t="shared" si="135"/>
        <v/>
      </c>
      <c r="CQ97" s="509" t="str">
        <f t="shared" ref="CE97:CQ101" si="136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7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7"/>
        <v/>
      </c>
      <c r="CT97" s="535" t="str">
        <f t="shared" si="137"/>
        <v/>
      </c>
      <c r="CU97" s="535" t="str">
        <f t="shared" si="137"/>
        <v/>
      </c>
      <c r="CV97" s="535" t="str">
        <f t="shared" si="137"/>
        <v/>
      </c>
      <c r="CW97" s="535" t="str">
        <f t="shared" si="137"/>
        <v/>
      </c>
      <c r="CX97" s="535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5" t="str">
        <f t="shared" ref="DB97:DH101" si="138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38"/>
        <v/>
      </c>
      <c r="DD97" s="535" t="str">
        <f t="shared" si="138"/>
        <v/>
      </c>
      <c r="DE97" s="535" t="str">
        <f t="shared" si="138"/>
        <v/>
      </c>
      <c r="DF97" s="535" t="str">
        <f t="shared" si="138"/>
        <v/>
      </c>
      <c r="DG97" s="534" t="str">
        <f t="shared" si="138"/>
        <v/>
      </c>
      <c r="DH97" s="533" t="str">
        <f t="shared" si="138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6"/>
        <v/>
      </c>
      <c r="CF98" s="81" t="str">
        <f t="shared" si="136"/>
        <v/>
      </c>
      <c r="CG98" s="81" t="str">
        <f t="shared" si="136"/>
        <v/>
      </c>
      <c r="CH98" s="145" t="str">
        <f t="shared" si="136"/>
        <v/>
      </c>
      <c r="CI98" s="145" t="str">
        <f t="shared" si="136"/>
        <v/>
      </c>
      <c r="CJ98" s="145" t="str">
        <f t="shared" si="136"/>
        <v/>
      </c>
      <c r="CK98" s="81" t="str">
        <f t="shared" si="136"/>
        <v/>
      </c>
      <c r="CL98" s="81" t="str">
        <f t="shared" si="136"/>
        <v/>
      </c>
      <c r="CM98" s="81" t="str">
        <f t="shared" si="136"/>
        <v/>
      </c>
      <c r="CN98" s="81" t="str">
        <f t="shared" si="136"/>
        <v/>
      </c>
      <c r="CO98" s="81" t="str">
        <f t="shared" si="136"/>
        <v/>
      </c>
      <c r="CP98" s="80" t="str">
        <f t="shared" si="136"/>
        <v/>
      </c>
      <c r="CQ98" s="509" t="str">
        <f t="shared" si="136"/>
        <v/>
      </c>
      <c r="CR98" s="533" t="str">
        <f t="shared" si="137"/>
        <v/>
      </c>
      <c r="CS98" s="534" t="str">
        <f t="shared" si="137"/>
        <v/>
      </c>
      <c r="CT98" s="535" t="str">
        <f t="shared" si="137"/>
        <v/>
      </c>
      <c r="CU98" s="535" t="str">
        <f t="shared" si="137"/>
        <v/>
      </c>
      <c r="CV98" s="535" t="str">
        <f t="shared" si="137"/>
        <v/>
      </c>
      <c r="CW98" s="535" t="str">
        <f t="shared" si="137"/>
        <v/>
      </c>
      <c r="CX98" s="535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5" t="str">
        <f t="shared" si="138"/>
        <v/>
      </c>
      <c r="DF98" s="535" t="str">
        <f t="shared" si="138"/>
        <v/>
      </c>
      <c r="DG98" s="534" t="str">
        <f t="shared" si="138"/>
        <v/>
      </c>
      <c r="DH98" s="533" t="str">
        <f t="shared" si="138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6"/>
        <v/>
      </c>
      <c r="CF99" s="81" t="str">
        <f t="shared" si="136"/>
        <v/>
      </c>
      <c r="CG99" s="81" t="str">
        <f t="shared" si="136"/>
        <v/>
      </c>
      <c r="CH99" s="145" t="str">
        <f t="shared" si="136"/>
        <v/>
      </c>
      <c r="CI99" s="145" t="str">
        <f t="shared" si="136"/>
        <v/>
      </c>
      <c r="CJ99" s="145" t="str">
        <f t="shared" si="136"/>
        <v/>
      </c>
      <c r="CK99" s="81" t="str">
        <f t="shared" si="136"/>
        <v/>
      </c>
      <c r="CL99" s="81" t="str">
        <f t="shared" si="136"/>
        <v/>
      </c>
      <c r="CM99" s="81" t="str">
        <f t="shared" si="136"/>
        <v/>
      </c>
      <c r="CN99" s="81" t="str">
        <f t="shared" si="136"/>
        <v/>
      </c>
      <c r="CO99" s="81" t="str">
        <f t="shared" si="136"/>
        <v/>
      </c>
      <c r="CP99" s="80" t="str">
        <f t="shared" si="136"/>
        <v/>
      </c>
      <c r="CQ99" s="509" t="str">
        <f t="shared" si="136"/>
        <v/>
      </c>
      <c r="CR99" s="533" t="str">
        <f t="shared" si="137"/>
        <v/>
      </c>
      <c r="CS99" s="534" t="str">
        <f t="shared" si="137"/>
        <v/>
      </c>
      <c r="CT99" s="535" t="str">
        <f t="shared" si="137"/>
        <v/>
      </c>
      <c r="CU99" s="535" t="str">
        <f t="shared" si="137"/>
        <v/>
      </c>
      <c r="CV99" s="535" t="str">
        <f t="shared" si="137"/>
        <v/>
      </c>
      <c r="CW99" s="535" t="str">
        <f t="shared" si="137"/>
        <v/>
      </c>
      <c r="CX99" s="535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5" t="str">
        <f t="shared" si="138"/>
        <v/>
      </c>
      <c r="DF99" s="535" t="str">
        <f t="shared" si="138"/>
        <v/>
      </c>
      <c r="DG99" s="534" t="str">
        <f t="shared" si="138"/>
        <v/>
      </c>
      <c r="DH99" s="533" t="str">
        <f t="shared" si="138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6"/>
        <v/>
      </c>
      <c r="CF100" s="81" t="str">
        <f t="shared" si="136"/>
        <v/>
      </c>
      <c r="CG100" s="81" t="str">
        <f t="shared" si="136"/>
        <v/>
      </c>
      <c r="CH100" s="145" t="str">
        <f t="shared" si="136"/>
        <v/>
      </c>
      <c r="CI100" s="145" t="str">
        <f t="shared" si="136"/>
        <v/>
      </c>
      <c r="CJ100" s="145" t="str">
        <f t="shared" si="136"/>
        <v/>
      </c>
      <c r="CK100" s="81" t="str">
        <f t="shared" si="136"/>
        <v/>
      </c>
      <c r="CL100" s="81" t="str">
        <f t="shared" si="136"/>
        <v/>
      </c>
      <c r="CM100" s="81" t="str">
        <f t="shared" si="136"/>
        <v/>
      </c>
      <c r="CN100" s="81" t="str">
        <f t="shared" si="136"/>
        <v/>
      </c>
      <c r="CO100" s="81" t="str">
        <f t="shared" si="136"/>
        <v/>
      </c>
      <c r="CP100" s="80" t="str">
        <f t="shared" si="136"/>
        <v/>
      </c>
      <c r="CQ100" s="509" t="str">
        <f t="shared" si="136"/>
        <v/>
      </c>
      <c r="CR100" s="533" t="str">
        <f t="shared" si="137"/>
        <v/>
      </c>
      <c r="CS100" s="534" t="str">
        <f t="shared" si="137"/>
        <v/>
      </c>
      <c r="CT100" s="535" t="str">
        <f t="shared" si="137"/>
        <v/>
      </c>
      <c r="CU100" s="535" t="str">
        <f t="shared" si="137"/>
        <v/>
      </c>
      <c r="CV100" s="535" t="str">
        <f t="shared" si="137"/>
        <v/>
      </c>
      <c r="CW100" s="535" t="str">
        <f t="shared" si="137"/>
        <v/>
      </c>
      <c r="CX100" s="535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5" t="str">
        <f t="shared" si="138"/>
        <v/>
      </c>
      <c r="DF100" s="535" t="str">
        <f t="shared" si="138"/>
        <v/>
      </c>
      <c r="DG100" s="534" t="str">
        <f t="shared" si="138"/>
        <v/>
      </c>
      <c r="DH100" s="533" t="str">
        <f t="shared" si="138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39">IF(B98="","",B97*B98*B99*B100)</f>
        <v/>
      </c>
      <c r="C101" s="870" t="str">
        <f t="shared" si="139"/>
        <v/>
      </c>
      <c r="D101" s="870" t="str">
        <f t="shared" si="139"/>
        <v/>
      </c>
      <c r="E101" s="870" t="str">
        <f t="shared" si="139"/>
        <v/>
      </c>
      <c r="F101" s="870" t="str">
        <f t="shared" si="139"/>
        <v/>
      </c>
      <c r="G101" s="870" t="str">
        <f t="shared" si="139"/>
        <v/>
      </c>
      <c r="H101" s="870" t="str">
        <f t="shared" si="139"/>
        <v/>
      </c>
      <c r="I101" s="870" t="str">
        <f t="shared" si="139"/>
        <v/>
      </c>
      <c r="J101" s="870" t="str">
        <f t="shared" si="139"/>
        <v/>
      </c>
      <c r="K101" s="870" t="str">
        <f t="shared" si="139"/>
        <v/>
      </c>
      <c r="L101" s="870" t="str">
        <f t="shared" si="139"/>
        <v/>
      </c>
      <c r="M101" s="870" t="str">
        <f t="shared" si="139"/>
        <v/>
      </c>
      <c r="N101" s="870" t="str">
        <f t="shared" si="139"/>
        <v/>
      </c>
      <c r="O101" s="870" t="str">
        <f t="shared" si="139"/>
        <v/>
      </c>
      <c r="P101" s="870" t="str">
        <f t="shared" si="139"/>
        <v/>
      </c>
      <c r="Q101" s="870" t="str">
        <f t="shared" si="139"/>
        <v/>
      </c>
      <c r="R101" s="870" t="str">
        <f t="shared" si="139"/>
        <v/>
      </c>
      <c r="S101" s="858"/>
      <c r="T101" s="870" t="str">
        <f t="shared" ref="T101:AC101" si="140">IF(T98="","",T97*T98*T99*T100)</f>
        <v/>
      </c>
      <c r="U101" s="870" t="str">
        <f t="shared" si="140"/>
        <v/>
      </c>
      <c r="V101" s="870" t="str">
        <f t="shared" si="140"/>
        <v/>
      </c>
      <c r="W101" s="870" t="str">
        <f t="shared" si="140"/>
        <v/>
      </c>
      <c r="X101" s="870" t="str">
        <f t="shared" si="140"/>
        <v/>
      </c>
      <c r="Y101" s="870" t="str">
        <f t="shared" si="140"/>
        <v/>
      </c>
      <c r="Z101" s="870" t="str">
        <f t="shared" si="140"/>
        <v/>
      </c>
      <c r="AA101" s="870" t="str">
        <f t="shared" si="140"/>
        <v/>
      </c>
      <c r="AB101" s="870" t="str">
        <f t="shared" si="140"/>
        <v/>
      </c>
      <c r="AC101" s="870" t="str">
        <f t="shared" si="140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1">IF(AL98="","",AL97*AL98*AL99*AL100)</f>
        <v/>
      </c>
      <c r="AM101" s="870" t="str">
        <f t="shared" si="141"/>
        <v/>
      </c>
      <c r="AN101" s="870" t="str">
        <f t="shared" si="141"/>
        <v/>
      </c>
      <c r="AO101" s="870" t="str">
        <f t="shared" si="141"/>
        <v/>
      </c>
      <c r="AP101" s="870" t="str">
        <f t="shared" si="141"/>
        <v/>
      </c>
      <c r="AQ101" s="870" t="str">
        <f t="shared" si="141"/>
        <v/>
      </c>
      <c r="AR101" s="870" t="str">
        <f t="shared" si="141"/>
        <v/>
      </c>
      <c r="AS101" s="870" t="str">
        <f t="shared" si="141"/>
        <v/>
      </c>
      <c r="AT101" s="870" t="str">
        <f t="shared" si="141"/>
        <v/>
      </c>
      <c r="AU101" s="870" t="str">
        <f t="shared" si="141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2">IF(BD98="","",BD97*BD98*BD99*BD100)</f>
        <v/>
      </c>
      <c r="BE101" s="870" t="str">
        <f t="shared" si="142"/>
        <v/>
      </c>
      <c r="BF101" s="870" t="str">
        <f t="shared" si="142"/>
        <v/>
      </c>
      <c r="BG101" s="870" t="str">
        <f t="shared" si="142"/>
        <v/>
      </c>
      <c r="BH101" s="870" t="str">
        <f t="shared" si="142"/>
        <v/>
      </c>
      <c r="BI101" s="870" t="str">
        <f t="shared" si="142"/>
        <v/>
      </c>
      <c r="BJ101" s="870" t="str">
        <f t="shared" si="142"/>
        <v/>
      </c>
      <c r="BK101" s="870" t="str">
        <f t="shared" si="142"/>
        <v/>
      </c>
      <c r="BL101" s="870" t="str">
        <f t="shared" si="142"/>
        <v/>
      </c>
      <c r="BM101" s="870" t="str">
        <f t="shared" si="142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6"/>
        <v/>
      </c>
      <c r="CF101" s="81" t="str">
        <f t="shared" si="136"/>
        <v/>
      </c>
      <c r="CG101" s="81" t="str">
        <f t="shared" si="136"/>
        <v/>
      </c>
      <c r="CH101" s="145" t="str">
        <f t="shared" si="136"/>
        <v/>
      </c>
      <c r="CI101" s="145" t="str">
        <f t="shared" si="136"/>
        <v/>
      </c>
      <c r="CJ101" s="145" t="str">
        <f t="shared" si="136"/>
        <v/>
      </c>
      <c r="CK101" s="81" t="str">
        <f t="shared" si="136"/>
        <v/>
      </c>
      <c r="CL101" s="81" t="str">
        <f t="shared" si="136"/>
        <v/>
      </c>
      <c r="CM101" s="81" t="str">
        <f t="shared" si="136"/>
        <v/>
      </c>
      <c r="CN101" s="81" t="str">
        <f t="shared" si="136"/>
        <v/>
      </c>
      <c r="CO101" s="81" t="str">
        <f t="shared" si="136"/>
        <v/>
      </c>
      <c r="CP101" s="80" t="str">
        <f t="shared" si="136"/>
        <v/>
      </c>
      <c r="CQ101" s="509" t="str">
        <f t="shared" si="136"/>
        <v/>
      </c>
      <c r="CR101" s="533" t="str">
        <f t="shared" si="137"/>
        <v/>
      </c>
      <c r="CS101" s="534" t="str">
        <f t="shared" si="137"/>
        <v/>
      </c>
      <c r="CT101" s="535" t="str">
        <f t="shared" si="137"/>
        <v/>
      </c>
      <c r="CU101" s="535" t="str">
        <f t="shared" si="137"/>
        <v/>
      </c>
      <c r="CV101" s="535" t="str">
        <f t="shared" si="137"/>
        <v/>
      </c>
      <c r="CW101" s="535" t="str">
        <f t="shared" si="137"/>
        <v/>
      </c>
      <c r="CX101" s="535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5" t="str">
        <f t="shared" si="138"/>
        <v/>
      </c>
      <c r="DF101" s="535" t="str">
        <f t="shared" si="138"/>
        <v/>
      </c>
      <c r="DG101" s="534" t="str">
        <f t="shared" si="138"/>
        <v/>
      </c>
      <c r="DH101" s="533" t="str">
        <f t="shared" si="138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3"/>
        <v/>
      </c>
      <c r="CF103" s="81" t="str">
        <f t="shared" si="143"/>
        <v/>
      </c>
      <c r="CG103" s="81" t="str">
        <f t="shared" si="143"/>
        <v/>
      </c>
      <c r="CH103" s="145" t="str">
        <f t="shared" si="143"/>
        <v/>
      </c>
      <c r="CI103" s="145" t="str">
        <f t="shared" si="143"/>
        <v/>
      </c>
      <c r="CJ103" s="145" t="str">
        <f t="shared" si="143"/>
        <v/>
      </c>
      <c r="CK103" s="81" t="str">
        <f t="shared" si="143"/>
        <v/>
      </c>
      <c r="CL103" s="81" t="str">
        <f t="shared" si="143"/>
        <v/>
      </c>
      <c r="CM103" s="81" t="str">
        <f t="shared" si="143"/>
        <v/>
      </c>
      <c r="CN103" s="81" t="str">
        <f t="shared" si="143"/>
        <v/>
      </c>
      <c r="CO103" s="81" t="str">
        <f t="shared" si="143"/>
        <v/>
      </c>
      <c r="CP103" s="80" t="str">
        <f t="shared" si="143"/>
        <v/>
      </c>
      <c r="CQ103" s="509" t="str">
        <f t="shared" ref="CE103:CQ107" si="144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5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5"/>
        <v/>
      </c>
      <c r="CT103" s="535" t="str">
        <f t="shared" si="145"/>
        <v/>
      </c>
      <c r="CU103" s="535" t="str">
        <f t="shared" si="145"/>
        <v/>
      </c>
      <c r="CV103" s="535" t="str">
        <f t="shared" si="145"/>
        <v/>
      </c>
      <c r="CW103" s="535" t="str">
        <f t="shared" si="145"/>
        <v/>
      </c>
      <c r="CX103" s="535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5" t="str">
        <f t="shared" ref="DB103:DH107" si="146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6"/>
        <v/>
      </c>
      <c r="DD103" s="535" t="str">
        <f t="shared" si="146"/>
        <v/>
      </c>
      <c r="DE103" s="535" t="str">
        <f t="shared" si="146"/>
        <v/>
      </c>
      <c r="DF103" s="535" t="str">
        <f t="shared" si="146"/>
        <v/>
      </c>
      <c r="DG103" s="534" t="str">
        <f t="shared" si="146"/>
        <v/>
      </c>
      <c r="DH103" s="533" t="str">
        <f t="shared" si="146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4"/>
        <v/>
      </c>
      <c r="CF104" s="81" t="str">
        <f t="shared" si="144"/>
        <v/>
      </c>
      <c r="CG104" s="81" t="str">
        <f t="shared" si="144"/>
        <v/>
      </c>
      <c r="CH104" s="145" t="str">
        <f t="shared" si="144"/>
        <v/>
      </c>
      <c r="CI104" s="145" t="str">
        <f t="shared" si="144"/>
        <v/>
      </c>
      <c r="CJ104" s="145" t="str">
        <f t="shared" si="144"/>
        <v/>
      </c>
      <c r="CK104" s="81" t="str">
        <f t="shared" si="144"/>
        <v/>
      </c>
      <c r="CL104" s="81" t="str">
        <f t="shared" si="144"/>
        <v/>
      </c>
      <c r="CM104" s="81" t="str">
        <f t="shared" si="144"/>
        <v/>
      </c>
      <c r="CN104" s="81" t="str">
        <f t="shared" si="144"/>
        <v/>
      </c>
      <c r="CO104" s="81" t="str">
        <f t="shared" si="144"/>
        <v/>
      </c>
      <c r="CP104" s="80" t="str">
        <f t="shared" si="144"/>
        <v/>
      </c>
      <c r="CQ104" s="509" t="str">
        <f t="shared" si="144"/>
        <v/>
      </c>
      <c r="CR104" s="533" t="str">
        <f t="shared" si="145"/>
        <v/>
      </c>
      <c r="CS104" s="534" t="str">
        <f t="shared" si="145"/>
        <v/>
      </c>
      <c r="CT104" s="535" t="str">
        <f t="shared" si="145"/>
        <v/>
      </c>
      <c r="CU104" s="535" t="str">
        <f t="shared" si="145"/>
        <v/>
      </c>
      <c r="CV104" s="535" t="str">
        <f t="shared" si="145"/>
        <v/>
      </c>
      <c r="CW104" s="535" t="str">
        <f t="shared" si="145"/>
        <v/>
      </c>
      <c r="CX104" s="535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5" t="str">
        <f t="shared" si="146"/>
        <v/>
      </c>
      <c r="DF104" s="535" t="str">
        <f t="shared" si="146"/>
        <v/>
      </c>
      <c r="DG104" s="534" t="str">
        <f t="shared" si="146"/>
        <v/>
      </c>
      <c r="DH104" s="533" t="str">
        <f t="shared" si="146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2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4"/>
        <v/>
      </c>
      <c r="CF105" s="81" t="str">
        <f t="shared" si="144"/>
        <v/>
      </c>
      <c r="CG105" s="81" t="str">
        <f t="shared" si="144"/>
        <v/>
      </c>
      <c r="CH105" s="145" t="str">
        <f t="shared" si="144"/>
        <v/>
      </c>
      <c r="CI105" s="145" t="str">
        <f t="shared" si="144"/>
        <v/>
      </c>
      <c r="CJ105" s="145" t="str">
        <f t="shared" si="144"/>
        <v/>
      </c>
      <c r="CK105" s="81" t="str">
        <f t="shared" si="144"/>
        <v/>
      </c>
      <c r="CL105" s="81" t="str">
        <f t="shared" si="144"/>
        <v/>
      </c>
      <c r="CM105" s="81" t="str">
        <f t="shared" si="144"/>
        <v/>
      </c>
      <c r="CN105" s="81" t="str">
        <f t="shared" si="144"/>
        <v/>
      </c>
      <c r="CO105" s="81" t="str">
        <f t="shared" si="144"/>
        <v/>
      </c>
      <c r="CP105" s="80" t="str">
        <f t="shared" si="144"/>
        <v/>
      </c>
      <c r="CQ105" s="509" t="str">
        <f t="shared" si="144"/>
        <v/>
      </c>
      <c r="CR105" s="533" t="str">
        <f t="shared" si="145"/>
        <v/>
      </c>
      <c r="CS105" s="534" t="str">
        <f t="shared" si="145"/>
        <v/>
      </c>
      <c r="CT105" s="535" t="str">
        <f t="shared" si="145"/>
        <v/>
      </c>
      <c r="CU105" s="535" t="str">
        <f t="shared" si="145"/>
        <v/>
      </c>
      <c r="CV105" s="535" t="str">
        <f t="shared" si="145"/>
        <v/>
      </c>
      <c r="CW105" s="535" t="str">
        <f t="shared" si="145"/>
        <v/>
      </c>
      <c r="CX105" s="535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5" t="str">
        <f t="shared" si="146"/>
        <v/>
      </c>
      <c r="DF105" s="535" t="str">
        <f t="shared" si="146"/>
        <v/>
      </c>
      <c r="DG105" s="534" t="str">
        <f t="shared" si="146"/>
        <v/>
      </c>
      <c r="DH105" s="533" t="str">
        <f t="shared" si="146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105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4"/>
        <v/>
      </c>
      <c r="CF106" s="81" t="str">
        <f t="shared" si="144"/>
        <v/>
      </c>
      <c r="CG106" s="81" t="str">
        <f t="shared" si="144"/>
        <v/>
      </c>
      <c r="CH106" s="145" t="str">
        <f t="shared" si="144"/>
        <v/>
      </c>
      <c r="CI106" s="145" t="str">
        <f t="shared" si="144"/>
        <v/>
      </c>
      <c r="CJ106" s="145" t="str">
        <f t="shared" si="144"/>
        <v/>
      </c>
      <c r="CK106" s="81" t="str">
        <f t="shared" si="144"/>
        <v/>
      </c>
      <c r="CL106" s="81" t="str">
        <f t="shared" si="144"/>
        <v/>
      </c>
      <c r="CM106" s="81" t="str">
        <f t="shared" si="144"/>
        <v/>
      </c>
      <c r="CN106" s="81" t="str">
        <f t="shared" si="144"/>
        <v/>
      </c>
      <c r="CO106" s="81" t="str">
        <f t="shared" si="144"/>
        <v/>
      </c>
      <c r="CP106" s="80" t="str">
        <f t="shared" si="144"/>
        <v/>
      </c>
      <c r="CQ106" s="509" t="str">
        <f t="shared" si="144"/>
        <v/>
      </c>
      <c r="CR106" s="533" t="str">
        <f t="shared" si="145"/>
        <v/>
      </c>
      <c r="CS106" s="534" t="str">
        <f t="shared" si="145"/>
        <v/>
      </c>
      <c r="CT106" s="535" t="str">
        <f t="shared" si="145"/>
        <v/>
      </c>
      <c r="CU106" s="535" t="str">
        <f t="shared" si="145"/>
        <v/>
      </c>
      <c r="CV106" s="535" t="str">
        <f t="shared" si="145"/>
        <v/>
      </c>
      <c r="CW106" s="535" t="str">
        <f t="shared" si="145"/>
        <v/>
      </c>
      <c r="CX106" s="535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5" t="str">
        <f t="shared" si="146"/>
        <v/>
      </c>
      <c r="DF106" s="535" t="str">
        <f t="shared" si="146"/>
        <v/>
      </c>
      <c r="DG106" s="534" t="str">
        <f t="shared" si="146"/>
        <v/>
      </c>
      <c r="DH106" s="533" t="str">
        <f t="shared" si="146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7">IF(B104="","",B103*B104*B105*B106)</f>
        <v/>
      </c>
      <c r="C107" s="870" t="str">
        <f t="shared" si="147"/>
        <v/>
      </c>
      <c r="D107" s="870" t="str">
        <f t="shared" si="147"/>
        <v/>
      </c>
      <c r="E107" s="870" t="str">
        <f t="shared" si="147"/>
        <v/>
      </c>
      <c r="F107" s="870" t="str">
        <f t="shared" si="147"/>
        <v/>
      </c>
      <c r="G107" s="870" t="str">
        <f t="shared" si="147"/>
        <v/>
      </c>
      <c r="H107" s="870" t="str">
        <f t="shared" si="147"/>
        <v/>
      </c>
      <c r="I107" s="870" t="str">
        <f t="shared" si="147"/>
        <v/>
      </c>
      <c r="J107" s="870" t="str">
        <f t="shared" si="147"/>
        <v/>
      </c>
      <c r="K107" s="870" t="str">
        <f t="shared" si="147"/>
        <v/>
      </c>
      <c r="L107" s="870" t="str">
        <f t="shared" si="147"/>
        <v/>
      </c>
      <c r="M107" s="870" t="str">
        <f t="shared" si="147"/>
        <v/>
      </c>
      <c r="N107" s="870" t="str">
        <f t="shared" si="147"/>
        <v/>
      </c>
      <c r="O107" s="870" t="str">
        <f t="shared" si="147"/>
        <v/>
      </c>
      <c r="P107" s="870" t="str">
        <f t="shared" si="147"/>
        <v/>
      </c>
      <c r="Q107" s="870" t="str">
        <f t="shared" si="147"/>
        <v/>
      </c>
      <c r="R107" s="870" t="str">
        <f t="shared" si="147"/>
        <v/>
      </c>
      <c r="S107" s="858"/>
      <c r="T107" s="870" t="str">
        <f t="shared" ref="T107:AC107" si="148">IF(T104="","",T103*T104*T105*T106)</f>
        <v/>
      </c>
      <c r="U107" s="870" t="str">
        <f t="shared" si="148"/>
        <v/>
      </c>
      <c r="V107" s="870" t="str">
        <f t="shared" si="148"/>
        <v/>
      </c>
      <c r="W107" s="870" t="str">
        <f t="shared" si="148"/>
        <v/>
      </c>
      <c r="X107" s="870" t="str">
        <f t="shared" si="148"/>
        <v/>
      </c>
      <c r="Y107" s="870" t="str">
        <f t="shared" si="148"/>
        <v/>
      </c>
      <c r="Z107" s="870" t="str">
        <f t="shared" si="148"/>
        <v/>
      </c>
      <c r="AA107" s="870" t="str">
        <f t="shared" si="148"/>
        <v/>
      </c>
      <c r="AB107" s="870" t="str">
        <f t="shared" si="148"/>
        <v/>
      </c>
      <c r="AC107" s="870" t="str">
        <f t="shared" si="148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49">IF(AL104="","",AL103*AL104*AL105*AL106)</f>
        <v/>
      </c>
      <c r="AM107" s="870" t="str">
        <f t="shared" si="149"/>
        <v/>
      </c>
      <c r="AN107" s="870" t="str">
        <f t="shared" si="149"/>
        <v/>
      </c>
      <c r="AO107" s="870" t="str">
        <f t="shared" si="149"/>
        <v/>
      </c>
      <c r="AP107" s="870" t="str">
        <f t="shared" si="149"/>
        <v/>
      </c>
      <c r="AQ107" s="870" t="str">
        <f t="shared" si="149"/>
        <v/>
      </c>
      <c r="AR107" s="870" t="str">
        <f t="shared" si="149"/>
        <v/>
      </c>
      <c r="AS107" s="870" t="str">
        <f t="shared" si="149"/>
        <v/>
      </c>
      <c r="AT107" s="870" t="str">
        <f t="shared" si="149"/>
        <v/>
      </c>
      <c r="AU107" s="870" t="str">
        <f t="shared" si="149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0">IF(BD104="","",BD103*BD104*BD105*BD106)</f>
        <v/>
      </c>
      <c r="BE107" s="870" t="str">
        <f t="shared" si="150"/>
        <v/>
      </c>
      <c r="BF107" s="870" t="str">
        <f t="shared" si="150"/>
        <v/>
      </c>
      <c r="BG107" s="870" t="str">
        <f t="shared" si="150"/>
        <v/>
      </c>
      <c r="BH107" s="870" t="str">
        <f t="shared" si="150"/>
        <v/>
      </c>
      <c r="BI107" s="870" t="str">
        <f t="shared" si="150"/>
        <v/>
      </c>
      <c r="BJ107" s="870" t="str">
        <f t="shared" si="150"/>
        <v/>
      </c>
      <c r="BK107" s="870" t="str">
        <f t="shared" si="150"/>
        <v/>
      </c>
      <c r="BL107" s="870" t="str">
        <f t="shared" si="150"/>
        <v/>
      </c>
      <c r="BM107" s="870" t="str">
        <f t="shared" si="150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3150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4"/>
        <v/>
      </c>
      <c r="CF107" s="81" t="str">
        <f t="shared" si="144"/>
        <v/>
      </c>
      <c r="CG107" s="81" t="str">
        <f t="shared" si="144"/>
        <v/>
      </c>
      <c r="CH107" s="145" t="str">
        <f t="shared" si="144"/>
        <v/>
      </c>
      <c r="CI107" s="145" t="str">
        <f t="shared" si="144"/>
        <v/>
      </c>
      <c r="CJ107" s="145" t="str">
        <f t="shared" si="144"/>
        <v/>
      </c>
      <c r="CK107" s="81" t="str">
        <f t="shared" si="144"/>
        <v/>
      </c>
      <c r="CL107" s="81" t="str">
        <f t="shared" si="144"/>
        <v/>
      </c>
      <c r="CM107" s="81" t="str">
        <f t="shared" si="144"/>
        <v/>
      </c>
      <c r="CN107" s="81" t="str">
        <f t="shared" si="144"/>
        <v/>
      </c>
      <c r="CO107" s="81" t="str">
        <f t="shared" si="144"/>
        <v/>
      </c>
      <c r="CP107" s="80" t="str">
        <f t="shared" si="144"/>
        <v/>
      </c>
      <c r="CQ107" s="509" t="str">
        <f t="shared" si="144"/>
        <v/>
      </c>
      <c r="CR107" s="533" t="str">
        <f t="shared" si="145"/>
        <v/>
      </c>
      <c r="CS107" s="534" t="str">
        <f t="shared" si="145"/>
        <v/>
      </c>
      <c r="CT107" s="535" t="str">
        <f t="shared" si="145"/>
        <v/>
      </c>
      <c r="CU107" s="535" t="str">
        <f t="shared" si="145"/>
        <v/>
      </c>
      <c r="CV107" s="535" t="str">
        <f t="shared" si="145"/>
        <v/>
      </c>
      <c r="CW107" s="535" t="str">
        <f t="shared" si="145"/>
        <v/>
      </c>
      <c r="CX107" s="535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5" t="str">
        <f t="shared" si="146"/>
        <v/>
      </c>
      <c r="DF107" s="535" t="str">
        <f t="shared" si="146"/>
        <v/>
      </c>
      <c r="DG107" s="534" t="str">
        <f t="shared" si="146"/>
        <v/>
      </c>
      <c r="DH107" s="533" t="str">
        <f t="shared" si="146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1"/>
        <v/>
      </c>
      <c r="CF109" s="81" t="str">
        <f t="shared" si="151"/>
        <v/>
      </c>
      <c r="CG109" s="81" t="str">
        <f t="shared" si="151"/>
        <v/>
      </c>
      <c r="CH109" s="145" t="str">
        <f t="shared" si="151"/>
        <v/>
      </c>
      <c r="CI109" s="145" t="str">
        <f t="shared" si="151"/>
        <v/>
      </c>
      <c r="CJ109" s="145" t="str">
        <f t="shared" si="151"/>
        <v/>
      </c>
      <c r="CK109" s="81" t="str">
        <f t="shared" si="151"/>
        <v/>
      </c>
      <c r="CL109" s="81" t="str">
        <f t="shared" si="151"/>
        <v/>
      </c>
      <c r="CM109" s="81" t="str">
        <f t="shared" si="151"/>
        <v/>
      </c>
      <c r="CN109" s="81" t="str">
        <f t="shared" si="151"/>
        <v/>
      </c>
      <c r="CO109" s="81" t="str">
        <f t="shared" si="151"/>
        <v/>
      </c>
      <c r="CP109" s="80" t="str">
        <f t="shared" si="151"/>
        <v/>
      </c>
      <c r="CQ109" s="509" t="str">
        <f t="shared" ref="CE109:CQ113" si="152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3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3"/>
        <v/>
      </c>
      <c r="CT109" s="535" t="str">
        <f t="shared" si="153"/>
        <v/>
      </c>
      <c r="CU109" s="535" t="str">
        <f t="shared" si="153"/>
        <v/>
      </c>
      <c r="CV109" s="535" t="str">
        <f t="shared" si="153"/>
        <v/>
      </c>
      <c r="CW109" s="535" t="str">
        <f t="shared" si="153"/>
        <v/>
      </c>
      <c r="CX109" s="535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5" t="str">
        <f t="shared" ref="DB109:DH113" si="154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4"/>
        <v/>
      </c>
      <c r="DD109" s="535" t="str">
        <f t="shared" si="154"/>
        <v/>
      </c>
      <c r="DE109" s="535" t="str">
        <f t="shared" si="154"/>
        <v/>
      </c>
      <c r="DF109" s="535" t="str">
        <f t="shared" si="154"/>
        <v/>
      </c>
      <c r="DG109" s="534" t="str">
        <f t="shared" si="154"/>
        <v/>
      </c>
      <c r="DH109" s="533" t="str">
        <f t="shared" si="154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2"/>
        <v/>
      </c>
      <c r="CF110" s="81" t="str">
        <f t="shared" si="152"/>
        <v/>
      </c>
      <c r="CG110" s="81" t="str">
        <f t="shared" si="152"/>
        <v/>
      </c>
      <c r="CH110" s="145" t="str">
        <f t="shared" si="152"/>
        <v/>
      </c>
      <c r="CI110" s="145" t="str">
        <f t="shared" si="152"/>
        <v/>
      </c>
      <c r="CJ110" s="145" t="str">
        <f t="shared" si="152"/>
        <v/>
      </c>
      <c r="CK110" s="81" t="str">
        <f t="shared" si="152"/>
        <v/>
      </c>
      <c r="CL110" s="81" t="str">
        <f t="shared" si="152"/>
        <v/>
      </c>
      <c r="CM110" s="81" t="str">
        <f t="shared" si="152"/>
        <v/>
      </c>
      <c r="CN110" s="81" t="str">
        <f t="shared" si="152"/>
        <v/>
      </c>
      <c r="CO110" s="81" t="str">
        <f t="shared" si="152"/>
        <v/>
      </c>
      <c r="CP110" s="80" t="str">
        <f t="shared" si="152"/>
        <v/>
      </c>
      <c r="CQ110" s="509" t="str">
        <f t="shared" si="152"/>
        <v/>
      </c>
      <c r="CR110" s="533" t="str">
        <f t="shared" si="153"/>
        <v/>
      </c>
      <c r="CS110" s="534" t="str">
        <f t="shared" si="153"/>
        <v/>
      </c>
      <c r="CT110" s="535" t="str">
        <f t="shared" si="153"/>
        <v/>
      </c>
      <c r="CU110" s="535" t="str">
        <f t="shared" si="153"/>
        <v/>
      </c>
      <c r="CV110" s="535" t="str">
        <f t="shared" si="153"/>
        <v/>
      </c>
      <c r="CW110" s="535" t="str">
        <f t="shared" si="153"/>
        <v/>
      </c>
      <c r="CX110" s="535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5" t="str">
        <f t="shared" si="154"/>
        <v/>
      </c>
      <c r="DF110" s="535" t="str">
        <f t="shared" si="154"/>
        <v/>
      </c>
      <c r="DG110" s="534" t="str">
        <f t="shared" si="154"/>
        <v/>
      </c>
      <c r="DH110" s="533" t="str">
        <f t="shared" si="154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2"/>
        <v/>
      </c>
      <c r="CF111" s="81" t="str">
        <f t="shared" si="152"/>
        <v/>
      </c>
      <c r="CG111" s="81" t="str">
        <f t="shared" si="152"/>
        <v/>
      </c>
      <c r="CH111" s="145" t="str">
        <f t="shared" si="152"/>
        <v/>
      </c>
      <c r="CI111" s="145" t="str">
        <f t="shared" si="152"/>
        <v/>
      </c>
      <c r="CJ111" s="145" t="str">
        <f t="shared" si="152"/>
        <v/>
      </c>
      <c r="CK111" s="81" t="str">
        <f t="shared" si="152"/>
        <v/>
      </c>
      <c r="CL111" s="81" t="str">
        <f t="shared" si="152"/>
        <v/>
      </c>
      <c r="CM111" s="81" t="str">
        <f t="shared" si="152"/>
        <v/>
      </c>
      <c r="CN111" s="81" t="str">
        <f t="shared" si="152"/>
        <v/>
      </c>
      <c r="CO111" s="81" t="str">
        <f t="shared" si="152"/>
        <v/>
      </c>
      <c r="CP111" s="80" t="str">
        <f t="shared" si="152"/>
        <v/>
      </c>
      <c r="CQ111" s="509" t="str">
        <f t="shared" si="152"/>
        <v/>
      </c>
      <c r="CR111" s="533" t="str">
        <f t="shared" si="153"/>
        <v/>
      </c>
      <c r="CS111" s="534" t="str">
        <f t="shared" si="153"/>
        <v/>
      </c>
      <c r="CT111" s="535" t="str">
        <f t="shared" si="153"/>
        <v/>
      </c>
      <c r="CU111" s="535" t="str">
        <f t="shared" si="153"/>
        <v/>
      </c>
      <c r="CV111" s="535" t="str">
        <f t="shared" si="153"/>
        <v/>
      </c>
      <c r="CW111" s="535" t="str">
        <f t="shared" si="153"/>
        <v/>
      </c>
      <c r="CX111" s="535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5" t="str">
        <f t="shared" si="154"/>
        <v/>
      </c>
      <c r="DF111" s="535" t="str">
        <f t="shared" si="154"/>
        <v/>
      </c>
      <c r="DG111" s="534" t="str">
        <f t="shared" si="154"/>
        <v/>
      </c>
      <c r="DH111" s="533" t="str">
        <f t="shared" si="154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2"/>
        <v/>
      </c>
      <c r="CF112" s="81" t="str">
        <f t="shared" si="152"/>
        <v/>
      </c>
      <c r="CG112" s="81" t="str">
        <f t="shared" si="152"/>
        <v/>
      </c>
      <c r="CH112" s="145" t="str">
        <f t="shared" si="152"/>
        <v/>
      </c>
      <c r="CI112" s="145" t="str">
        <f t="shared" si="152"/>
        <v/>
      </c>
      <c r="CJ112" s="145" t="str">
        <f t="shared" si="152"/>
        <v/>
      </c>
      <c r="CK112" s="81" t="str">
        <f t="shared" si="152"/>
        <v/>
      </c>
      <c r="CL112" s="81" t="str">
        <f t="shared" si="152"/>
        <v/>
      </c>
      <c r="CM112" s="81" t="str">
        <f t="shared" si="152"/>
        <v/>
      </c>
      <c r="CN112" s="81" t="str">
        <f t="shared" si="152"/>
        <v/>
      </c>
      <c r="CO112" s="81" t="str">
        <f t="shared" si="152"/>
        <v/>
      </c>
      <c r="CP112" s="80" t="str">
        <f t="shared" si="152"/>
        <v/>
      </c>
      <c r="CQ112" s="509" t="str">
        <f t="shared" si="152"/>
        <v/>
      </c>
      <c r="CR112" s="533" t="str">
        <f t="shared" si="153"/>
        <v/>
      </c>
      <c r="CS112" s="534" t="str">
        <f t="shared" si="153"/>
        <v/>
      </c>
      <c r="CT112" s="535" t="str">
        <f t="shared" si="153"/>
        <v/>
      </c>
      <c r="CU112" s="535" t="str">
        <f t="shared" si="153"/>
        <v/>
      </c>
      <c r="CV112" s="535" t="str">
        <f t="shared" si="153"/>
        <v/>
      </c>
      <c r="CW112" s="535" t="str">
        <f t="shared" si="153"/>
        <v/>
      </c>
      <c r="CX112" s="535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5" t="str">
        <f t="shared" si="154"/>
        <v/>
      </c>
      <c r="DF112" s="535" t="str">
        <f t="shared" si="154"/>
        <v/>
      </c>
      <c r="DG112" s="534" t="str">
        <f t="shared" si="154"/>
        <v/>
      </c>
      <c r="DH112" s="533" t="str">
        <f t="shared" si="154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5">IF(B110="","",B109*B110*B111*B112)</f>
        <v/>
      </c>
      <c r="C113" s="870" t="str">
        <f t="shared" si="155"/>
        <v/>
      </c>
      <c r="D113" s="870" t="str">
        <f t="shared" si="155"/>
        <v/>
      </c>
      <c r="E113" s="870" t="str">
        <f t="shared" si="155"/>
        <v/>
      </c>
      <c r="F113" s="870" t="str">
        <f t="shared" si="155"/>
        <v/>
      </c>
      <c r="G113" s="870" t="str">
        <f t="shared" si="155"/>
        <v/>
      </c>
      <c r="H113" s="870" t="str">
        <f t="shared" si="155"/>
        <v/>
      </c>
      <c r="I113" s="870" t="str">
        <f t="shared" si="155"/>
        <v/>
      </c>
      <c r="J113" s="870" t="str">
        <f t="shared" si="155"/>
        <v/>
      </c>
      <c r="K113" s="870" t="str">
        <f t="shared" si="155"/>
        <v/>
      </c>
      <c r="L113" s="870" t="str">
        <f t="shared" si="155"/>
        <v/>
      </c>
      <c r="M113" s="870" t="str">
        <f t="shared" si="155"/>
        <v/>
      </c>
      <c r="N113" s="870" t="str">
        <f t="shared" si="155"/>
        <v/>
      </c>
      <c r="O113" s="870" t="str">
        <f t="shared" si="155"/>
        <v/>
      </c>
      <c r="P113" s="870" t="str">
        <f t="shared" si="155"/>
        <v/>
      </c>
      <c r="Q113" s="870" t="str">
        <f t="shared" si="155"/>
        <v/>
      </c>
      <c r="R113" s="870" t="str">
        <f t="shared" si="155"/>
        <v/>
      </c>
      <c r="S113" s="858"/>
      <c r="T113" s="870" t="str">
        <f t="shared" ref="T113:AC113" si="156">IF(T110="","",T109*T110*T111*T112)</f>
        <v/>
      </c>
      <c r="U113" s="870" t="str">
        <f t="shared" si="156"/>
        <v/>
      </c>
      <c r="V113" s="870" t="str">
        <f t="shared" si="156"/>
        <v/>
      </c>
      <c r="W113" s="870" t="str">
        <f t="shared" si="156"/>
        <v/>
      </c>
      <c r="X113" s="870" t="str">
        <f t="shared" si="156"/>
        <v/>
      </c>
      <c r="Y113" s="870" t="str">
        <f t="shared" si="156"/>
        <v/>
      </c>
      <c r="Z113" s="870" t="str">
        <f t="shared" si="156"/>
        <v/>
      </c>
      <c r="AA113" s="870" t="str">
        <f t="shared" si="156"/>
        <v/>
      </c>
      <c r="AB113" s="870" t="str">
        <f t="shared" si="156"/>
        <v/>
      </c>
      <c r="AC113" s="870" t="str">
        <f t="shared" si="156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7">IF(AL110="","",AL109*AL110*AL111*AL112)</f>
        <v/>
      </c>
      <c r="AM113" s="870" t="str">
        <f t="shared" si="157"/>
        <v/>
      </c>
      <c r="AN113" s="870" t="str">
        <f t="shared" si="157"/>
        <v/>
      </c>
      <c r="AO113" s="870" t="str">
        <f t="shared" si="157"/>
        <v/>
      </c>
      <c r="AP113" s="870" t="str">
        <f t="shared" si="157"/>
        <v/>
      </c>
      <c r="AQ113" s="870" t="str">
        <f t="shared" si="157"/>
        <v/>
      </c>
      <c r="AR113" s="870" t="str">
        <f t="shared" si="157"/>
        <v/>
      </c>
      <c r="AS113" s="870" t="str">
        <f t="shared" si="157"/>
        <v/>
      </c>
      <c r="AT113" s="870" t="str">
        <f t="shared" si="157"/>
        <v/>
      </c>
      <c r="AU113" s="870" t="str">
        <f t="shared" si="157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58">IF(BD110="","",BD109*BD110*BD111*BD112)</f>
        <v/>
      </c>
      <c r="BE113" s="870" t="str">
        <f t="shared" si="158"/>
        <v/>
      </c>
      <c r="BF113" s="870" t="str">
        <f t="shared" si="158"/>
        <v/>
      </c>
      <c r="BG113" s="870" t="str">
        <f t="shared" si="158"/>
        <v/>
      </c>
      <c r="BH113" s="870" t="str">
        <f t="shared" si="158"/>
        <v/>
      </c>
      <c r="BI113" s="870" t="str">
        <f t="shared" si="158"/>
        <v/>
      </c>
      <c r="BJ113" s="870" t="str">
        <f t="shared" si="158"/>
        <v/>
      </c>
      <c r="BK113" s="870" t="str">
        <f t="shared" si="158"/>
        <v/>
      </c>
      <c r="BL113" s="870" t="str">
        <f t="shared" si="158"/>
        <v/>
      </c>
      <c r="BM113" s="870" t="str">
        <f t="shared" si="158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2"/>
        <v/>
      </c>
      <c r="CF113" s="81" t="str">
        <f t="shared" si="152"/>
        <v/>
      </c>
      <c r="CG113" s="81" t="str">
        <f t="shared" si="152"/>
        <v/>
      </c>
      <c r="CH113" s="145" t="str">
        <f t="shared" si="152"/>
        <v/>
      </c>
      <c r="CI113" s="145" t="str">
        <f t="shared" si="152"/>
        <v/>
      </c>
      <c r="CJ113" s="145" t="str">
        <f t="shared" si="152"/>
        <v/>
      </c>
      <c r="CK113" s="81" t="str">
        <f t="shared" si="152"/>
        <v/>
      </c>
      <c r="CL113" s="81" t="str">
        <f t="shared" si="152"/>
        <v/>
      </c>
      <c r="CM113" s="81" t="str">
        <f t="shared" si="152"/>
        <v/>
      </c>
      <c r="CN113" s="81" t="str">
        <f t="shared" si="152"/>
        <v/>
      </c>
      <c r="CO113" s="81" t="str">
        <f t="shared" si="152"/>
        <v/>
      </c>
      <c r="CP113" s="80" t="str">
        <f t="shared" si="152"/>
        <v/>
      </c>
      <c r="CQ113" s="509" t="str">
        <f t="shared" si="152"/>
        <v/>
      </c>
      <c r="CR113" s="533" t="str">
        <f t="shared" si="153"/>
        <v/>
      </c>
      <c r="CS113" s="534" t="str">
        <f t="shared" si="153"/>
        <v/>
      </c>
      <c r="CT113" s="535" t="str">
        <f t="shared" si="153"/>
        <v/>
      </c>
      <c r="CU113" s="535" t="str">
        <f t="shared" si="153"/>
        <v/>
      </c>
      <c r="CV113" s="535" t="str">
        <f t="shared" si="153"/>
        <v/>
      </c>
      <c r="CW113" s="535" t="str">
        <f t="shared" si="153"/>
        <v/>
      </c>
      <c r="CX113" s="535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5" t="str">
        <f t="shared" si="154"/>
        <v/>
      </c>
      <c r="DF113" s="535" t="str">
        <f t="shared" si="154"/>
        <v/>
      </c>
      <c r="DG113" s="534" t="str">
        <f t="shared" si="154"/>
        <v/>
      </c>
      <c r="DH113" s="533" t="str">
        <f t="shared" si="154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59">IF(DI115&lt;3,"",(SUM(B115:R115)-MIN(B115:R115)-MAX(B115:R115))/(DI115-2))</f>
        <v/>
      </c>
      <c r="CA115" s="864" t="str">
        <f t="shared" ref="CA115:CA120" si="160">IF(DJ115&lt;3,"",(SUM(T115:AJ115)-MIN(T115:AJ115)-MAX(T115:AJ115))/(DJ115-2))</f>
        <v/>
      </c>
      <c r="CB115" s="864" t="str">
        <f t="shared" ref="CB115:CB120" si="161">IF(DK115&lt;3,"",(SUM(AL115:BB115)-MIN(AL115:BB115)-MAX(AL115:BB115))/(DK115-2))</f>
        <v/>
      </c>
      <c r="CC115" s="865" t="str">
        <f t="shared" ref="CC115:CC120" si="162">IF(DL115&lt;3,"",(SUM(BD115:BT115)-MIN(BD115:BT115)-MAX(BD115:BT115))/(DL115-2))</f>
        <v/>
      </c>
      <c r="CD115" s="508" t="str">
        <f t="shared" ref="CD115:CP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3"/>
        <v/>
      </c>
      <c r="CF115" s="81" t="str">
        <f t="shared" si="163"/>
        <v/>
      </c>
      <c r="CG115" s="81" t="str">
        <f t="shared" si="163"/>
        <v/>
      </c>
      <c r="CH115" s="145" t="str">
        <f t="shared" si="163"/>
        <v/>
      </c>
      <c r="CI115" s="145" t="str">
        <f t="shared" si="163"/>
        <v/>
      </c>
      <c r="CJ115" s="145" t="str">
        <f t="shared" si="163"/>
        <v/>
      </c>
      <c r="CK115" s="81" t="str">
        <f t="shared" si="163"/>
        <v/>
      </c>
      <c r="CL115" s="81" t="str">
        <f t="shared" si="163"/>
        <v/>
      </c>
      <c r="CM115" s="81" t="str">
        <f t="shared" si="163"/>
        <v/>
      </c>
      <c r="CN115" s="81" t="str">
        <f t="shared" si="163"/>
        <v/>
      </c>
      <c r="CO115" s="81" t="str">
        <f t="shared" si="163"/>
        <v/>
      </c>
      <c r="CP115" s="80" t="str">
        <f t="shared" si="163"/>
        <v/>
      </c>
      <c r="CQ115" s="509" t="str">
        <f t="shared" ref="CE115:CQ120" si="164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5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6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7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68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9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0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1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2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3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4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5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6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7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78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79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0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1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2">COUNT(B115:R115)</f>
        <v>0</v>
      </c>
      <c r="DJ115" s="822">
        <f t="shared" ref="DJ115:DJ120" si="183">COUNT(T115:AJ115)</f>
        <v>0</v>
      </c>
      <c r="DK115" s="822">
        <f t="shared" ref="DK115:DK120" si="184">COUNT(AL115:BB115)</f>
        <v>0</v>
      </c>
      <c r="DL115" s="823">
        <f t="shared" ref="DL115:DL120" si="185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59"/>
        <v/>
      </c>
      <c r="CA116" s="864" t="str">
        <f t="shared" si="160"/>
        <v/>
      </c>
      <c r="CB116" s="864" t="str">
        <f t="shared" si="161"/>
        <v/>
      </c>
      <c r="CC116" s="865" t="str">
        <f t="shared" si="162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4"/>
        <v/>
      </c>
      <c r="CF116" s="81" t="str">
        <f t="shared" si="164"/>
        <v/>
      </c>
      <c r="CG116" s="81" t="str">
        <f t="shared" si="164"/>
        <v/>
      </c>
      <c r="CH116" s="145" t="str">
        <f t="shared" si="164"/>
        <v/>
      </c>
      <c r="CI116" s="145" t="str">
        <f t="shared" si="164"/>
        <v/>
      </c>
      <c r="CJ116" s="145" t="str">
        <f t="shared" si="164"/>
        <v/>
      </c>
      <c r="CK116" s="81" t="str">
        <f t="shared" si="164"/>
        <v/>
      </c>
      <c r="CL116" s="81" t="str">
        <f t="shared" si="164"/>
        <v/>
      </c>
      <c r="CM116" s="81" t="str">
        <f t="shared" si="164"/>
        <v/>
      </c>
      <c r="CN116" s="81" t="str">
        <f t="shared" si="164"/>
        <v/>
      </c>
      <c r="CO116" s="81" t="str">
        <f t="shared" si="164"/>
        <v/>
      </c>
      <c r="CP116" s="80" t="str">
        <f t="shared" si="164"/>
        <v/>
      </c>
      <c r="CQ116" s="509" t="str">
        <f t="shared" si="164"/>
        <v/>
      </c>
      <c r="CR116" s="533" t="str">
        <f t="shared" si="165"/>
        <v/>
      </c>
      <c r="CS116" s="534" t="str">
        <f t="shared" si="166"/>
        <v/>
      </c>
      <c r="CT116" s="535" t="str">
        <f t="shared" si="167"/>
        <v/>
      </c>
      <c r="CU116" s="535" t="str">
        <f t="shared" si="168"/>
        <v/>
      </c>
      <c r="CV116" s="535" t="str">
        <f t="shared" si="169"/>
        <v/>
      </c>
      <c r="CW116" s="535" t="str">
        <f t="shared" si="170"/>
        <v/>
      </c>
      <c r="CX116" s="535" t="str">
        <f t="shared" si="171"/>
        <v/>
      </c>
      <c r="CY116" s="536" t="str">
        <f t="shared" si="172"/>
        <v/>
      </c>
      <c r="CZ116" s="536" t="str">
        <f t="shared" si="173"/>
        <v/>
      </c>
      <c r="DA116" s="536" t="str">
        <f t="shared" si="174"/>
        <v/>
      </c>
      <c r="DB116" s="535" t="str">
        <f t="shared" si="175"/>
        <v/>
      </c>
      <c r="DC116" s="535" t="str">
        <f t="shared" si="176"/>
        <v/>
      </c>
      <c r="DD116" s="535" t="str">
        <f t="shared" si="177"/>
        <v/>
      </c>
      <c r="DE116" s="535" t="str">
        <f t="shared" si="178"/>
        <v/>
      </c>
      <c r="DF116" s="535" t="str">
        <f t="shared" si="179"/>
        <v/>
      </c>
      <c r="DG116" s="534" t="str">
        <f t="shared" si="180"/>
        <v/>
      </c>
      <c r="DH116" s="533" t="str">
        <f t="shared" si="181"/>
        <v/>
      </c>
      <c r="DI116" s="866">
        <f t="shared" si="182"/>
        <v>0</v>
      </c>
      <c r="DJ116" s="822">
        <f t="shared" si="183"/>
        <v>0</v>
      </c>
      <c r="DK116" s="822">
        <f t="shared" si="184"/>
        <v>0</v>
      </c>
      <c r="DL116" s="823">
        <f t="shared" si="185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59"/>
        <v/>
      </c>
      <c r="CA117" s="864" t="str">
        <f t="shared" si="160"/>
        <v/>
      </c>
      <c r="CB117" s="864" t="str">
        <f t="shared" si="161"/>
        <v/>
      </c>
      <c r="CC117" s="865" t="str">
        <f t="shared" si="162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4"/>
        <v/>
      </c>
      <c r="CF117" s="81" t="str">
        <f t="shared" si="164"/>
        <v/>
      </c>
      <c r="CG117" s="81" t="str">
        <f t="shared" si="164"/>
        <v/>
      </c>
      <c r="CH117" s="145" t="str">
        <f t="shared" si="164"/>
        <v/>
      </c>
      <c r="CI117" s="145" t="str">
        <f t="shared" si="164"/>
        <v/>
      </c>
      <c r="CJ117" s="145" t="str">
        <f t="shared" si="164"/>
        <v/>
      </c>
      <c r="CK117" s="81" t="str">
        <f t="shared" si="164"/>
        <v/>
      </c>
      <c r="CL117" s="81" t="str">
        <f t="shared" si="164"/>
        <v/>
      </c>
      <c r="CM117" s="81" t="str">
        <f t="shared" si="164"/>
        <v/>
      </c>
      <c r="CN117" s="81" t="str">
        <f t="shared" si="164"/>
        <v/>
      </c>
      <c r="CO117" s="81" t="str">
        <f t="shared" si="164"/>
        <v/>
      </c>
      <c r="CP117" s="80" t="str">
        <f t="shared" si="164"/>
        <v/>
      </c>
      <c r="CQ117" s="509" t="str">
        <f t="shared" si="164"/>
        <v/>
      </c>
      <c r="CR117" s="533" t="str">
        <f t="shared" si="165"/>
        <v/>
      </c>
      <c r="CS117" s="534" t="str">
        <f t="shared" si="166"/>
        <v/>
      </c>
      <c r="CT117" s="535" t="str">
        <f t="shared" si="167"/>
        <v/>
      </c>
      <c r="CU117" s="535" t="str">
        <f t="shared" si="168"/>
        <v/>
      </c>
      <c r="CV117" s="535" t="str">
        <f t="shared" si="169"/>
        <v/>
      </c>
      <c r="CW117" s="535" t="str">
        <f t="shared" si="170"/>
        <v/>
      </c>
      <c r="CX117" s="535" t="str">
        <f t="shared" si="171"/>
        <v/>
      </c>
      <c r="CY117" s="536" t="str">
        <f t="shared" si="172"/>
        <v/>
      </c>
      <c r="CZ117" s="536" t="str">
        <f t="shared" si="173"/>
        <v/>
      </c>
      <c r="DA117" s="536" t="str">
        <f t="shared" si="174"/>
        <v/>
      </c>
      <c r="DB117" s="535" t="str">
        <f t="shared" si="175"/>
        <v/>
      </c>
      <c r="DC117" s="535" t="str">
        <f t="shared" si="176"/>
        <v/>
      </c>
      <c r="DD117" s="535" t="str">
        <f t="shared" si="177"/>
        <v/>
      </c>
      <c r="DE117" s="535" t="str">
        <f t="shared" si="178"/>
        <v/>
      </c>
      <c r="DF117" s="535" t="str">
        <f t="shared" si="179"/>
        <v/>
      </c>
      <c r="DG117" s="534" t="str">
        <f t="shared" si="180"/>
        <v/>
      </c>
      <c r="DH117" s="533" t="str">
        <f t="shared" si="181"/>
        <v/>
      </c>
      <c r="DI117" s="866">
        <f t="shared" si="182"/>
        <v>0</v>
      </c>
      <c r="DJ117" s="822">
        <f t="shared" si="183"/>
        <v>0</v>
      </c>
      <c r="DK117" s="822">
        <f t="shared" si="184"/>
        <v>0</v>
      </c>
      <c r="DL117" s="823">
        <f t="shared" si="185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59"/>
        <v/>
      </c>
      <c r="CA118" s="864" t="str">
        <f t="shared" si="160"/>
        <v/>
      </c>
      <c r="CB118" s="864" t="str">
        <f t="shared" si="161"/>
        <v/>
      </c>
      <c r="CC118" s="865" t="str">
        <f t="shared" si="162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4"/>
        <v/>
      </c>
      <c r="CF118" s="81" t="str">
        <f t="shared" si="164"/>
        <v/>
      </c>
      <c r="CG118" s="81" t="str">
        <f t="shared" si="164"/>
        <v/>
      </c>
      <c r="CH118" s="145" t="str">
        <f t="shared" si="164"/>
        <v/>
      </c>
      <c r="CI118" s="145" t="str">
        <f t="shared" si="164"/>
        <v/>
      </c>
      <c r="CJ118" s="145" t="str">
        <f t="shared" si="164"/>
        <v/>
      </c>
      <c r="CK118" s="81" t="str">
        <f t="shared" si="164"/>
        <v/>
      </c>
      <c r="CL118" s="81" t="str">
        <f t="shared" si="164"/>
        <v/>
      </c>
      <c r="CM118" s="81" t="str">
        <f t="shared" si="164"/>
        <v/>
      </c>
      <c r="CN118" s="81" t="str">
        <f t="shared" si="164"/>
        <v/>
      </c>
      <c r="CO118" s="81" t="str">
        <f t="shared" si="164"/>
        <v/>
      </c>
      <c r="CP118" s="80" t="str">
        <f t="shared" si="164"/>
        <v/>
      </c>
      <c r="CQ118" s="509" t="str">
        <f t="shared" si="164"/>
        <v/>
      </c>
      <c r="CR118" s="533" t="str">
        <f t="shared" si="165"/>
        <v/>
      </c>
      <c r="CS118" s="534" t="str">
        <f t="shared" si="166"/>
        <v/>
      </c>
      <c r="CT118" s="535" t="str">
        <f t="shared" si="167"/>
        <v/>
      </c>
      <c r="CU118" s="535" t="str">
        <f t="shared" si="168"/>
        <v/>
      </c>
      <c r="CV118" s="535" t="str">
        <f t="shared" si="169"/>
        <v/>
      </c>
      <c r="CW118" s="535" t="str">
        <f t="shared" si="170"/>
        <v/>
      </c>
      <c r="CX118" s="535" t="str">
        <f t="shared" si="171"/>
        <v/>
      </c>
      <c r="CY118" s="536" t="str">
        <f t="shared" si="172"/>
        <v/>
      </c>
      <c r="CZ118" s="536" t="str">
        <f t="shared" si="173"/>
        <v/>
      </c>
      <c r="DA118" s="536" t="str">
        <f t="shared" si="174"/>
        <v/>
      </c>
      <c r="DB118" s="535" t="str">
        <f t="shared" si="175"/>
        <v/>
      </c>
      <c r="DC118" s="535" t="str">
        <f t="shared" si="176"/>
        <v/>
      </c>
      <c r="DD118" s="535" t="str">
        <f t="shared" si="177"/>
        <v/>
      </c>
      <c r="DE118" s="535" t="str">
        <f t="shared" si="178"/>
        <v/>
      </c>
      <c r="DF118" s="535" t="str">
        <f t="shared" si="179"/>
        <v/>
      </c>
      <c r="DG118" s="534" t="str">
        <f t="shared" si="180"/>
        <v/>
      </c>
      <c r="DH118" s="533" t="str">
        <f t="shared" si="181"/>
        <v/>
      </c>
      <c r="DI118" s="866">
        <f t="shared" si="182"/>
        <v>0</v>
      </c>
      <c r="DJ118" s="822">
        <f t="shared" si="183"/>
        <v>0</v>
      </c>
      <c r="DK118" s="822">
        <f t="shared" si="184"/>
        <v>0</v>
      </c>
      <c r="DL118" s="823">
        <f t="shared" si="185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6">IF(B116="","",B115*B116*B117*B118)</f>
        <v/>
      </c>
      <c r="C119" s="870" t="str">
        <f t="shared" si="186"/>
        <v/>
      </c>
      <c r="D119" s="870" t="str">
        <f t="shared" si="186"/>
        <v/>
      </c>
      <c r="E119" s="870" t="str">
        <f t="shared" si="186"/>
        <v/>
      </c>
      <c r="F119" s="870" t="str">
        <f t="shared" si="186"/>
        <v/>
      </c>
      <c r="G119" s="870" t="str">
        <f t="shared" si="186"/>
        <v/>
      </c>
      <c r="H119" s="870" t="str">
        <f t="shared" si="186"/>
        <v/>
      </c>
      <c r="I119" s="870" t="str">
        <f t="shared" si="186"/>
        <v/>
      </c>
      <c r="J119" s="870" t="str">
        <f t="shared" si="186"/>
        <v/>
      </c>
      <c r="K119" s="870" t="str">
        <f t="shared" si="186"/>
        <v/>
      </c>
      <c r="L119" s="870" t="str">
        <f t="shared" si="186"/>
        <v/>
      </c>
      <c r="M119" s="870" t="str">
        <f t="shared" si="186"/>
        <v/>
      </c>
      <c r="N119" s="870" t="str">
        <f t="shared" si="186"/>
        <v/>
      </c>
      <c r="O119" s="870" t="str">
        <f t="shared" si="186"/>
        <v/>
      </c>
      <c r="P119" s="870" t="str">
        <f t="shared" si="186"/>
        <v/>
      </c>
      <c r="Q119" s="870" t="str">
        <f t="shared" si="186"/>
        <v/>
      </c>
      <c r="R119" s="870" t="str">
        <f t="shared" si="186"/>
        <v/>
      </c>
      <c r="S119" s="858"/>
      <c r="T119" s="870" t="str">
        <f t="shared" ref="T119:AC119" si="187">IF(T116="","",T115*T116*T117*T118)</f>
        <v/>
      </c>
      <c r="U119" s="870" t="str">
        <f t="shared" si="187"/>
        <v/>
      </c>
      <c r="V119" s="870" t="str">
        <f t="shared" si="187"/>
        <v/>
      </c>
      <c r="W119" s="870" t="str">
        <f t="shared" si="187"/>
        <v/>
      </c>
      <c r="X119" s="870" t="str">
        <f t="shared" si="187"/>
        <v/>
      </c>
      <c r="Y119" s="870" t="str">
        <f t="shared" si="187"/>
        <v/>
      </c>
      <c r="Z119" s="870" t="str">
        <f t="shared" si="187"/>
        <v/>
      </c>
      <c r="AA119" s="870" t="str">
        <f t="shared" si="187"/>
        <v/>
      </c>
      <c r="AB119" s="870" t="str">
        <f t="shared" si="187"/>
        <v/>
      </c>
      <c r="AC119" s="870" t="str">
        <f t="shared" si="187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88">IF(AL116="","",AL115*AL116*AL117*AL118)</f>
        <v/>
      </c>
      <c r="AM119" s="870" t="str">
        <f t="shared" si="188"/>
        <v/>
      </c>
      <c r="AN119" s="870" t="str">
        <f t="shared" si="188"/>
        <v/>
      </c>
      <c r="AO119" s="870" t="str">
        <f t="shared" si="188"/>
        <v/>
      </c>
      <c r="AP119" s="870" t="str">
        <f t="shared" si="188"/>
        <v/>
      </c>
      <c r="AQ119" s="870" t="str">
        <f t="shared" si="188"/>
        <v/>
      </c>
      <c r="AR119" s="870" t="str">
        <f t="shared" si="188"/>
        <v/>
      </c>
      <c r="AS119" s="870" t="str">
        <f t="shared" si="188"/>
        <v/>
      </c>
      <c r="AT119" s="870" t="str">
        <f t="shared" si="188"/>
        <v/>
      </c>
      <c r="AU119" s="870" t="str">
        <f t="shared" si="188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89">IF(BD116="","",BD115*BD116*BD117*BD118)</f>
        <v/>
      </c>
      <c r="BE119" s="870" t="str">
        <f t="shared" si="189"/>
        <v/>
      </c>
      <c r="BF119" s="870" t="str">
        <f t="shared" si="189"/>
        <v/>
      </c>
      <c r="BG119" s="870" t="str">
        <f t="shared" si="189"/>
        <v/>
      </c>
      <c r="BH119" s="870" t="str">
        <f t="shared" si="189"/>
        <v/>
      </c>
      <c r="BI119" s="870" t="str">
        <f t="shared" si="189"/>
        <v/>
      </c>
      <c r="BJ119" s="870" t="str">
        <f t="shared" si="189"/>
        <v/>
      </c>
      <c r="BK119" s="870" t="str">
        <f t="shared" si="189"/>
        <v/>
      </c>
      <c r="BL119" s="870" t="str">
        <f t="shared" si="189"/>
        <v/>
      </c>
      <c r="BM119" s="870" t="str">
        <f t="shared" si="189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59"/>
        <v/>
      </c>
      <c r="CA119" s="864" t="str">
        <f t="shared" si="160"/>
        <v/>
      </c>
      <c r="CB119" s="864" t="str">
        <f t="shared" si="161"/>
        <v/>
      </c>
      <c r="CC119" s="865" t="str">
        <f t="shared" si="162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4"/>
        <v/>
      </c>
      <c r="CF119" s="81" t="str">
        <f t="shared" si="164"/>
        <v/>
      </c>
      <c r="CG119" s="81" t="str">
        <f t="shared" si="164"/>
        <v/>
      </c>
      <c r="CH119" s="145" t="str">
        <f t="shared" si="164"/>
        <v/>
      </c>
      <c r="CI119" s="145" t="str">
        <f t="shared" si="164"/>
        <v/>
      </c>
      <c r="CJ119" s="145" t="str">
        <f t="shared" si="164"/>
        <v/>
      </c>
      <c r="CK119" s="81" t="str">
        <f t="shared" si="164"/>
        <v/>
      </c>
      <c r="CL119" s="81" t="str">
        <f t="shared" si="164"/>
        <v/>
      </c>
      <c r="CM119" s="81" t="str">
        <f t="shared" si="164"/>
        <v/>
      </c>
      <c r="CN119" s="81" t="str">
        <f t="shared" si="164"/>
        <v/>
      </c>
      <c r="CO119" s="81" t="str">
        <f t="shared" si="164"/>
        <v/>
      </c>
      <c r="CP119" s="80" t="str">
        <f t="shared" si="164"/>
        <v/>
      </c>
      <c r="CQ119" s="509" t="str">
        <f t="shared" si="164"/>
        <v/>
      </c>
      <c r="CR119" s="533" t="str">
        <f t="shared" si="165"/>
        <v/>
      </c>
      <c r="CS119" s="534" t="str">
        <f t="shared" si="166"/>
        <v/>
      </c>
      <c r="CT119" s="535" t="str">
        <f t="shared" si="167"/>
        <v/>
      </c>
      <c r="CU119" s="535" t="str">
        <f t="shared" si="168"/>
        <v/>
      </c>
      <c r="CV119" s="535" t="str">
        <f t="shared" si="169"/>
        <v/>
      </c>
      <c r="CW119" s="535" t="str">
        <f t="shared" si="170"/>
        <v/>
      </c>
      <c r="CX119" s="535" t="str">
        <f t="shared" si="171"/>
        <v/>
      </c>
      <c r="CY119" s="536" t="str">
        <f t="shared" si="172"/>
        <v/>
      </c>
      <c r="CZ119" s="536" t="str">
        <f t="shared" si="173"/>
        <v/>
      </c>
      <c r="DA119" s="536" t="str">
        <f t="shared" si="174"/>
        <v/>
      </c>
      <c r="DB119" s="535" t="str">
        <f t="shared" si="175"/>
        <v/>
      </c>
      <c r="DC119" s="535" t="str">
        <f t="shared" si="176"/>
        <v/>
      </c>
      <c r="DD119" s="535" t="str">
        <f t="shared" si="177"/>
        <v/>
      </c>
      <c r="DE119" s="535" t="str">
        <f t="shared" si="178"/>
        <v/>
      </c>
      <c r="DF119" s="535" t="str">
        <f t="shared" si="179"/>
        <v/>
      </c>
      <c r="DG119" s="534" t="str">
        <f t="shared" si="180"/>
        <v/>
      </c>
      <c r="DH119" s="533" t="str">
        <f t="shared" si="181"/>
        <v/>
      </c>
      <c r="DI119" s="866">
        <f t="shared" si="182"/>
        <v>0</v>
      </c>
      <c r="DJ119" s="822">
        <f t="shared" si="183"/>
        <v>0</v>
      </c>
      <c r="DK119" s="822">
        <f t="shared" si="184"/>
        <v>0</v>
      </c>
      <c r="DL119" s="823">
        <f t="shared" si="185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0">SUM(C71,C77,C83,C89,C95,C101,C107,C113,C119)</f>
        <v>0</v>
      </c>
      <c r="D120" s="877">
        <f t="shared" si="190"/>
        <v>0</v>
      </c>
      <c r="E120" s="877">
        <f t="shared" si="190"/>
        <v>0</v>
      </c>
      <c r="F120" s="877">
        <f t="shared" si="190"/>
        <v>0</v>
      </c>
      <c r="G120" s="877">
        <f t="shared" si="190"/>
        <v>0</v>
      </c>
      <c r="H120" s="877">
        <f t="shared" si="190"/>
        <v>0</v>
      </c>
      <c r="I120" s="877">
        <f t="shared" si="190"/>
        <v>0</v>
      </c>
      <c r="J120" s="877">
        <f t="shared" si="190"/>
        <v>0</v>
      </c>
      <c r="K120" s="877">
        <f t="shared" si="190"/>
        <v>0</v>
      </c>
      <c r="L120" s="877">
        <f t="shared" si="190"/>
        <v>0</v>
      </c>
      <c r="M120" s="877">
        <f t="shared" si="190"/>
        <v>0</v>
      </c>
      <c r="N120" s="877">
        <f t="shared" si="190"/>
        <v>0</v>
      </c>
      <c r="O120" s="877">
        <f t="shared" si="190"/>
        <v>0</v>
      </c>
      <c r="P120" s="877">
        <f t="shared" si="190"/>
        <v>0</v>
      </c>
      <c r="Q120" s="877">
        <f t="shared" si="190"/>
        <v>0</v>
      </c>
      <c r="R120" s="877">
        <f t="shared" si="190"/>
        <v>0</v>
      </c>
      <c r="S120" s="878"/>
      <c r="T120" s="877">
        <f t="shared" ref="T120:AC120" si="191">SUM(T71,T77,T83,T89,T95,T101,T107,T113,T119)</f>
        <v>0</v>
      </c>
      <c r="U120" s="877">
        <f t="shared" si="191"/>
        <v>0</v>
      </c>
      <c r="V120" s="877">
        <f t="shared" si="191"/>
        <v>0</v>
      </c>
      <c r="W120" s="877">
        <f t="shared" si="191"/>
        <v>0</v>
      </c>
      <c r="X120" s="877">
        <f t="shared" si="191"/>
        <v>0</v>
      </c>
      <c r="Y120" s="877">
        <f t="shared" si="191"/>
        <v>0</v>
      </c>
      <c r="Z120" s="877">
        <f t="shared" si="191"/>
        <v>0</v>
      </c>
      <c r="AA120" s="877">
        <f t="shared" si="191"/>
        <v>0</v>
      </c>
      <c r="AB120" s="877">
        <f t="shared" si="191"/>
        <v>0</v>
      </c>
      <c r="AC120" s="877">
        <f t="shared" si="191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2">SUM(AL71,AL77,AL83,AL89,AL95,AL101,AL107,AL113,AL119)</f>
        <v>0</v>
      </c>
      <c r="AM120" s="877">
        <f t="shared" si="192"/>
        <v>0</v>
      </c>
      <c r="AN120" s="877">
        <f t="shared" si="192"/>
        <v>0</v>
      </c>
      <c r="AO120" s="877">
        <f t="shared" si="192"/>
        <v>0</v>
      </c>
      <c r="AP120" s="877">
        <f t="shared" si="192"/>
        <v>0</v>
      </c>
      <c r="AQ120" s="877">
        <f t="shared" si="192"/>
        <v>0</v>
      </c>
      <c r="AR120" s="877">
        <f t="shared" si="192"/>
        <v>0</v>
      </c>
      <c r="AS120" s="877">
        <f t="shared" si="192"/>
        <v>0</v>
      </c>
      <c r="AT120" s="877">
        <f t="shared" si="192"/>
        <v>0</v>
      </c>
      <c r="AU120" s="877">
        <f t="shared" si="192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3">SUM(BD71,BD77,BD83,BD89,BD95,BD101,BD107,BD113,BD119)</f>
        <v>0</v>
      </c>
      <c r="BE120" s="877">
        <f t="shared" si="193"/>
        <v>0</v>
      </c>
      <c r="BF120" s="877">
        <f t="shared" si="193"/>
        <v>0</v>
      </c>
      <c r="BG120" s="877">
        <f t="shared" si="193"/>
        <v>0</v>
      </c>
      <c r="BH120" s="877">
        <f t="shared" si="193"/>
        <v>0</v>
      </c>
      <c r="BI120" s="877">
        <f t="shared" si="193"/>
        <v>0</v>
      </c>
      <c r="BJ120" s="877">
        <f t="shared" si="193"/>
        <v>0</v>
      </c>
      <c r="BK120" s="877">
        <f t="shared" si="193"/>
        <v>0</v>
      </c>
      <c r="BL120" s="877">
        <f t="shared" si="193"/>
        <v>0</v>
      </c>
      <c r="BM120" s="877">
        <f t="shared" si="193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3850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59"/>
        <v>0</v>
      </c>
      <c r="CA120" s="864">
        <f t="shared" si="160"/>
        <v>0</v>
      </c>
      <c r="CB120" s="864">
        <f t="shared" si="161"/>
        <v>0</v>
      </c>
      <c r="CC120" s="865">
        <f t="shared" si="162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4"/>
        <v>0</v>
      </c>
      <c r="CF120" s="81">
        <f t="shared" si="164"/>
        <v>0</v>
      </c>
      <c r="CG120" s="81">
        <f t="shared" si="164"/>
        <v>0</v>
      </c>
      <c r="CH120" s="145">
        <f t="shared" si="164"/>
        <v>0</v>
      </c>
      <c r="CI120" s="145">
        <f t="shared" si="164"/>
        <v>0</v>
      </c>
      <c r="CJ120" s="145">
        <f t="shared" si="164"/>
        <v>0</v>
      </c>
      <c r="CK120" s="81">
        <f t="shared" si="164"/>
        <v>0</v>
      </c>
      <c r="CL120" s="81">
        <f t="shared" si="164"/>
        <v>0</v>
      </c>
      <c r="CM120" s="81">
        <f t="shared" si="164"/>
        <v>0</v>
      </c>
      <c r="CN120" s="81">
        <f t="shared" si="164"/>
        <v>0</v>
      </c>
      <c r="CO120" s="81" t="str">
        <f t="shared" si="164"/>
        <v/>
      </c>
      <c r="CP120" s="80" t="str">
        <f t="shared" si="164"/>
        <v/>
      </c>
      <c r="CQ120" s="509" t="str">
        <f t="shared" si="164"/>
        <v/>
      </c>
      <c r="CR120" s="533" t="str">
        <f t="shared" si="165"/>
        <v/>
      </c>
      <c r="CS120" s="534" t="str">
        <f t="shared" si="166"/>
        <v/>
      </c>
      <c r="CT120" s="535" t="str">
        <f t="shared" si="167"/>
        <v/>
      </c>
      <c r="CU120" s="535" t="str">
        <f t="shared" si="168"/>
        <v/>
      </c>
      <c r="CV120" s="535">
        <f t="shared" si="169"/>
        <v>0</v>
      </c>
      <c r="CW120" s="535">
        <f t="shared" si="170"/>
        <v>0</v>
      </c>
      <c r="CX120" s="535">
        <f t="shared" si="171"/>
        <v>0</v>
      </c>
      <c r="CY120" s="536">
        <f t="shared" si="172"/>
        <v>0</v>
      </c>
      <c r="CZ120" s="536">
        <f t="shared" si="173"/>
        <v>0</v>
      </c>
      <c r="DA120" s="536">
        <f t="shared" si="174"/>
        <v>0</v>
      </c>
      <c r="DB120" s="535">
        <f t="shared" si="175"/>
        <v>0</v>
      </c>
      <c r="DC120" s="535">
        <f t="shared" si="176"/>
        <v>0</v>
      </c>
      <c r="DD120" s="535">
        <f t="shared" si="177"/>
        <v>0</v>
      </c>
      <c r="DE120" s="535">
        <f t="shared" si="178"/>
        <v>0</v>
      </c>
      <c r="DF120" s="535" t="str">
        <f t="shared" si="179"/>
        <v/>
      </c>
      <c r="DG120" s="534" t="str">
        <f t="shared" si="180"/>
        <v/>
      </c>
      <c r="DH120" s="533" t="str">
        <f t="shared" si="181"/>
        <v/>
      </c>
      <c r="DI120" s="866">
        <f t="shared" si="182"/>
        <v>17</v>
      </c>
      <c r="DJ120" s="822">
        <f t="shared" si="183"/>
        <v>10</v>
      </c>
      <c r="DK120" s="822">
        <f t="shared" si="184"/>
        <v>10</v>
      </c>
      <c r="DL120" s="823">
        <f t="shared" si="185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4"/>
        <v/>
      </c>
      <c r="CF124" s="81" t="str">
        <f t="shared" si="194"/>
        <v/>
      </c>
      <c r="CG124" s="81" t="str">
        <f t="shared" si="194"/>
        <v/>
      </c>
      <c r="CH124" s="145" t="str">
        <f t="shared" si="194"/>
        <v/>
      </c>
      <c r="CI124" s="145" t="str">
        <f t="shared" si="194"/>
        <v/>
      </c>
      <c r="CJ124" s="145" t="str">
        <f t="shared" si="194"/>
        <v/>
      </c>
      <c r="CK124" s="81" t="str">
        <f t="shared" si="194"/>
        <v/>
      </c>
      <c r="CL124" s="81" t="str">
        <f t="shared" si="194"/>
        <v/>
      </c>
      <c r="CM124" s="81" t="str">
        <f t="shared" si="194"/>
        <v/>
      </c>
      <c r="CN124" s="81" t="str">
        <f t="shared" si="194"/>
        <v/>
      </c>
      <c r="CO124" s="81" t="str">
        <f t="shared" si="194"/>
        <v/>
      </c>
      <c r="CP124" s="80" t="str">
        <f t="shared" si="194"/>
        <v/>
      </c>
      <c r="CQ124" s="509" t="str">
        <f t="shared" ref="CE124:CQ128" si="195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6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6"/>
        <v/>
      </c>
      <c r="CT124" s="535" t="str">
        <f t="shared" si="196"/>
        <v/>
      </c>
      <c r="CU124" s="535" t="str">
        <f t="shared" si="196"/>
        <v/>
      </c>
      <c r="CV124" s="535" t="str">
        <f t="shared" si="196"/>
        <v/>
      </c>
      <c r="CW124" s="535" t="str">
        <f t="shared" si="196"/>
        <v/>
      </c>
      <c r="CX124" s="535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5" t="str">
        <f t="shared" ref="DB124:DH128" si="197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7"/>
        <v/>
      </c>
      <c r="DD124" s="535" t="str">
        <f t="shared" si="197"/>
        <v/>
      </c>
      <c r="DE124" s="535" t="str">
        <f t="shared" si="197"/>
        <v/>
      </c>
      <c r="DF124" s="535" t="str">
        <f t="shared" si="197"/>
        <v/>
      </c>
      <c r="DG124" s="534" t="str">
        <f t="shared" si="197"/>
        <v/>
      </c>
      <c r="DH124" s="533" t="str">
        <f t="shared" si="197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5</v>
      </c>
      <c r="BW125" s="286">
        <v>5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5"/>
        <v/>
      </c>
      <c r="CF125" s="81" t="str">
        <f t="shared" si="195"/>
        <v/>
      </c>
      <c r="CG125" s="81" t="str">
        <f t="shared" si="195"/>
        <v/>
      </c>
      <c r="CH125" s="145" t="str">
        <f t="shared" si="195"/>
        <v/>
      </c>
      <c r="CI125" s="145" t="str">
        <f t="shared" si="195"/>
        <v/>
      </c>
      <c r="CJ125" s="145" t="str">
        <f t="shared" si="195"/>
        <v/>
      </c>
      <c r="CK125" s="81" t="str">
        <f t="shared" si="195"/>
        <v/>
      </c>
      <c r="CL125" s="81" t="str">
        <f t="shared" si="195"/>
        <v/>
      </c>
      <c r="CM125" s="81" t="str">
        <f t="shared" si="195"/>
        <v/>
      </c>
      <c r="CN125" s="81" t="str">
        <f t="shared" si="195"/>
        <v/>
      </c>
      <c r="CO125" s="81" t="str">
        <f t="shared" si="195"/>
        <v/>
      </c>
      <c r="CP125" s="80" t="str">
        <f t="shared" si="195"/>
        <v/>
      </c>
      <c r="CQ125" s="509" t="str">
        <f t="shared" si="195"/>
        <v/>
      </c>
      <c r="CR125" s="533" t="str">
        <f t="shared" si="196"/>
        <v/>
      </c>
      <c r="CS125" s="534" t="str">
        <f t="shared" si="196"/>
        <v/>
      </c>
      <c r="CT125" s="535" t="str">
        <f t="shared" si="196"/>
        <v/>
      </c>
      <c r="CU125" s="535" t="str">
        <f t="shared" si="196"/>
        <v/>
      </c>
      <c r="CV125" s="535" t="str">
        <f t="shared" si="196"/>
        <v/>
      </c>
      <c r="CW125" s="535" t="str">
        <f t="shared" si="196"/>
        <v/>
      </c>
      <c r="CX125" s="535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5" t="str">
        <f t="shared" si="197"/>
        <v/>
      </c>
      <c r="DF125" s="535" t="str">
        <f t="shared" si="197"/>
        <v/>
      </c>
      <c r="DG125" s="534" t="str">
        <f t="shared" si="197"/>
        <v/>
      </c>
      <c r="DH125" s="533" t="str">
        <f t="shared" si="197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5"/>
        <v/>
      </c>
      <c r="CF126" s="81" t="str">
        <f t="shared" si="195"/>
        <v/>
      </c>
      <c r="CG126" s="81" t="str">
        <f t="shared" si="195"/>
        <v/>
      </c>
      <c r="CH126" s="145" t="str">
        <f t="shared" si="195"/>
        <v/>
      </c>
      <c r="CI126" s="145" t="str">
        <f t="shared" si="195"/>
        <v/>
      </c>
      <c r="CJ126" s="145" t="str">
        <f t="shared" si="195"/>
        <v/>
      </c>
      <c r="CK126" s="81" t="str">
        <f t="shared" si="195"/>
        <v/>
      </c>
      <c r="CL126" s="81" t="str">
        <f t="shared" si="195"/>
        <v/>
      </c>
      <c r="CM126" s="81" t="str">
        <f t="shared" si="195"/>
        <v/>
      </c>
      <c r="CN126" s="81" t="str">
        <f t="shared" si="195"/>
        <v/>
      </c>
      <c r="CO126" s="81" t="str">
        <f t="shared" si="195"/>
        <v/>
      </c>
      <c r="CP126" s="80" t="str">
        <f t="shared" si="195"/>
        <v/>
      </c>
      <c r="CQ126" s="509" t="str">
        <f t="shared" si="195"/>
        <v/>
      </c>
      <c r="CR126" s="533" t="str">
        <f t="shared" si="196"/>
        <v/>
      </c>
      <c r="CS126" s="534" t="str">
        <f t="shared" si="196"/>
        <v/>
      </c>
      <c r="CT126" s="535" t="str">
        <f t="shared" si="196"/>
        <v/>
      </c>
      <c r="CU126" s="535" t="str">
        <f t="shared" si="196"/>
        <v/>
      </c>
      <c r="CV126" s="535" t="str">
        <f t="shared" si="196"/>
        <v/>
      </c>
      <c r="CW126" s="535" t="str">
        <f t="shared" si="196"/>
        <v/>
      </c>
      <c r="CX126" s="535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5" t="str">
        <f t="shared" si="197"/>
        <v/>
      </c>
      <c r="DF126" s="535" t="str">
        <f t="shared" si="197"/>
        <v/>
      </c>
      <c r="DG126" s="534" t="str">
        <f t="shared" si="197"/>
        <v/>
      </c>
      <c r="DH126" s="533" t="str">
        <f t="shared" si="197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5"/>
        <v/>
      </c>
      <c r="CF127" s="81" t="str">
        <f t="shared" si="195"/>
        <v/>
      </c>
      <c r="CG127" s="81" t="str">
        <f t="shared" si="195"/>
        <v/>
      </c>
      <c r="CH127" s="145" t="str">
        <f t="shared" si="195"/>
        <v/>
      </c>
      <c r="CI127" s="145" t="str">
        <f t="shared" si="195"/>
        <v/>
      </c>
      <c r="CJ127" s="145" t="str">
        <f t="shared" si="195"/>
        <v/>
      </c>
      <c r="CK127" s="81" t="str">
        <f t="shared" si="195"/>
        <v/>
      </c>
      <c r="CL127" s="81" t="str">
        <f t="shared" si="195"/>
        <v/>
      </c>
      <c r="CM127" s="81" t="str">
        <f t="shared" si="195"/>
        <v/>
      </c>
      <c r="CN127" s="81" t="str">
        <f t="shared" si="195"/>
        <v/>
      </c>
      <c r="CO127" s="81" t="str">
        <f t="shared" si="195"/>
        <v/>
      </c>
      <c r="CP127" s="80" t="str">
        <f t="shared" si="195"/>
        <v/>
      </c>
      <c r="CQ127" s="509" t="str">
        <f t="shared" si="195"/>
        <v/>
      </c>
      <c r="CR127" s="533" t="str">
        <f t="shared" si="196"/>
        <v/>
      </c>
      <c r="CS127" s="534" t="str">
        <f t="shared" si="196"/>
        <v/>
      </c>
      <c r="CT127" s="535" t="str">
        <f t="shared" si="196"/>
        <v/>
      </c>
      <c r="CU127" s="535" t="str">
        <f t="shared" si="196"/>
        <v/>
      </c>
      <c r="CV127" s="535" t="str">
        <f t="shared" si="196"/>
        <v/>
      </c>
      <c r="CW127" s="535" t="str">
        <f t="shared" si="196"/>
        <v/>
      </c>
      <c r="CX127" s="535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5" t="str">
        <f t="shared" si="197"/>
        <v/>
      </c>
      <c r="DF127" s="535" t="str">
        <f t="shared" si="197"/>
        <v/>
      </c>
      <c r="DG127" s="534" t="str">
        <f t="shared" si="197"/>
        <v/>
      </c>
      <c r="DH127" s="533" t="str">
        <f t="shared" si="197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198">IF(B125="","",B124*B125*B126*B127)</f>
        <v/>
      </c>
      <c r="C128" s="870" t="str">
        <f t="shared" si="198"/>
        <v/>
      </c>
      <c r="D128" s="870" t="str">
        <f t="shared" si="198"/>
        <v/>
      </c>
      <c r="E128" s="870" t="str">
        <f t="shared" si="198"/>
        <v/>
      </c>
      <c r="F128" s="870" t="str">
        <f t="shared" si="198"/>
        <v/>
      </c>
      <c r="G128" s="870" t="str">
        <f t="shared" si="198"/>
        <v/>
      </c>
      <c r="H128" s="870" t="str">
        <f t="shared" si="198"/>
        <v/>
      </c>
      <c r="I128" s="870" t="str">
        <f t="shared" si="198"/>
        <v/>
      </c>
      <c r="J128" s="870" t="str">
        <f t="shared" si="198"/>
        <v/>
      </c>
      <c r="K128" s="870" t="str">
        <f t="shared" si="198"/>
        <v/>
      </c>
      <c r="L128" s="870" t="str">
        <f t="shared" si="198"/>
        <v/>
      </c>
      <c r="M128" s="870" t="str">
        <f t="shared" si="198"/>
        <v/>
      </c>
      <c r="N128" s="870" t="str">
        <f t="shared" si="198"/>
        <v/>
      </c>
      <c r="O128" s="870" t="str">
        <f t="shared" si="198"/>
        <v/>
      </c>
      <c r="P128" s="870" t="str">
        <f t="shared" si="198"/>
        <v/>
      </c>
      <c r="Q128" s="870" t="str">
        <f t="shared" si="198"/>
        <v/>
      </c>
      <c r="R128" s="870" t="str">
        <f t="shared" si="198"/>
        <v/>
      </c>
      <c r="S128" s="858"/>
      <c r="T128" s="870" t="str">
        <f t="shared" ref="T128:AC128" si="199">IF(T125="","",T124*T125*T126*T127)</f>
        <v/>
      </c>
      <c r="U128" s="870" t="str">
        <f t="shared" si="199"/>
        <v/>
      </c>
      <c r="V128" s="870" t="str">
        <f t="shared" si="199"/>
        <v/>
      </c>
      <c r="W128" s="870" t="str">
        <f t="shared" si="199"/>
        <v/>
      </c>
      <c r="X128" s="870" t="str">
        <f t="shared" si="199"/>
        <v/>
      </c>
      <c r="Y128" s="870" t="str">
        <f t="shared" si="199"/>
        <v/>
      </c>
      <c r="Z128" s="870" t="str">
        <f t="shared" si="199"/>
        <v/>
      </c>
      <c r="AA128" s="870" t="str">
        <f t="shared" si="199"/>
        <v/>
      </c>
      <c r="AB128" s="870" t="str">
        <f t="shared" si="199"/>
        <v/>
      </c>
      <c r="AC128" s="870" t="str">
        <f t="shared" si="199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0">IF(AL125="","",AL124*AL125*AL126*AL127)</f>
        <v/>
      </c>
      <c r="AM128" s="870" t="str">
        <f t="shared" si="200"/>
        <v/>
      </c>
      <c r="AN128" s="870" t="str">
        <f t="shared" si="200"/>
        <v/>
      </c>
      <c r="AO128" s="870" t="str">
        <f t="shared" si="200"/>
        <v/>
      </c>
      <c r="AP128" s="870" t="str">
        <f t="shared" si="200"/>
        <v/>
      </c>
      <c r="AQ128" s="870" t="str">
        <f t="shared" si="200"/>
        <v/>
      </c>
      <c r="AR128" s="870" t="str">
        <f t="shared" si="200"/>
        <v/>
      </c>
      <c r="AS128" s="870" t="str">
        <f t="shared" si="200"/>
        <v/>
      </c>
      <c r="AT128" s="870" t="str">
        <f t="shared" si="200"/>
        <v/>
      </c>
      <c r="AU128" s="870" t="str">
        <f t="shared" si="200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1">IF(BD125="","",BD124*BD125*BD126*BD127)</f>
        <v/>
      </c>
      <c r="BE128" s="870" t="str">
        <f t="shared" si="201"/>
        <v/>
      </c>
      <c r="BF128" s="870" t="str">
        <f t="shared" si="201"/>
        <v/>
      </c>
      <c r="BG128" s="870" t="str">
        <f t="shared" si="201"/>
        <v/>
      </c>
      <c r="BH128" s="870" t="str">
        <f t="shared" si="201"/>
        <v/>
      </c>
      <c r="BI128" s="870" t="str">
        <f t="shared" si="201"/>
        <v/>
      </c>
      <c r="BJ128" s="870" t="str">
        <f t="shared" si="201"/>
        <v/>
      </c>
      <c r="BK128" s="870" t="str">
        <f t="shared" si="201"/>
        <v/>
      </c>
      <c r="BL128" s="870" t="str">
        <f t="shared" si="201"/>
        <v/>
      </c>
      <c r="BM128" s="870" t="str">
        <f t="shared" si="201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3000</v>
      </c>
      <c r="BW128" s="870">
        <f>IF(BW125="","",BW124*BW125*BW126*BW127)</f>
        <v>3000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5"/>
        <v/>
      </c>
      <c r="CF128" s="81" t="str">
        <f t="shared" si="195"/>
        <v/>
      </c>
      <c r="CG128" s="81" t="str">
        <f t="shared" si="195"/>
        <v/>
      </c>
      <c r="CH128" s="145" t="str">
        <f t="shared" si="195"/>
        <v/>
      </c>
      <c r="CI128" s="145" t="str">
        <f t="shared" si="195"/>
        <v/>
      </c>
      <c r="CJ128" s="145" t="str">
        <f t="shared" si="195"/>
        <v/>
      </c>
      <c r="CK128" s="81" t="str">
        <f t="shared" si="195"/>
        <v/>
      </c>
      <c r="CL128" s="81" t="str">
        <f t="shared" si="195"/>
        <v/>
      </c>
      <c r="CM128" s="81" t="str">
        <f t="shared" si="195"/>
        <v/>
      </c>
      <c r="CN128" s="81" t="str">
        <f t="shared" si="195"/>
        <v/>
      </c>
      <c r="CO128" s="81" t="str">
        <f t="shared" si="195"/>
        <v/>
      </c>
      <c r="CP128" s="80" t="str">
        <f t="shared" si="195"/>
        <v/>
      </c>
      <c r="CQ128" s="509" t="str">
        <f t="shared" si="195"/>
        <v/>
      </c>
      <c r="CR128" s="533" t="str">
        <f t="shared" si="196"/>
        <v/>
      </c>
      <c r="CS128" s="534" t="str">
        <f t="shared" si="196"/>
        <v/>
      </c>
      <c r="CT128" s="535" t="str">
        <f t="shared" si="196"/>
        <v/>
      </c>
      <c r="CU128" s="535" t="str">
        <f t="shared" si="196"/>
        <v/>
      </c>
      <c r="CV128" s="535" t="str">
        <f t="shared" si="196"/>
        <v/>
      </c>
      <c r="CW128" s="535" t="str">
        <f t="shared" si="196"/>
        <v/>
      </c>
      <c r="CX128" s="535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5" t="str">
        <f t="shared" si="197"/>
        <v/>
      </c>
      <c r="DF128" s="535" t="str">
        <f t="shared" si="197"/>
        <v/>
      </c>
      <c r="DG128" s="534" t="str">
        <f t="shared" si="197"/>
        <v/>
      </c>
      <c r="DH128" s="533" t="str">
        <f t="shared" si="197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2"/>
        <v/>
      </c>
      <c r="CF130" s="81" t="str">
        <f t="shared" si="202"/>
        <v/>
      </c>
      <c r="CG130" s="81" t="str">
        <f t="shared" si="202"/>
        <v/>
      </c>
      <c r="CH130" s="145" t="str">
        <f t="shared" si="202"/>
        <v/>
      </c>
      <c r="CI130" s="145" t="str">
        <f t="shared" si="202"/>
        <v/>
      </c>
      <c r="CJ130" s="145" t="str">
        <f t="shared" si="202"/>
        <v/>
      </c>
      <c r="CK130" s="81" t="str">
        <f t="shared" si="202"/>
        <v/>
      </c>
      <c r="CL130" s="81" t="str">
        <f t="shared" si="202"/>
        <v/>
      </c>
      <c r="CM130" s="81" t="str">
        <f t="shared" si="202"/>
        <v/>
      </c>
      <c r="CN130" s="81" t="str">
        <f t="shared" si="202"/>
        <v/>
      </c>
      <c r="CO130" s="81" t="str">
        <f t="shared" si="202"/>
        <v/>
      </c>
      <c r="CP130" s="80" t="str">
        <f t="shared" si="202"/>
        <v/>
      </c>
      <c r="CQ130" s="509" t="str">
        <f t="shared" ref="CE130:CQ134" si="203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4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4"/>
        <v/>
      </c>
      <c r="CT130" s="535" t="str">
        <f t="shared" si="204"/>
        <v/>
      </c>
      <c r="CU130" s="535" t="str">
        <f t="shared" si="204"/>
        <v/>
      </c>
      <c r="CV130" s="535" t="str">
        <f t="shared" si="204"/>
        <v/>
      </c>
      <c r="CW130" s="535" t="str">
        <f t="shared" si="204"/>
        <v/>
      </c>
      <c r="CX130" s="535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5" t="str">
        <f t="shared" ref="DB130:DH134" si="205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5"/>
        <v/>
      </c>
      <c r="DD130" s="535" t="str">
        <f t="shared" si="205"/>
        <v/>
      </c>
      <c r="DE130" s="535" t="str">
        <f t="shared" si="205"/>
        <v/>
      </c>
      <c r="DF130" s="535" t="str">
        <f t="shared" si="205"/>
        <v/>
      </c>
      <c r="DG130" s="534" t="str">
        <f t="shared" si="205"/>
        <v/>
      </c>
      <c r="DH130" s="533" t="str">
        <f t="shared" si="205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3"/>
        <v/>
      </c>
      <c r="CF131" s="81" t="str">
        <f t="shared" si="203"/>
        <v/>
      </c>
      <c r="CG131" s="81" t="str">
        <f t="shared" si="203"/>
        <v/>
      </c>
      <c r="CH131" s="145" t="str">
        <f t="shared" si="203"/>
        <v/>
      </c>
      <c r="CI131" s="145" t="str">
        <f t="shared" si="203"/>
        <v/>
      </c>
      <c r="CJ131" s="145" t="str">
        <f t="shared" si="203"/>
        <v/>
      </c>
      <c r="CK131" s="81" t="str">
        <f t="shared" si="203"/>
        <v/>
      </c>
      <c r="CL131" s="81" t="str">
        <f t="shared" si="203"/>
        <v/>
      </c>
      <c r="CM131" s="81" t="str">
        <f t="shared" si="203"/>
        <v/>
      </c>
      <c r="CN131" s="81" t="str">
        <f t="shared" si="203"/>
        <v/>
      </c>
      <c r="CO131" s="81" t="str">
        <f t="shared" si="203"/>
        <v/>
      </c>
      <c r="CP131" s="80" t="str">
        <f t="shared" si="203"/>
        <v/>
      </c>
      <c r="CQ131" s="509" t="str">
        <f t="shared" si="203"/>
        <v/>
      </c>
      <c r="CR131" s="533" t="str">
        <f t="shared" si="204"/>
        <v/>
      </c>
      <c r="CS131" s="534" t="str">
        <f t="shared" si="204"/>
        <v/>
      </c>
      <c r="CT131" s="535" t="str">
        <f t="shared" si="204"/>
        <v/>
      </c>
      <c r="CU131" s="535" t="str">
        <f t="shared" si="204"/>
        <v/>
      </c>
      <c r="CV131" s="535" t="str">
        <f t="shared" si="204"/>
        <v/>
      </c>
      <c r="CW131" s="535" t="str">
        <f t="shared" si="204"/>
        <v/>
      </c>
      <c r="CX131" s="535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5" t="str">
        <f t="shared" si="205"/>
        <v/>
      </c>
      <c r="DF131" s="535" t="str">
        <f t="shared" si="205"/>
        <v/>
      </c>
      <c r="DG131" s="534" t="str">
        <f t="shared" si="205"/>
        <v/>
      </c>
      <c r="DH131" s="533" t="str">
        <f t="shared" si="205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3"/>
        <v/>
      </c>
      <c r="CF132" s="81" t="str">
        <f t="shared" si="203"/>
        <v/>
      </c>
      <c r="CG132" s="81" t="str">
        <f t="shared" si="203"/>
        <v/>
      </c>
      <c r="CH132" s="145" t="str">
        <f t="shared" si="203"/>
        <v/>
      </c>
      <c r="CI132" s="145" t="str">
        <f t="shared" si="203"/>
        <v/>
      </c>
      <c r="CJ132" s="145" t="str">
        <f t="shared" si="203"/>
        <v/>
      </c>
      <c r="CK132" s="81" t="str">
        <f t="shared" si="203"/>
        <v/>
      </c>
      <c r="CL132" s="81" t="str">
        <f t="shared" si="203"/>
        <v/>
      </c>
      <c r="CM132" s="81" t="str">
        <f t="shared" si="203"/>
        <v/>
      </c>
      <c r="CN132" s="81" t="str">
        <f t="shared" si="203"/>
        <v/>
      </c>
      <c r="CO132" s="81" t="str">
        <f t="shared" si="203"/>
        <v/>
      </c>
      <c r="CP132" s="80" t="str">
        <f t="shared" si="203"/>
        <v/>
      </c>
      <c r="CQ132" s="509" t="str">
        <f t="shared" si="203"/>
        <v/>
      </c>
      <c r="CR132" s="533" t="str">
        <f t="shared" si="204"/>
        <v/>
      </c>
      <c r="CS132" s="534" t="str">
        <f t="shared" si="204"/>
        <v/>
      </c>
      <c r="CT132" s="535" t="str">
        <f t="shared" si="204"/>
        <v/>
      </c>
      <c r="CU132" s="535" t="str">
        <f t="shared" si="204"/>
        <v/>
      </c>
      <c r="CV132" s="535" t="str">
        <f t="shared" si="204"/>
        <v/>
      </c>
      <c r="CW132" s="535" t="str">
        <f t="shared" si="204"/>
        <v/>
      </c>
      <c r="CX132" s="535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5" t="str">
        <f t="shared" si="205"/>
        <v/>
      </c>
      <c r="DF132" s="535" t="str">
        <f t="shared" si="205"/>
        <v/>
      </c>
      <c r="DG132" s="534" t="str">
        <f t="shared" si="205"/>
        <v/>
      </c>
      <c r="DH132" s="533" t="str">
        <f t="shared" si="205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3"/>
        <v/>
      </c>
      <c r="CF133" s="81" t="str">
        <f t="shared" si="203"/>
        <v/>
      </c>
      <c r="CG133" s="81" t="str">
        <f t="shared" si="203"/>
        <v/>
      </c>
      <c r="CH133" s="145" t="str">
        <f t="shared" si="203"/>
        <v/>
      </c>
      <c r="CI133" s="145" t="str">
        <f t="shared" si="203"/>
        <v/>
      </c>
      <c r="CJ133" s="145" t="str">
        <f t="shared" si="203"/>
        <v/>
      </c>
      <c r="CK133" s="81" t="str">
        <f t="shared" si="203"/>
        <v/>
      </c>
      <c r="CL133" s="81" t="str">
        <f t="shared" si="203"/>
        <v/>
      </c>
      <c r="CM133" s="81" t="str">
        <f t="shared" si="203"/>
        <v/>
      </c>
      <c r="CN133" s="81" t="str">
        <f t="shared" si="203"/>
        <v/>
      </c>
      <c r="CO133" s="81" t="str">
        <f t="shared" si="203"/>
        <v/>
      </c>
      <c r="CP133" s="80" t="str">
        <f t="shared" si="203"/>
        <v/>
      </c>
      <c r="CQ133" s="509" t="str">
        <f t="shared" si="203"/>
        <v/>
      </c>
      <c r="CR133" s="533" t="str">
        <f t="shared" si="204"/>
        <v/>
      </c>
      <c r="CS133" s="534" t="str">
        <f t="shared" si="204"/>
        <v/>
      </c>
      <c r="CT133" s="535" t="str">
        <f t="shared" si="204"/>
        <v/>
      </c>
      <c r="CU133" s="535" t="str">
        <f t="shared" si="204"/>
        <v/>
      </c>
      <c r="CV133" s="535" t="str">
        <f t="shared" si="204"/>
        <v/>
      </c>
      <c r="CW133" s="535" t="str">
        <f t="shared" si="204"/>
        <v/>
      </c>
      <c r="CX133" s="535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5" t="str">
        <f t="shared" si="205"/>
        <v/>
      </c>
      <c r="DF133" s="535" t="str">
        <f t="shared" si="205"/>
        <v/>
      </c>
      <c r="DG133" s="534" t="str">
        <f t="shared" si="205"/>
        <v/>
      </c>
      <c r="DH133" s="533" t="str">
        <f t="shared" si="205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6">IF(B131="","",B130*B131*B132*B133)</f>
        <v/>
      </c>
      <c r="C134" s="870" t="str">
        <f t="shared" si="206"/>
        <v/>
      </c>
      <c r="D134" s="870" t="str">
        <f t="shared" si="206"/>
        <v/>
      </c>
      <c r="E134" s="870" t="str">
        <f t="shared" si="206"/>
        <v/>
      </c>
      <c r="F134" s="870" t="str">
        <f t="shared" si="206"/>
        <v/>
      </c>
      <c r="G134" s="870" t="str">
        <f t="shared" si="206"/>
        <v/>
      </c>
      <c r="H134" s="870" t="str">
        <f t="shared" si="206"/>
        <v/>
      </c>
      <c r="I134" s="870" t="str">
        <f t="shared" si="206"/>
        <v/>
      </c>
      <c r="J134" s="870" t="str">
        <f t="shared" si="206"/>
        <v/>
      </c>
      <c r="K134" s="870" t="str">
        <f t="shared" si="206"/>
        <v/>
      </c>
      <c r="L134" s="870" t="str">
        <f t="shared" si="206"/>
        <v/>
      </c>
      <c r="M134" s="870" t="str">
        <f t="shared" si="206"/>
        <v/>
      </c>
      <c r="N134" s="870" t="str">
        <f t="shared" si="206"/>
        <v/>
      </c>
      <c r="O134" s="870" t="str">
        <f t="shared" si="206"/>
        <v/>
      </c>
      <c r="P134" s="870" t="str">
        <f t="shared" si="206"/>
        <v/>
      </c>
      <c r="Q134" s="870" t="str">
        <f t="shared" si="206"/>
        <v/>
      </c>
      <c r="R134" s="870" t="str">
        <f t="shared" si="206"/>
        <v/>
      </c>
      <c r="S134" s="858"/>
      <c r="T134" s="870" t="str">
        <f t="shared" ref="T134:AC134" si="207">IF(T131="","",T130*T131*T132*T133)</f>
        <v/>
      </c>
      <c r="U134" s="870" t="str">
        <f t="shared" si="207"/>
        <v/>
      </c>
      <c r="V134" s="870" t="str">
        <f t="shared" si="207"/>
        <v/>
      </c>
      <c r="W134" s="870" t="str">
        <f t="shared" si="207"/>
        <v/>
      </c>
      <c r="X134" s="870" t="str">
        <f t="shared" si="207"/>
        <v/>
      </c>
      <c r="Y134" s="870" t="str">
        <f t="shared" si="207"/>
        <v/>
      </c>
      <c r="Z134" s="870" t="str">
        <f t="shared" si="207"/>
        <v/>
      </c>
      <c r="AA134" s="870" t="str">
        <f t="shared" si="207"/>
        <v/>
      </c>
      <c r="AB134" s="870" t="str">
        <f t="shared" si="207"/>
        <v/>
      </c>
      <c r="AC134" s="870" t="str">
        <f t="shared" si="207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08">IF(AL131="","",AL130*AL131*AL132*AL133)</f>
        <v/>
      </c>
      <c r="AM134" s="870" t="str">
        <f t="shared" si="208"/>
        <v/>
      </c>
      <c r="AN134" s="870" t="str">
        <f t="shared" si="208"/>
        <v/>
      </c>
      <c r="AO134" s="870" t="str">
        <f t="shared" si="208"/>
        <v/>
      </c>
      <c r="AP134" s="870" t="str">
        <f t="shared" si="208"/>
        <v/>
      </c>
      <c r="AQ134" s="870" t="str">
        <f t="shared" si="208"/>
        <v/>
      </c>
      <c r="AR134" s="870" t="str">
        <f t="shared" si="208"/>
        <v/>
      </c>
      <c r="AS134" s="870" t="str">
        <f t="shared" si="208"/>
        <v/>
      </c>
      <c r="AT134" s="870" t="str">
        <f t="shared" si="208"/>
        <v/>
      </c>
      <c r="AU134" s="870" t="str">
        <f t="shared" si="208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09">IF(BD131="","",BD130*BD131*BD132*BD133)</f>
        <v/>
      </c>
      <c r="BE134" s="870" t="str">
        <f t="shared" si="209"/>
        <v/>
      </c>
      <c r="BF134" s="870" t="str">
        <f t="shared" si="209"/>
        <v/>
      </c>
      <c r="BG134" s="870" t="str">
        <f t="shared" si="209"/>
        <v/>
      </c>
      <c r="BH134" s="870" t="str">
        <f t="shared" si="209"/>
        <v/>
      </c>
      <c r="BI134" s="870" t="str">
        <f t="shared" si="209"/>
        <v/>
      </c>
      <c r="BJ134" s="870" t="str">
        <f t="shared" si="209"/>
        <v/>
      </c>
      <c r="BK134" s="870" t="str">
        <f t="shared" si="209"/>
        <v/>
      </c>
      <c r="BL134" s="870" t="str">
        <f t="shared" si="209"/>
        <v/>
      </c>
      <c r="BM134" s="870" t="str">
        <f t="shared" si="209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3"/>
        <v/>
      </c>
      <c r="CF134" s="81" t="str">
        <f t="shared" si="203"/>
        <v/>
      </c>
      <c r="CG134" s="81" t="str">
        <f t="shared" si="203"/>
        <v/>
      </c>
      <c r="CH134" s="145" t="str">
        <f t="shared" si="203"/>
        <v/>
      </c>
      <c r="CI134" s="145" t="str">
        <f t="shared" si="203"/>
        <v/>
      </c>
      <c r="CJ134" s="145" t="str">
        <f t="shared" si="203"/>
        <v/>
      </c>
      <c r="CK134" s="81" t="str">
        <f t="shared" si="203"/>
        <v/>
      </c>
      <c r="CL134" s="81" t="str">
        <f t="shared" si="203"/>
        <v/>
      </c>
      <c r="CM134" s="81" t="str">
        <f t="shared" si="203"/>
        <v/>
      </c>
      <c r="CN134" s="81" t="str">
        <f t="shared" si="203"/>
        <v/>
      </c>
      <c r="CO134" s="81" t="str">
        <f t="shared" si="203"/>
        <v/>
      </c>
      <c r="CP134" s="80" t="str">
        <f t="shared" si="203"/>
        <v/>
      </c>
      <c r="CQ134" s="509" t="str">
        <f t="shared" si="203"/>
        <v/>
      </c>
      <c r="CR134" s="533" t="str">
        <f t="shared" si="204"/>
        <v/>
      </c>
      <c r="CS134" s="534" t="str">
        <f t="shared" si="204"/>
        <v/>
      </c>
      <c r="CT134" s="535" t="str">
        <f t="shared" si="204"/>
        <v/>
      </c>
      <c r="CU134" s="535" t="str">
        <f t="shared" si="204"/>
        <v/>
      </c>
      <c r="CV134" s="535" t="str">
        <f t="shared" si="204"/>
        <v/>
      </c>
      <c r="CW134" s="535" t="str">
        <f t="shared" si="204"/>
        <v/>
      </c>
      <c r="CX134" s="535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5" t="str">
        <f t="shared" si="205"/>
        <v/>
      </c>
      <c r="DF134" s="535" t="str">
        <f t="shared" si="205"/>
        <v/>
      </c>
      <c r="DG134" s="534" t="str">
        <f t="shared" si="205"/>
        <v/>
      </c>
      <c r="DH134" s="533" t="str">
        <f t="shared" si="205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0"/>
        <v/>
      </c>
      <c r="CF136" s="81" t="str">
        <f t="shared" si="210"/>
        <v/>
      </c>
      <c r="CG136" s="81" t="str">
        <f t="shared" si="210"/>
        <v/>
      </c>
      <c r="CH136" s="145" t="str">
        <f t="shared" si="210"/>
        <v/>
      </c>
      <c r="CI136" s="145" t="str">
        <f t="shared" si="210"/>
        <v/>
      </c>
      <c r="CJ136" s="145" t="str">
        <f t="shared" si="210"/>
        <v/>
      </c>
      <c r="CK136" s="81" t="str">
        <f t="shared" si="210"/>
        <v/>
      </c>
      <c r="CL136" s="81" t="str">
        <f t="shared" si="210"/>
        <v/>
      </c>
      <c r="CM136" s="81" t="str">
        <f t="shared" si="210"/>
        <v/>
      </c>
      <c r="CN136" s="81" t="str">
        <f t="shared" si="210"/>
        <v/>
      </c>
      <c r="CO136" s="81" t="str">
        <f t="shared" si="210"/>
        <v/>
      </c>
      <c r="CP136" s="80" t="str">
        <f t="shared" si="210"/>
        <v/>
      </c>
      <c r="CQ136" s="509" t="str">
        <f t="shared" ref="CE136:CQ140" si="211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2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2"/>
        <v/>
      </c>
      <c r="CT136" s="535" t="str">
        <f t="shared" si="212"/>
        <v/>
      </c>
      <c r="CU136" s="535" t="str">
        <f t="shared" si="212"/>
        <v/>
      </c>
      <c r="CV136" s="535" t="str">
        <f t="shared" si="212"/>
        <v/>
      </c>
      <c r="CW136" s="535" t="str">
        <f t="shared" si="212"/>
        <v/>
      </c>
      <c r="CX136" s="535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5" t="str">
        <f t="shared" ref="DB136:DH140" si="213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3"/>
        <v/>
      </c>
      <c r="DD136" s="535" t="str">
        <f t="shared" si="213"/>
        <v/>
      </c>
      <c r="DE136" s="535" t="str">
        <f t="shared" si="213"/>
        <v/>
      </c>
      <c r="DF136" s="535" t="str">
        <f t="shared" si="213"/>
        <v/>
      </c>
      <c r="DG136" s="534" t="str">
        <f t="shared" si="213"/>
        <v/>
      </c>
      <c r="DH136" s="533" t="str">
        <f t="shared" si="213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1"/>
        <v/>
      </c>
      <c r="CF137" s="81" t="str">
        <f t="shared" si="211"/>
        <v/>
      </c>
      <c r="CG137" s="81" t="str">
        <f t="shared" si="211"/>
        <v/>
      </c>
      <c r="CH137" s="145" t="str">
        <f t="shared" si="211"/>
        <v/>
      </c>
      <c r="CI137" s="145" t="str">
        <f t="shared" si="211"/>
        <v/>
      </c>
      <c r="CJ137" s="145" t="str">
        <f t="shared" si="211"/>
        <v/>
      </c>
      <c r="CK137" s="81" t="str">
        <f t="shared" si="211"/>
        <v/>
      </c>
      <c r="CL137" s="81" t="str">
        <f t="shared" si="211"/>
        <v/>
      </c>
      <c r="CM137" s="81" t="str">
        <f t="shared" si="211"/>
        <v/>
      </c>
      <c r="CN137" s="81" t="str">
        <f t="shared" si="211"/>
        <v/>
      </c>
      <c r="CO137" s="81" t="str">
        <f t="shared" si="211"/>
        <v/>
      </c>
      <c r="CP137" s="80" t="str">
        <f t="shared" si="211"/>
        <v/>
      </c>
      <c r="CQ137" s="509" t="str">
        <f t="shared" si="211"/>
        <v/>
      </c>
      <c r="CR137" s="533" t="str">
        <f t="shared" si="212"/>
        <v/>
      </c>
      <c r="CS137" s="534" t="str">
        <f t="shared" si="212"/>
        <v/>
      </c>
      <c r="CT137" s="535" t="str">
        <f t="shared" si="212"/>
        <v/>
      </c>
      <c r="CU137" s="535" t="str">
        <f t="shared" si="212"/>
        <v/>
      </c>
      <c r="CV137" s="535" t="str">
        <f t="shared" si="212"/>
        <v/>
      </c>
      <c r="CW137" s="535" t="str">
        <f t="shared" si="212"/>
        <v/>
      </c>
      <c r="CX137" s="535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5" t="str">
        <f t="shared" si="213"/>
        <v/>
      </c>
      <c r="DF137" s="535" t="str">
        <f t="shared" si="213"/>
        <v/>
      </c>
      <c r="DG137" s="534" t="str">
        <f t="shared" si="213"/>
        <v/>
      </c>
      <c r="DH137" s="533" t="str">
        <f t="shared" si="213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1"/>
        <v/>
      </c>
      <c r="CF138" s="81" t="str">
        <f t="shared" si="211"/>
        <v/>
      </c>
      <c r="CG138" s="81" t="str">
        <f t="shared" si="211"/>
        <v/>
      </c>
      <c r="CH138" s="145" t="str">
        <f t="shared" si="211"/>
        <v/>
      </c>
      <c r="CI138" s="145" t="str">
        <f t="shared" si="211"/>
        <v/>
      </c>
      <c r="CJ138" s="145" t="str">
        <f t="shared" si="211"/>
        <v/>
      </c>
      <c r="CK138" s="81" t="str">
        <f t="shared" si="211"/>
        <v/>
      </c>
      <c r="CL138" s="81" t="str">
        <f t="shared" si="211"/>
        <v/>
      </c>
      <c r="CM138" s="81" t="str">
        <f t="shared" si="211"/>
        <v/>
      </c>
      <c r="CN138" s="81" t="str">
        <f t="shared" si="211"/>
        <v/>
      </c>
      <c r="CO138" s="81" t="str">
        <f t="shared" si="211"/>
        <v/>
      </c>
      <c r="CP138" s="80" t="str">
        <f t="shared" si="211"/>
        <v/>
      </c>
      <c r="CQ138" s="509" t="str">
        <f t="shared" si="211"/>
        <v/>
      </c>
      <c r="CR138" s="533" t="str">
        <f t="shared" si="212"/>
        <v/>
      </c>
      <c r="CS138" s="534" t="str">
        <f t="shared" si="212"/>
        <v/>
      </c>
      <c r="CT138" s="535" t="str">
        <f t="shared" si="212"/>
        <v/>
      </c>
      <c r="CU138" s="535" t="str">
        <f t="shared" si="212"/>
        <v/>
      </c>
      <c r="CV138" s="535" t="str">
        <f t="shared" si="212"/>
        <v/>
      </c>
      <c r="CW138" s="535" t="str">
        <f t="shared" si="212"/>
        <v/>
      </c>
      <c r="CX138" s="535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5" t="str">
        <f t="shared" si="213"/>
        <v/>
      </c>
      <c r="DF138" s="535" t="str">
        <f t="shared" si="213"/>
        <v/>
      </c>
      <c r="DG138" s="534" t="str">
        <f t="shared" si="213"/>
        <v/>
      </c>
      <c r="DH138" s="533" t="str">
        <f t="shared" si="213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1"/>
        <v/>
      </c>
      <c r="CF139" s="81" t="str">
        <f t="shared" si="211"/>
        <v/>
      </c>
      <c r="CG139" s="81" t="str">
        <f t="shared" si="211"/>
        <v/>
      </c>
      <c r="CH139" s="145" t="str">
        <f t="shared" si="211"/>
        <v/>
      </c>
      <c r="CI139" s="145" t="str">
        <f t="shared" si="211"/>
        <v/>
      </c>
      <c r="CJ139" s="145" t="str">
        <f t="shared" si="211"/>
        <v/>
      </c>
      <c r="CK139" s="81" t="str">
        <f t="shared" si="211"/>
        <v/>
      </c>
      <c r="CL139" s="81" t="str">
        <f t="shared" si="211"/>
        <v/>
      </c>
      <c r="CM139" s="81" t="str">
        <f t="shared" si="211"/>
        <v/>
      </c>
      <c r="CN139" s="81" t="str">
        <f t="shared" si="211"/>
        <v/>
      </c>
      <c r="CO139" s="81" t="str">
        <f t="shared" si="211"/>
        <v/>
      </c>
      <c r="CP139" s="80" t="str">
        <f t="shared" si="211"/>
        <v/>
      </c>
      <c r="CQ139" s="509" t="str">
        <f t="shared" si="211"/>
        <v/>
      </c>
      <c r="CR139" s="533" t="str">
        <f t="shared" si="212"/>
        <v/>
      </c>
      <c r="CS139" s="534" t="str">
        <f t="shared" si="212"/>
        <v/>
      </c>
      <c r="CT139" s="535" t="str">
        <f t="shared" si="212"/>
        <v/>
      </c>
      <c r="CU139" s="535" t="str">
        <f t="shared" si="212"/>
        <v/>
      </c>
      <c r="CV139" s="535" t="str">
        <f t="shared" si="212"/>
        <v/>
      </c>
      <c r="CW139" s="535" t="str">
        <f t="shared" si="212"/>
        <v/>
      </c>
      <c r="CX139" s="535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5" t="str">
        <f t="shared" si="213"/>
        <v/>
      </c>
      <c r="DF139" s="535" t="str">
        <f t="shared" si="213"/>
        <v/>
      </c>
      <c r="DG139" s="534" t="str">
        <f t="shared" si="213"/>
        <v/>
      </c>
      <c r="DH139" s="533" t="str">
        <f t="shared" si="213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4">IF(B137="","",B136*B137*B138*B139)</f>
        <v/>
      </c>
      <c r="C140" s="870" t="str">
        <f t="shared" si="214"/>
        <v/>
      </c>
      <c r="D140" s="870" t="str">
        <f t="shared" si="214"/>
        <v/>
      </c>
      <c r="E140" s="870" t="str">
        <f t="shared" si="214"/>
        <v/>
      </c>
      <c r="F140" s="870" t="str">
        <f t="shared" si="214"/>
        <v/>
      </c>
      <c r="G140" s="870" t="str">
        <f t="shared" si="214"/>
        <v/>
      </c>
      <c r="H140" s="870" t="str">
        <f t="shared" si="214"/>
        <v/>
      </c>
      <c r="I140" s="870" t="str">
        <f t="shared" si="214"/>
        <v/>
      </c>
      <c r="J140" s="870" t="str">
        <f t="shared" si="214"/>
        <v/>
      </c>
      <c r="K140" s="870" t="str">
        <f t="shared" si="214"/>
        <v/>
      </c>
      <c r="L140" s="870" t="str">
        <f t="shared" si="214"/>
        <v/>
      </c>
      <c r="M140" s="870" t="str">
        <f t="shared" si="214"/>
        <v/>
      </c>
      <c r="N140" s="870" t="str">
        <f t="shared" si="214"/>
        <v/>
      </c>
      <c r="O140" s="870" t="str">
        <f t="shared" si="214"/>
        <v/>
      </c>
      <c r="P140" s="870" t="str">
        <f t="shared" si="214"/>
        <v/>
      </c>
      <c r="Q140" s="870" t="str">
        <f t="shared" si="214"/>
        <v/>
      </c>
      <c r="R140" s="870" t="str">
        <f t="shared" si="214"/>
        <v/>
      </c>
      <c r="S140" s="858"/>
      <c r="T140" s="870" t="str">
        <f t="shared" ref="T140:AC140" si="215">IF(T137="","",T136*T137*T138*T139)</f>
        <v/>
      </c>
      <c r="U140" s="870" t="str">
        <f t="shared" si="215"/>
        <v/>
      </c>
      <c r="V140" s="870" t="str">
        <f t="shared" si="215"/>
        <v/>
      </c>
      <c r="W140" s="870" t="str">
        <f t="shared" si="215"/>
        <v/>
      </c>
      <c r="X140" s="870" t="str">
        <f t="shared" si="215"/>
        <v/>
      </c>
      <c r="Y140" s="870" t="str">
        <f t="shared" si="215"/>
        <v/>
      </c>
      <c r="Z140" s="870" t="str">
        <f t="shared" si="215"/>
        <v/>
      </c>
      <c r="AA140" s="870" t="str">
        <f t="shared" si="215"/>
        <v/>
      </c>
      <c r="AB140" s="870" t="str">
        <f t="shared" si="215"/>
        <v/>
      </c>
      <c r="AC140" s="870" t="str">
        <f t="shared" si="215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6">IF(AL137="","",AL136*AL137*AL138*AL139)</f>
        <v/>
      </c>
      <c r="AM140" s="870" t="str">
        <f t="shared" si="216"/>
        <v/>
      </c>
      <c r="AN140" s="870" t="str">
        <f t="shared" si="216"/>
        <v/>
      </c>
      <c r="AO140" s="870" t="str">
        <f t="shared" si="216"/>
        <v/>
      </c>
      <c r="AP140" s="870" t="str">
        <f t="shared" si="216"/>
        <v/>
      </c>
      <c r="AQ140" s="870" t="str">
        <f t="shared" si="216"/>
        <v/>
      </c>
      <c r="AR140" s="870" t="str">
        <f t="shared" si="216"/>
        <v/>
      </c>
      <c r="AS140" s="870" t="str">
        <f t="shared" si="216"/>
        <v/>
      </c>
      <c r="AT140" s="870" t="str">
        <f t="shared" si="216"/>
        <v/>
      </c>
      <c r="AU140" s="870" t="str">
        <f t="shared" si="216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7">IF(BD137="","",BD136*BD137*BD138*BD139)</f>
        <v/>
      </c>
      <c r="BE140" s="870" t="str">
        <f t="shared" si="217"/>
        <v/>
      </c>
      <c r="BF140" s="870" t="str">
        <f t="shared" si="217"/>
        <v/>
      </c>
      <c r="BG140" s="870" t="str">
        <f t="shared" si="217"/>
        <v/>
      </c>
      <c r="BH140" s="870" t="str">
        <f t="shared" si="217"/>
        <v/>
      </c>
      <c r="BI140" s="870" t="str">
        <f t="shared" si="217"/>
        <v/>
      </c>
      <c r="BJ140" s="870" t="str">
        <f t="shared" si="217"/>
        <v/>
      </c>
      <c r="BK140" s="870" t="str">
        <f t="shared" si="217"/>
        <v/>
      </c>
      <c r="BL140" s="870" t="str">
        <f t="shared" si="217"/>
        <v/>
      </c>
      <c r="BM140" s="870" t="str">
        <f t="shared" si="217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1"/>
        <v/>
      </c>
      <c r="CF140" s="81" t="str">
        <f t="shared" si="211"/>
        <v/>
      </c>
      <c r="CG140" s="81" t="str">
        <f t="shared" si="211"/>
        <v/>
      </c>
      <c r="CH140" s="145" t="str">
        <f t="shared" si="211"/>
        <v/>
      </c>
      <c r="CI140" s="145" t="str">
        <f t="shared" si="211"/>
        <v/>
      </c>
      <c r="CJ140" s="145" t="str">
        <f t="shared" si="211"/>
        <v/>
      </c>
      <c r="CK140" s="81" t="str">
        <f t="shared" si="211"/>
        <v/>
      </c>
      <c r="CL140" s="81" t="str">
        <f t="shared" si="211"/>
        <v/>
      </c>
      <c r="CM140" s="81" t="str">
        <f t="shared" si="211"/>
        <v/>
      </c>
      <c r="CN140" s="81" t="str">
        <f t="shared" si="211"/>
        <v/>
      </c>
      <c r="CO140" s="81" t="str">
        <f t="shared" si="211"/>
        <v/>
      </c>
      <c r="CP140" s="80" t="str">
        <f t="shared" si="211"/>
        <v/>
      </c>
      <c r="CQ140" s="509" t="str">
        <f t="shared" si="211"/>
        <v/>
      </c>
      <c r="CR140" s="533" t="str">
        <f t="shared" si="212"/>
        <v/>
      </c>
      <c r="CS140" s="534" t="str">
        <f t="shared" si="212"/>
        <v/>
      </c>
      <c r="CT140" s="535" t="str">
        <f t="shared" si="212"/>
        <v/>
      </c>
      <c r="CU140" s="535" t="str">
        <f t="shared" si="212"/>
        <v/>
      </c>
      <c r="CV140" s="535" t="str">
        <f t="shared" si="212"/>
        <v/>
      </c>
      <c r="CW140" s="535" t="str">
        <f t="shared" si="212"/>
        <v/>
      </c>
      <c r="CX140" s="535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5" t="str">
        <f t="shared" si="213"/>
        <v/>
      </c>
      <c r="DF140" s="535" t="str">
        <f t="shared" si="213"/>
        <v/>
      </c>
      <c r="DG140" s="534" t="str">
        <f t="shared" si="213"/>
        <v/>
      </c>
      <c r="DH140" s="533" t="str">
        <f t="shared" si="213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8"/>
        <v/>
      </c>
      <c r="CF142" s="81" t="str">
        <f t="shared" si="218"/>
        <v/>
      </c>
      <c r="CG142" s="81" t="str">
        <f t="shared" si="218"/>
        <v/>
      </c>
      <c r="CH142" s="145" t="str">
        <f t="shared" si="218"/>
        <v/>
      </c>
      <c r="CI142" s="145" t="str">
        <f t="shared" si="218"/>
        <v/>
      </c>
      <c r="CJ142" s="145" t="str">
        <f t="shared" si="218"/>
        <v/>
      </c>
      <c r="CK142" s="81" t="str">
        <f t="shared" si="218"/>
        <v/>
      </c>
      <c r="CL142" s="81" t="str">
        <f t="shared" si="218"/>
        <v/>
      </c>
      <c r="CM142" s="81" t="str">
        <f t="shared" si="218"/>
        <v/>
      </c>
      <c r="CN142" s="81" t="str">
        <f t="shared" si="218"/>
        <v/>
      </c>
      <c r="CO142" s="81" t="str">
        <f t="shared" si="218"/>
        <v/>
      </c>
      <c r="CP142" s="80" t="str">
        <f t="shared" si="218"/>
        <v/>
      </c>
      <c r="CQ142" s="509" t="str">
        <f t="shared" ref="CE142:CQ146" si="219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0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0"/>
        <v/>
      </c>
      <c r="CT142" s="535" t="str">
        <f t="shared" si="220"/>
        <v/>
      </c>
      <c r="CU142" s="535" t="str">
        <f t="shared" si="220"/>
        <v/>
      </c>
      <c r="CV142" s="535" t="str">
        <f t="shared" si="220"/>
        <v/>
      </c>
      <c r="CW142" s="535" t="str">
        <f t="shared" si="220"/>
        <v/>
      </c>
      <c r="CX142" s="535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5" t="str">
        <f t="shared" ref="DB142:DH146" si="221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1"/>
        <v/>
      </c>
      <c r="DD142" s="535" t="str">
        <f t="shared" si="221"/>
        <v/>
      </c>
      <c r="DE142" s="535" t="str">
        <f t="shared" si="221"/>
        <v/>
      </c>
      <c r="DF142" s="535" t="str">
        <f t="shared" si="221"/>
        <v/>
      </c>
      <c r="DG142" s="534" t="str">
        <f t="shared" si="221"/>
        <v/>
      </c>
      <c r="DH142" s="533" t="str">
        <f t="shared" si="221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19"/>
        <v/>
      </c>
      <c r="CF143" s="81" t="str">
        <f t="shared" si="219"/>
        <v/>
      </c>
      <c r="CG143" s="81" t="str">
        <f t="shared" si="219"/>
        <v/>
      </c>
      <c r="CH143" s="145" t="str">
        <f t="shared" si="219"/>
        <v/>
      </c>
      <c r="CI143" s="145" t="str">
        <f t="shared" si="219"/>
        <v/>
      </c>
      <c r="CJ143" s="145" t="str">
        <f t="shared" si="219"/>
        <v/>
      </c>
      <c r="CK143" s="81" t="str">
        <f t="shared" si="219"/>
        <v/>
      </c>
      <c r="CL143" s="81" t="str">
        <f t="shared" si="219"/>
        <v/>
      </c>
      <c r="CM143" s="81" t="str">
        <f t="shared" si="219"/>
        <v/>
      </c>
      <c r="CN143" s="81" t="str">
        <f t="shared" si="219"/>
        <v/>
      </c>
      <c r="CO143" s="81" t="str">
        <f t="shared" si="219"/>
        <v/>
      </c>
      <c r="CP143" s="80" t="str">
        <f t="shared" si="219"/>
        <v/>
      </c>
      <c r="CQ143" s="509" t="str">
        <f t="shared" si="219"/>
        <v/>
      </c>
      <c r="CR143" s="533" t="str">
        <f t="shared" si="220"/>
        <v/>
      </c>
      <c r="CS143" s="534" t="str">
        <f t="shared" si="220"/>
        <v/>
      </c>
      <c r="CT143" s="535" t="str">
        <f t="shared" si="220"/>
        <v/>
      </c>
      <c r="CU143" s="535" t="str">
        <f t="shared" si="220"/>
        <v/>
      </c>
      <c r="CV143" s="535" t="str">
        <f t="shared" si="220"/>
        <v/>
      </c>
      <c r="CW143" s="535" t="str">
        <f t="shared" si="220"/>
        <v/>
      </c>
      <c r="CX143" s="535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5" t="str">
        <f t="shared" si="221"/>
        <v/>
      </c>
      <c r="DF143" s="535" t="str">
        <f t="shared" si="221"/>
        <v/>
      </c>
      <c r="DG143" s="534" t="str">
        <f t="shared" si="221"/>
        <v/>
      </c>
      <c r="DH143" s="533" t="str">
        <f t="shared" si="221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19"/>
        <v/>
      </c>
      <c r="CF144" s="81" t="str">
        <f t="shared" si="219"/>
        <v/>
      </c>
      <c r="CG144" s="81" t="str">
        <f t="shared" si="219"/>
        <v/>
      </c>
      <c r="CH144" s="145" t="str">
        <f t="shared" si="219"/>
        <v/>
      </c>
      <c r="CI144" s="145" t="str">
        <f t="shared" si="219"/>
        <v/>
      </c>
      <c r="CJ144" s="145" t="str">
        <f t="shared" si="219"/>
        <v/>
      </c>
      <c r="CK144" s="81" t="str">
        <f t="shared" si="219"/>
        <v/>
      </c>
      <c r="CL144" s="81" t="str">
        <f t="shared" si="219"/>
        <v/>
      </c>
      <c r="CM144" s="81" t="str">
        <f t="shared" si="219"/>
        <v/>
      </c>
      <c r="CN144" s="81" t="str">
        <f t="shared" si="219"/>
        <v/>
      </c>
      <c r="CO144" s="81" t="str">
        <f t="shared" si="219"/>
        <v/>
      </c>
      <c r="CP144" s="80" t="str">
        <f t="shared" si="219"/>
        <v/>
      </c>
      <c r="CQ144" s="509" t="str">
        <f t="shared" si="219"/>
        <v/>
      </c>
      <c r="CR144" s="533" t="str">
        <f t="shared" si="220"/>
        <v/>
      </c>
      <c r="CS144" s="534" t="str">
        <f t="shared" si="220"/>
        <v/>
      </c>
      <c r="CT144" s="535" t="str">
        <f t="shared" si="220"/>
        <v/>
      </c>
      <c r="CU144" s="535" t="str">
        <f t="shared" si="220"/>
        <v/>
      </c>
      <c r="CV144" s="535" t="str">
        <f t="shared" si="220"/>
        <v/>
      </c>
      <c r="CW144" s="535" t="str">
        <f t="shared" si="220"/>
        <v/>
      </c>
      <c r="CX144" s="535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5" t="str">
        <f t="shared" si="221"/>
        <v/>
      </c>
      <c r="DF144" s="535" t="str">
        <f t="shared" si="221"/>
        <v/>
      </c>
      <c r="DG144" s="534" t="str">
        <f t="shared" si="221"/>
        <v/>
      </c>
      <c r="DH144" s="533" t="str">
        <f t="shared" si="221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19"/>
        <v/>
      </c>
      <c r="CF145" s="81" t="str">
        <f t="shared" si="219"/>
        <v/>
      </c>
      <c r="CG145" s="81" t="str">
        <f t="shared" si="219"/>
        <v/>
      </c>
      <c r="CH145" s="145" t="str">
        <f t="shared" si="219"/>
        <v/>
      </c>
      <c r="CI145" s="145" t="str">
        <f t="shared" si="219"/>
        <v/>
      </c>
      <c r="CJ145" s="145" t="str">
        <f t="shared" si="219"/>
        <v/>
      </c>
      <c r="CK145" s="81" t="str">
        <f t="shared" si="219"/>
        <v/>
      </c>
      <c r="CL145" s="81" t="str">
        <f t="shared" si="219"/>
        <v/>
      </c>
      <c r="CM145" s="81" t="str">
        <f t="shared" si="219"/>
        <v/>
      </c>
      <c r="CN145" s="81" t="str">
        <f t="shared" si="219"/>
        <v/>
      </c>
      <c r="CO145" s="81" t="str">
        <f t="shared" si="219"/>
        <v/>
      </c>
      <c r="CP145" s="80" t="str">
        <f t="shared" si="219"/>
        <v/>
      </c>
      <c r="CQ145" s="509" t="str">
        <f t="shared" si="219"/>
        <v/>
      </c>
      <c r="CR145" s="533" t="str">
        <f t="shared" si="220"/>
        <v/>
      </c>
      <c r="CS145" s="534" t="str">
        <f t="shared" si="220"/>
        <v/>
      </c>
      <c r="CT145" s="535" t="str">
        <f t="shared" si="220"/>
        <v/>
      </c>
      <c r="CU145" s="535" t="str">
        <f t="shared" si="220"/>
        <v/>
      </c>
      <c r="CV145" s="535" t="str">
        <f t="shared" si="220"/>
        <v/>
      </c>
      <c r="CW145" s="535" t="str">
        <f t="shared" si="220"/>
        <v/>
      </c>
      <c r="CX145" s="535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5" t="str">
        <f t="shared" si="221"/>
        <v/>
      </c>
      <c r="DF145" s="535" t="str">
        <f t="shared" si="221"/>
        <v/>
      </c>
      <c r="DG145" s="534" t="str">
        <f t="shared" si="221"/>
        <v/>
      </c>
      <c r="DH145" s="533" t="str">
        <f t="shared" si="221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2">IF(B143="","",B142*B143*B144*B145)</f>
        <v/>
      </c>
      <c r="C146" s="870" t="str">
        <f t="shared" si="222"/>
        <v/>
      </c>
      <c r="D146" s="870" t="str">
        <f t="shared" si="222"/>
        <v/>
      </c>
      <c r="E146" s="870" t="str">
        <f t="shared" si="222"/>
        <v/>
      </c>
      <c r="F146" s="870" t="str">
        <f t="shared" si="222"/>
        <v/>
      </c>
      <c r="G146" s="870" t="str">
        <f t="shared" si="222"/>
        <v/>
      </c>
      <c r="H146" s="870" t="str">
        <f t="shared" si="222"/>
        <v/>
      </c>
      <c r="I146" s="870" t="str">
        <f t="shared" si="222"/>
        <v/>
      </c>
      <c r="J146" s="870" t="str">
        <f t="shared" si="222"/>
        <v/>
      </c>
      <c r="K146" s="870" t="str">
        <f t="shared" si="222"/>
        <v/>
      </c>
      <c r="L146" s="870" t="str">
        <f t="shared" si="222"/>
        <v/>
      </c>
      <c r="M146" s="870" t="str">
        <f t="shared" si="222"/>
        <v/>
      </c>
      <c r="N146" s="870" t="str">
        <f t="shared" si="222"/>
        <v/>
      </c>
      <c r="O146" s="870" t="str">
        <f t="shared" si="222"/>
        <v/>
      </c>
      <c r="P146" s="870" t="str">
        <f t="shared" si="222"/>
        <v/>
      </c>
      <c r="Q146" s="870" t="str">
        <f t="shared" si="222"/>
        <v/>
      </c>
      <c r="R146" s="870" t="str">
        <f t="shared" si="222"/>
        <v/>
      </c>
      <c r="S146" s="858"/>
      <c r="T146" s="870" t="str">
        <f t="shared" ref="T146:AC146" si="223">IF(T143="","",T142*T143*T144*T145)</f>
        <v/>
      </c>
      <c r="U146" s="870" t="str">
        <f t="shared" si="223"/>
        <v/>
      </c>
      <c r="V146" s="870" t="str">
        <f t="shared" si="223"/>
        <v/>
      </c>
      <c r="W146" s="870" t="str">
        <f t="shared" si="223"/>
        <v/>
      </c>
      <c r="X146" s="870" t="str">
        <f t="shared" si="223"/>
        <v/>
      </c>
      <c r="Y146" s="870" t="str">
        <f t="shared" si="223"/>
        <v/>
      </c>
      <c r="Z146" s="870" t="str">
        <f t="shared" si="223"/>
        <v/>
      </c>
      <c r="AA146" s="870" t="str">
        <f t="shared" si="223"/>
        <v/>
      </c>
      <c r="AB146" s="870" t="str">
        <f t="shared" si="223"/>
        <v/>
      </c>
      <c r="AC146" s="870" t="str">
        <f t="shared" si="223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4">IF(AL143="","",AL142*AL143*AL144*AL145)</f>
        <v/>
      </c>
      <c r="AM146" s="870" t="str">
        <f t="shared" si="224"/>
        <v/>
      </c>
      <c r="AN146" s="870" t="str">
        <f t="shared" si="224"/>
        <v/>
      </c>
      <c r="AO146" s="870" t="str">
        <f t="shared" si="224"/>
        <v/>
      </c>
      <c r="AP146" s="870" t="str">
        <f t="shared" si="224"/>
        <v/>
      </c>
      <c r="AQ146" s="870" t="str">
        <f t="shared" si="224"/>
        <v/>
      </c>
      <c r="AR146" s="870" t="str">
        <f t="shared" si="224"/>
        <v/>
      </c>
      <c r="AS146" s="870" t="str">
        <f t="shared" si="224"/>
        <v/>
      </c>
      <c r="AT146" s="870" t="str">
        <f t="shared" si="224"/>
        <v/>
      </c>
      <c r="AU146" s="870" t="str">
        <f t="shared" si="224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5">IF(BD143="","",BD142*BD143*BD144*BD145)</f>
        <v/>
      </c>
      <c r="BE146" s="870" t="str">
        <f t="shared" si="225"/>
        <v/>
      </c>
      <c r="BF146" s="870" t="str">
        <f t="shared" si="225"/>
        <v/>
      </c>
      <c r="BG146" s="870" t="str">
        <f t="shared" si="225"/>
        <v/>
      </c>
      <c r="BH146" s="870" t="str">
        <f t="shared" si="225"/>
        <v/>
      </c>
      <c r="BI146" s="870" t="str">
        <f t="shared" si="225"/>
        <v/>
      </c>
      <c r="BJ146" s="870" t="str">
        <f t="shared" si="225"/>
        <v/>
      </c>
      <c r="BK146" s="870" t="str">
        <f t="shared" si="225"/>
        <v/>
      </c>
      <c r="BL146" s="870" t="str">
        <f t="shared" si="225"/>
        <v/>
      </c>
      <c r="BM146" s="870" t="str">
        <f t="shared" si="225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19"/>
        <v/>
      </c>
      <c r="CF146" s="81" t="str">
        <f t="shared" si="219"/>
        <v/>
      </c>
      <c r="CG146" s="81" t="str">
        <f t="shared" si="219"/>
        <v/>
      </c>
      <c r="CH146" s="145" t="str">
        <f t="shared" si="219"/>
        <v/>
      </c>
      <c r="CI146" s="145" t="str">
        <f t="shared" si="219"/>
        <v/>
      </c>
      <c r="CJ146" s="145" t="str">
        <f t="shared" si="219"/>
        <v/>
      </c>
      <c r="CK146" s="81" t="str">
        <f t="shared" si="219"/>
        <v/>
      </c>
      <c r="CL146" s="81" t="str">
        <f t="shared" si="219"/>
        <v/>
      </c>
      <c r="CM146" s="81" t="str">
        <f t="shared" si="219"/>
        <v/>
      </c>
      <c r="CN146" s="81" t="str">
        <f t="shared" si="219"/>
        <v/>
      </c>
      <c r="CO146" s="81" t="str">
        <f t="shared" si="219"/>
        <v/>
      </c>
      <c r="CP146" s="80" t="str">
        <f t="shared" si="219"/>
        <v/>
      </c>
      <c r="CQ146" s="509" t="str">
        <f t="shared" si="219"/>
        <v/>
      </c>
      <c r="CR146" s="533" t="str">
        <f t="shared" si="220"/>
        <v/>
      </c>
      <c r="CS146" s="534" t="str">
        <f t="shared" si="220"/>
        <v/>
      </c>
      <c r="CT146" s="535" t="str">
        <f t="shared" si="220"/>
        <v/>
      </c>
      <c r="CU146" s="535" t="str">
        <f t="shared" si="220"/>
        <v/>
      </c>
      <c r="CV146" s="535" t="str">
        <f t="shared" si="220"/>
        <v/>
      </c>
      <c r="CW146" s="535" t="str">
        <f t="shared" si="220"/>
        <v/>
      </c>
      <c r="CX146" s="535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5" t="str">
        <f t="shared" si="221"/>
        <v/>
      </c>
      <c r="DF146" s="535" t="str">
        <f t="shared" si="221"/>
        <v/>
      </c>
      <c r="DG146" s="534" t="str">
        <f t="shared" si="221"/>
        <v/>
      </c>
      <c r="DH146" s="533" t="str">
        <f t="shared" si="221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6">IF(DI148&lt;3,"",(SUM(B148:R148)-MIN(B148:R148)-MAX(B148:R148))/(DI148-2))</f>
        <v/>
      </c>
      <c r="CA148" s="864" t="str">
        <f t="shared" ref="CA148:CA153" si="227">IF(DJ148&lt;3,"",(SUM(T148:AJ148)-MIN(T148:AJ148)-MAX(T148:AJ148))/(DJ148-2))</f>
        <v/>
      </c>
      <c r="CB148" s="864" t="str">
        <f t="shared" ref="CB148:CB153" si="228">IF(DK148&lt;3,"",(SUM(AL148:BB148)-MIN(AL148:BB148)-MAX(AL148:BB148))/(DK148-2))</f>
        <v/>
      </c>
      <c r="CC148" s="865" t="str">
        <f t="shared" ref="CC148:CC153" si="229">IF(DL148&lt;3,"",(SUM(BD148:BT148)-MIN(BD148:BT148)-MAX(BD148:BT148))/(DL148-2))</f>
        <v/>
      </c>
      <c r="CD148" s="508" t="str">
        <f t="shared" ref="CD148:CP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0"/>
        <v/>
      </c>
      <c r="CF148" s="81" t="str">
        <f t="shared" si="230"/>
        <v/>
      </c>
      <c r="CG148" s="81" t="str">
        <f t="shared" si="230"/>
        <v/>
      </c>
      <c r="CH148" s="145" t="str">
        <f t="shared" si="230"/>
        <v/>
      </c>
      <c r="CI148" s="145" t="str">
        <f t="shared" si="230"/>
        <v/>
      </c>
      <c r="CJ148" s="145" t="str">
        <f t="shared" si="230"/>
        <v/>
      </c>
      <c r="CK148" s="81" t="str">
        <f t="shared" si="230"/>
        <v/>
      </c>
      <c r="CL148" s="81" t="str">
        <f t="shared" si="230"/>
        <v/>
      </c>
      <c r="CM148" s="81" t="str">
        <f t="shared" si="230"/>
        <v/>
      </c>
      <c r="CN148" s="81" t="str">
        <f t="shared" si="230"/>
        <v/>
      </c>
      <c r="CO148" s="81" t="str">
        <f t="shared" si="230"/>
        <v/>
      </c>
      <c r="CP148" s="80" t="str">
        <f t="shared" si="230"/>
        <v/>
      </c>
      <c r="CQ148" s="509" t="str">
        <f t="shared" ref="CE148:CQ153" si="231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2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3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4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5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6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7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38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9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0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1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2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3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4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5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6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7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48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49">COUNT(B148:R148)</f>
        <v>0</v>
      </c>
      <c r="DJ148" s="822">
        <f t="shared" ref="DJ148:DJ153" si="250">COUNT(T148:AJ148)</f>
        <v>0</v>
      </c>
      <c r="DK148" s="822">
        <f t="shared" ref="DK148:DK153" si="251">COUNT(AL148:BB148)</f>
        <v>0</v>
      </c>
      <c r="DL148" s="823">
        <f t="shared" ref="DL148:DL153" si="252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6"/>
        <v/>
      </c>
      <c r="CA149" s="864" t="str">
        <f t="shared" si="227"/>
        <v/>
      </c>
      <c r="CB149" s="864" t="str">
        <f t="shared" si="228"/>
        <v/>
      </c>
      <c r="CC149" s="865" t="str">
        <f t="shared" si="229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1"/>
        <v/>
      </c>
      <c r="CF149" s="81" t="str">
        <f t="shared" si="231"/>
        <v/>
      </c>
      <c r="CG149" s="81" t="str">
        <f t="shared" si="231"/>
        <v/>
      </c>
      <c r="CH149" s="145" t="str">
        <f t="shared" si="231"/>
        <v/>
      </c>
      <c r="CI149" s="145" t="str">
        <f t="shared" si="231"/>
        <v/>
      </c>
      <c r="CJ149" s="145" t="str">
        <f t="shared" si="231"/>
        <v/>
      </c>
      <c r="CK149" s="81" t="str">
        <f t="shared" si="231"/>
        <v/>
      </c>
      <c r="CL149" s="81" t="str">
        <f t="shared" si="231"/>
        <v/>
      </c>
      <c r="CM149" s="81" t="str">
        <f t="shared" si="231"/>
        <v/>
      </c>
      <c r="CN149" s="81" t="str">
        <f t="shared" si="231"/>
        <v/>
      </c>
      <c r="CO149" s="81" t="str">
        <f t="shared" si="231"/>
        <v/>
      </c>
      <c r="CP149" s="80" t="str">
        <f t="shared" si="231"/>
        <v/>
      </c>
      <c r="CQ149" s="509" t="str">
        <f t="shared" si="231"/>
        <v/>
      </c>
      <c r="CR149" s="533" t="str">
        <f t="shared" si="232"/>
        <v/>
      </c>
      <c r="CS149" s="534" t="str">
        <f t="shared" si="233"/>
        <v/>
      </c>
      <c r="CT149" s="535" t="str">
        <f t="shared" si="234"/>
        <v/>
      </c>
      <c r="CU149" s="535" t="str">
        <f t="shared" si="235"/>
        <v/>
      </c>
      <c r="CV149" s="535" t="str">
        <f t="shared" si="236"/>
        <v/>
      </c>
      <c r="CW149" s="535" t="str">
        <f t="shared" si="237"/>
        <v/>
      </c>
      <c r="CX149" s="535" t="str">
        <f t="shared" si="238"/>
        <v/>
      </c>
      <c r="CY149" s="536" t="str">
        <f t="shared" si="239"/>
        <v/>
      </c>
      <c r="CZ149" s="536" t="str">
        <f t="shared" si="240"/>
        <v/>
      </c>
      <c r="DA149" s="536" t="str">
        <f t="shared" si="241"/>
        <v/>
      </c>
      <c r="DB149" s="535" t="str">
        <f t="shared" si="242"/>
        <v/>
      </c>
      <c r="DC149" s="535" t="str">
        <f t="shared" si="243"/>
        <v/>
      </c>
      <c r="DD149" s="535" t="str">
        <f t="shared" si="244"/>
        <v/>
      </c>
      <c r="DE149" s="535" t="str">
        <f t="shared" si="245"/>
        <v/>
      </c>
      <c r="DF149" s="535" t="str">
        <f t="shared" si="246"/>
        <v/>
      </c>
      <c r="DG149" s="534" t="str">
        <f t="shared" si="247"/>
        <v/>
      </c>
      <c r="DH149" s="533" t="str">
        <f t="shared" si="248"/>
        <v/>
      </c>
      <c r="DI149" s="866">
        <f t="shared" si="249"/>
        <v>0</v>
      </c>
      <c r="DJ149" s="822">
        <f t="shared" si="250"/>
        <v>0</v>
      </c>
      <c r="DK149" s="822">
        <f t="shared" si="251"/>
        <v>0</v>
      </c>
      <c r="DL149" s="823">
        <f t="shared" si="252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6"/>
        <v/>
      </c>
      <c r="CA150" s="864" t="str">
        <f t="shared" si="227"/>
        <v/>
      </c>
      <c r="CB150" s="864" t="str">
        <f t="shared" si="228"/>
        <v/>
      </c>
      <c r="CC150" s="865" t="str">
        <f t="shared" si="229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1"/>
        <v/>
      </c>
      <c r="CF150" s="81" t="str">
        <f t="shared" si="231"/>
        <v/>
      </c>
      <c r="CG150" s="81" t="str">
        <f t="shared" si="231"/>
        <v/>
      </c>
      <c r="CH150" s="145" t="str">
        <f t="shared" si="231"/>
        <v/>
      </c>
      <c r="CI150" s="145" t="str">
        <f t="shared" si="231"/>
        <v/>
      </c>
      <c r="CJ150" s="145" t="str">
        <f t="shared" si="231"/>
        <v/>
      </c>
      <c r="CK150" s="81" t="str">
        <f t="shared" si="231"/>
        <v/>
      </c>
      <c r="CL150" s="81" t="str">
        <f t="shared" si="231"/>
        <v/>
      </c>
      <c r="CM150" s="81" t="str">
        <f t="shared" si="231"/>
        <v/>
      </c>
      <c r="CN150" s="81" t="str">
        <f t="shared" si="231"/>
        <v/>
      </c>
      <c r="CO150" s="81" t="str">
        <f t="shared" si="231"/>
        <v/>
      </c>
      <c r="CP150" s="80" t="str">
        <f t="shared" si="231"/>
        <v/>
      </c>
      <c r="CQ150" s="509" t="str">
        <f t="shared" si="231"/>
        <v/>
      </c>
      <c r="CR150" s="533" t="str">
        <f t="shared" si="232"/>
        <v/>
      </c>
      <c r="CS150" s="534" t="str">
        <f t="shared" si="233"/>
        <v/>
      </c>
      <c r="CT150" s="535" t="str">
        <f t="shared" si="234"/>
        <v/>
      </c>
      <c r="CU150" s="535" t="str">
        <f t="shared" si="235"/>
        <v/>
      </c>
      <c r="CV150" s="535" t="str">
        <f t="shared" si="236"/>
        <v/>
      </c>
      <c r="CW150" s="535" t="str">
        <f t="shared" si="237"/>
        <v/>
      </c>
      <c r="CX150" s="535" t="str">
        <f t="shared" si="238"/>
        <v/>
      </c>
      <c r="CY150" s="536" t="str">
        <f t="shared" si="239"/>
        <v/>
      </c>
      <c r="CZ150" s="536" t="str">
        <f t="shared" si="240"/>
        <v/>
      </c>
      <c r="DA150" s="536" t="str">
        <f t="shared" si="241"/>
        <v/>
      </c>
      <c r="DB150" s="535" t="str">
        <f t="shared" si="242"/>
        <v/>
      </c>
      <c r="DC150" s="535" t="str">
        <f t="shared" si="243"/>
        <v/>
      </c>
      <c r="DD150" s="535" t="str">
        <f t="shared" si="244"/>
        <v/>
      </c>
      <c r="DE150" s="535" t="str">
        <f t="shared" si="245"/>
        <v/>
      </c>
      <c r="DF150" s="535" t="str">
        <f t="shared" si="246"/>
        <v/>
      </c>
      <c r="DG150" s="534" t="str">
        <f t="shared" si="247"/>
        <v/>
      </c>
      <c r="DH150" s="533" t="str">
        <f t="shared" si="248"/>
        <v/>
      </c>
      <c r="DI150" s="866">
        <f t="shared" si="249"/>
        <v>0</v>
      </c>
      <c r="DJ150" s="822">
        <f t="shared" si="250"/>
        <v>0</v>
      </c>
      <c r="DK150" s="822">
        <f t="shared" si="251"/>
        <v>0</v>
      </c>
      <c r="DL150" s="823">
        <f t="shared" si="252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6"/>
        <v/>
      </c>
      <c r="CA151" s="864" t="str">
        <f t="shared" si="227"/>
        <v/>
      </c>
      <c r="CB151" s="864" t="str">
        <f t="shared" si="228"/>
        <v/>
      </c>
      <c r="CC151" s="865" t="str">
        <f t="shared" si="229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1"/>
        <v/>
      </c>
      <c r="CF151" s="81" t="str">
        <f t="shared" si="231"/>
        <v/>
      </c>
      <c r="CG151" s="81" t="str">
        <f t="shared" si="231"/>
        <v/>
      </c>
      <c r="CH151" s="145" t="str">
        <f t="shared" si="231"/>
        <v/>
      </c>
      <c r="CI151" s="145" t="str">
        <f t="shared" si="231"/>
        <v/>
      </c>
      <c r="CJ151" s="145" t="str">
        <f t="shared" si="231"/>
        <v/>
      </c>
      <c r="CK151" s="81" t="str">
        <f t="shared" si="231"/>
        <v/>
      </c>
      <c r="CL151" s="81" t="str">
        <f t="shared" si="231"/>
        <v/>
      </c>
      <c r="CM151" s="81" t="str">
        <f t="shared" si="231"/>
        <v/>
      </c>
      <c r="CN151" s="81" t="str">
        <f t="shared" si="231"/>
        <v/>
      </c>
      <c r="CO151" s="81" t="str">
        <f t="shared" si="231"/>
        <v/>
      </c>
      <c r="CP151" s="80" t="str">
        <f t="shared" si="231"/>
        <v/>
      </c>
      <c r="CQ151" s="509" t="str">
        <f t="shared" si="231"/>
        <v/>
      </c>
      <c r="CR151" s="533" t="str">
        <f t="shared" si="232"/>
        <v/>
      </c>
      <c r="CS151" s="534" t="str">
        <f t="shared" si="233"/>
        <v/>
      </c>
      <c r="CT151" s="535" t="str">
        <f t="shared" si="234"/>
        <v/>
      </c>
      <c r="CU151" s="535" t="str">
        <f t="shared" si="235"/>
        <v/>
      </c>
      <c r="CV151" s="535" t="str">
        <f t="shared" si="236"/>
        <v/>
      </c>
      <c r="CW151" s="535" t="str">
        <f t="shared" si="237"/>
        <v/>
      </c>
      <c r="CX151" s="535" t="str">
        <f t="shared" si="238"/>
        <v/>
      </c>
      <c r="CY151" s="536" t="str">
        <f t="shared" si="239"/>
        <v/>
      </c>
      <c r="CZ151" s="536" t="str">
        <f t="shared" si="240"/>
        <v/>
      </c>
      <c r="DA151" s="536" t="str">
        <f t="shared" si="241"/>
        <v/>
      </c>
      <c r="DB151" s="535" t="str">
        <f t="shared" si="242"/>
        <v/>
      </c>
      <c r="DC151" s="535" t="str">
        <f t="shared" si="243"/>
        <v/>
      </c>
      <c r="DD151" s="535" t="str">
        <f t="shared" si="244"/>
        <v/>
      </c>
      <c r="DE151" s="535" t="str">
        <f t="shared" si="245"/>
        <v/>
      </c>
      <c r="DF151" s="535" t="str">
        <f t="shared" si="246"/>
        <v/>
      </c>
      <c r="DG151" s="534" t="str">
        <f t="shared" si="247"/>
        <v/>
      </c>
      <c r="DH151" s="533" t="str">
        <f t="shared" si="248"/>
        <v/>
      </c>
      <c r="DI151" s="866">
        <f t="shared" si="249"/>
        <v>0</v>
      </c>
      <c r="DJ151" s="822">
        <f t="shared" si="250"/>
        <v>0</v>
      </c>
      <c r="DK151" s="822">
        <f t="shared" si="251"/>
        <v>0</v>
      </c>
      <c r="DL151" s="823">
        <f t="shared" si="252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3">IF(B149="","",B148*B149*B150*B151)</f>
        <v/>
      </c>
      <c r="C152" s="870" t="str">
        <f t="shared" si="253"/>
        <v/>
      </c>
      <c r="D152" s="870" t="str">
        <f t="shared" si="253"/>
        <v/>
      </c>
      <c r="E152" s="870" t="str">
        <f t="shared" si="253"/>
        <v/>
      </c>
      <c r="F152" s="870" t="str">
        <f t="shared" si="253"/>
        <v/>
      </c>
      <c r="G152" s="870" t="str">
        <f t="shared" si="253"/>
        <v/>
      </c>
      <c r="H152" s="870" t="str">
        <f t="shared" si="253"/>
        <v/>
      </c>
      <c r="I152" s="870" t="str">
        <f t="shared" si="253"/>
        <v/>
      </c>
      <c r="J152" s="870" t="str">
        <f t="shared" si="253"/>
        <v/>
      </c>
      <c r="K152" s="870" t="str">
        <f t="shared" si="253"/>
        <v/>
      </c>
      <c r="L152" s="870" t="str">
        <f t="shared" si="253"/>
        <v/>
      </c>
      <c r="M152" s="870" t="str">
        <f t="shared" si="253"/>
        <v/>
      </c>
      <c r="N152" s="870" t="str">
        <f t="shared" si="253"/>
        <v/>
      </c>
      <c r="O152" s="870" t="str">
        <f t="shared" si="253"/>
        <v/>
      </c>
      <c r="P152" s="870" t="str">
        <f t="shared" si="253"/>
        <v/>
      </c>
      <c r="Q152" s="870" t="str">
        <f t="shared" si="253"/>
        <v/>
      </c>
      <c r="R152" s="870" t="str">
        <f t="shared" si="253"/>
        <v/>
      </c>
      <c r="S152" s="858"/>
      <c r="T152" s="870" t="str">
        <f t="shared" ref="T152:AC152" si="254">IF(T149="","",T148*T149*T150*T151)</f>
        <v/>
      </c>
      <c r="U152" s="870" t="str">
        <f t="shared" si="254"/>
        <v/>
      </c>
      <c r="V152" s="870" t="str">
        <f t="shared" si="254"/>
        <v/>
      </c>
      <c r="W152" s="870" t="str">
        <f t="shared" si="254"/>
        <v/>
      </c>
      <c r="X152" s="870" t="str">
        <f t="shared" si="254"/>
        <v/>
      </c>
      <c r="Y152" s="870" t="str">
        <f t="shared" si="254"/>
        <v/>
      </c>
      <c r="Z152" s="870" t="str">
        <f t="shared" si="254"/>
        <v/>
      </c>
      <c r="AA152" s="870" t="str">
        <f t="shared" si="254"/>
        <v/>
      </c>
      <c r="AB152" s="870" t="str">
        <f t="shared" si="254"/>
        <v/>
      </c>
      <c r="AC152" s="870" t="str">
        <f t="shared" si="254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5">IF(AL149="","",AL148*AL149*AL150*AL151)</f>
        <v/>
      </c>
      <c r="AM152" s="870" t="str">
        <f t="shared" si="255"/>
        <v/>
      </c>
      <c r="AN152" s="870" t="str">
        <f t="shared" si="255"/>
        <v/>
      </c>
      <c r="AO152" s="870" t="str">
        <f t="shared" si="255"/>
        <v/>
      </c>
      <c r="AP152" s="870" t="str">
        <f t="shared" si="255"/>
        <v/>
      </c>
      <c r="AQ152" s="870" t="str">
        <f t="shared" si="255"/>
        <v/>
      </c>
      <c r="AR152" s="870" t="str">
        <f t="shared" si="255"/>
        <v/>
      </c>
      <c r="AS152" s="870" t="str">
        <f t="shared" si="255"/>
        <v/>
      </c>
      <c r="AT152" s="870" t="str">
        <f t="shared" si="255"/>
        <v/>
      </c>
      <c r="AU152" s="870" t="str">
        <f t="shared" si="255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6">IF(BD149="","",BD148*BD149*BD150*BD151)</f>
        <v/>
      </c>
      <c r="BE152" s="870" t="str">
        <f t="shared" si="256"/>
        <v/>
      </c>
      <c r="BF152" s="870" t="str">
        <f t="shared" si="256"/>
        <v/>
      </c>
      <c r="BG152" s="870" t="str">
        <f t="shared" si="256"/>
        <v/>
      </c>
      <c r="BH152" s="870" t="str">
        <f t="shared" si="256"/>
        <v/>
      </c>
      <c r="BI152" s="870" t="str">
        <f t="shared" si="256"/>
        <v/>
      </c>
      <c r="BJ152" s="870" t="str">
        <f t="shared" si="256"/>
        <v/>
      </c>
      <c r="BK152" s="870" t="str">
        <f t="shared" si="256"/>
        <v/>
      </c>
      <c r="BL152" s="870" t="str">
        <f t="shared" si="256"/>
        <v/>
      </c>
      <c r="BM152" s="870" t="str">
        <f t="shared" si="256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6"/>
        <v/>
      </c>
      <c r="CA152" s="864" t="str">
        <f t="shared" si="227"/>
        <v/>
      </c>
      <c r="CB152" s="864" t="str">
        <f t="shared" si="228"/>
        <v/>
      </c>
      <c r="CC152" s="865" t="str">
        <f t="shared" si="229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1"/>
        <v/>
      </c>
      <c r="CF152" s="81" t="str">
        <f t="shared" si="231"/>
        <v/>
      </c>
      <c r="CG152" s="81" t="str">
        <f t="shared" si="231"/>
        <v/>
      </c>
      <c r="CH152" s="145" t="str">
        <f t="shared" si="231"/>
        <v/>
      </c>
      <c r="CI152" s="145" t="str">
        <f t="shared" si="231"/>
        <v/>
      </c>
      <c r="CJ152" s="145" t="str">
        <f t="shared" si="231"/>
        <v/>
      </c>
      <c r="CK152" s="81" t="str">
        <f t="shared" si="231"/>
        <v/>
      </c>
      <c r="CL152" s="81" t="str">
        <f t="shared" si="231"/>
        <v/>
      </c>
      <c r="CM152" s="81" t="str">
        <f t="shared" si="231"/>
        <v/>
      </c>
      <c r="CN152" s="81" t="str">
        <f t="shared" si="231"/>
        <v/>
      </c>
      <c r="CO152" s="81" t="str">
        <f t="shared" si="231"/>
        <v/>
      </c>
      <c r="CP152" s="80" t="str">
        <f t="shared" si="231"/>
        <v/>
      </c>
      <c r="CQ152" s="509" t="str">
        <f t="shared" si="231"/>
        <v/>
      </c>
      <c r="CR152" s="533" t="str">
        <f t="shared" si="232"/>
        <v/>
      </c>
      <c r="CS152" s="534" t="str">
        <f t="shared" si="233"/>
        <v/>
      </c>
      <c r="CT152" s="535" t="str">
        <f t="shared" si="234"/>
        <v/>
      </c>
      <c r="CU152" s="535" t="str">
        <f t="shared" si="235"/>
        <v/>
      </c>
      <c r="CV152" s="535" t="str">
        <f t="shared" si="236"/>
        <v/>
      </c>
      <c r="CW152" s="535" t="str">
        <f t="shared" si="237"/>
        <v/>
      </c>
      <c r="CX152" s="535" t="str">
        <f t="shared" si="238"/>
        <v/>
      </c>
      <c r="CY152" s="536" t="str">
        <f t="shared" si="239"/>
        <v/>
      </c>
      <c r="CZ152" s="536" t="str">
        <f t="shared" si="240"/>
        <v/>
      </c>
      <c r="DA152" s="536" t="str">
        <f t="shared" si="241"/>
        <v/>
      </c>
      <c r="DB152" s="535" t="str">
        <f t="shared" si="242"/>
        <v/>
      </c>
      <c r="DC152" s="535" t="str">
        <f t="shared" si="243"/>
        <v/>
      </c>
      <c r="DD152" s="535" t="str">
        <f t="shared" si="244"/>
        <v/>
      </c>
      <c r="DE152" s="535" t="str">
        <f t="shared" si="245"/>
        <v/>
      </c>
      <c r="DF152" s="535" t="str">
        <f t="shared" si="246"/>
        <v/>
      </c>
      <c r="DG152" s="534" t="str">
        <f t="shared" si="247"/>
        <v/>
      </c>
      <c r="DH152" s="533" t="str">
        <f t="shared" si="248"/>
        <v/>
      </c>
      <c r="DI152" s="866">
        <f t="shared" si="249"/>
        <v>0</v>
      </c>
      <c r="DJ152" s="822">
        <f t="shared" si="250"/>
        <v>0</v>
      </c>
      <c r="DK152" s="822">
        <f t="shared" si="251"/>
        <v>0</v>
      </c>
      <c r="DL152" s="823">
        <f t="shared" si="252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7">SUM(C128,C134,C140,C146,C152)</f>
        <v>0</v>
      </c>
      <c r="D153" s="877">
        <f t="shared" si="257"/>
        <v>0</v>
      </c>
      <c r="E153" s="877">
        <f t="shared" si="257"/>
        <v>0</v>
      </c>
      <c r="F153" s="877">
        <f t="shared" si="257"/>
        <v>0</v>
      </c>
      <c r="G153" s="877">
        <f t="shared" si="257"/>
        <v>0</v>
      </c>
      <c r="H153" s="877">
        <f t="shared" si="257"/>
        <v>0</v>
      </c>
      <c r="I153" s="877">
        <f t="shared" si="257"/>
        <v>0</v>
      </c>
      <c r="J153" s="877">
        <f t="shared" si="257"/>
        <v>0</v>
      </c>
      <c r="K153" s="877">
        <f t="shared" si="257"/>
        <v>0</v>
      </c>
      <c r="L153" s="877">
        <f t="shared" si="257"/>
        <v>0</v>
      </c>
      <c r="M153" s="877">
        <f t="shared" si="257"/>
        <v>0</v>
      </c>
      <c r="N153" s="877">
        <f t="shared" si="257"/>
        <v>0</v>
      </c>
      <c r="O153" s="877">
        <f t="shared" si="257"/>
        <v>0</v>
      </c>
      <c r="P153" s="877">
        <f t="shared" si="257"/>
        <v>0</v>
      </c>
      <c r="Q153" s="877">
        <f t="shared" si="257"/>
        <v>0</v>
      </c>
      <c r="R153" s="877">
        <f t="shared" si="257"/>
        <v>0</v>
      </c>
      <c r="S153" s="878"/>
      <c r="T153" s="877">
        <f t="shared" ref="T153:AC153" si="258">SUM(T128,T134,T140,T146,T152)</f>
        <v>0</v>
      </c>
      <c r="U153" s="877">
        <f t="shared" si="258"/>
        <v>0</v>
      </c>
      <c r="V153" s="877">
        <f t="shared" si="258"/>
        <v>0</v>
      </c>
      <c r="W153" s="877">
        <f t="shared" si="258"/>
        <v>0</v>
      </c>
      <c r="X153" s="877">
        <f t="shared" si="258"/>
        <v>0</v>
      </c>
      <c r="Y153" s="877">
        <f t="shared" si="258"/>
        <v>0</v>
      </c>
      <c r="Z153" s="877">
        <f t="shared" si="258"/>
        <v>0</v>
      </c>
      <c r="AA153" s="877">
        <f t="shared" si="258"/>
        <v>0</v>
      </c>
      <c r="AB153" s="877">
        <f t="shared" si="258"/>
        <v>0</v>
      </c>
      <c r="AC153" s="877">
        <f t="shared" si="258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59">SUM(AL128,AL134,AL140,AL146,AL152)</f>
        <v>0</v>
      </c>
      <c r="AM153" s="877">
        <f t="shared" si="259"/>
        <v>0</v>
      </c>
      <c r="AN153" s="877">
        <f t="shared" si="259"/>
        <v>0</v>
      </c>
      <c r="AO153" s="877">
        <f t="shared" si="259"/>
        <v>0</v>
      </c>
      <c r="AP153" s="877">
        <f t="shared" si="259"/>
        <v>0</v>
      </c>
      <c r="AQ153" s="877">
        <f t="shared" si="259"/>
        <v>0</v>
      </c>
      <c r="AR153" s="877">
        <f t="shared" si="259"/>
        <v>0</v>
      </c>
      <c r="AS153" s="877">
        <f t="shared" si="259"/>
        <v>0</v>
      </c>
      <c r="AT153" s="877">
        <f t="shared" si="259"/>
        <v>0</v>
      </c>
      <c r="AU153" s="877">
        <f t="shared" si="259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0">SUM(BD128,BD134,BD140,BD146,BD152)</f>
        <v>0</v>
      </c>
      <c r="BE153" s="877">
        <f t="shared" si="260"/>
        <v>0</v>
      </c>
      <c r="BF153" s="877">
        <f t="shared" si="260"/>
        <v>0</v>
      </c>
      <c r="BG153" s="877">
        <f t="shared" si="260"/>
        <v>0</v>
      </c>
      <c r="BH153" s="877">
        <f t="shared" si="260"/>
        <v>0</v>
      </c>
      <c r="BI153" s="877">
        <f t="shared" si="260"/>
        <v>0</v>
      </c>
      <c r="BJ153" s="877">
        <f t="shared" si="260"/>
        <v>0</v>
      </c>
      <c r="BK153" s="877">
        <f t="shared" si="260"/>
        <v>0</v>
      </c>
      <c r="BL153" s="877">
        <f t="shared" si="260"/>
        <v>0</v>
      </c>
      <c r="BM153" s="877">
        <f t="shared" si="260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3000</v>
      </c>
      <c r="BW153" s="877">
        <f>SUM(BW128,BW134,BW140,BW146,BW152)</f>
        <v>3000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6"/>
        <v>0</v>
      </c>
      <c r="CA153" s="864">
        <f t="shared" si="227"/>
        <v>0</v>
      </c>
      <c r="CB153" s="864">
        <f t="shared" si="228"/>
        <v>0</v>
      </c>
      <c r="CC153" s="865">
        <f t="shared" si="229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1"/>
        <v>0</v>
      </c>
      <c r="CF153" s="81">
        <f t="shared" si="231"/>
        <v>0</v>
      </c>
      <c r="CG153" s="81">
        <f t="shared" si="231"/>
        <v>0</v>
      </c>
      <c r="CH153" s="145">
        <f t="shared" si="231"/>
        <v>0</v>
      </c>
      <c r="CI153" s="145">
        <f t="shared" si="231"/>
        <v>0</v>
      </c>
      <c r="CJ153" s="145">
        <f t="shared" si="231"/>
        <v>0</v>
      </c>
      <c r="CK153" s="81">
        <f t="shared" si="231"/>
        <v>0</v>
      </c>
      <c r="CL153" s="81">
        <f t="shared" si="231"/>
        <v>0</v>
      </c>
      <c r="CM153" s="81">
        <f t="shared" si="231"/>
        <v>0</v>
      </c>
      <c r="CN153" s="81">
        <f t="shared" si="231"/>
        <v>0</v>
      </c>
      <c r="CO153" s="81" t="str">
        <f t="shared" si="231"/>
        <v/>
      </c>
      <c r="CP153" s="80" t="str">
        <f t="shared" si="231"/>
        <v/>
      </c>
      <c r="CQ153" s="509" t="str">
        <f t="shared" si="231"/>
        <v/>
      </c>
      <c r="CR153" s="533" t="str">
        <f t="shared" si="232"/>
        <v/>
      </c>
      <c r="CS153" s="534" t="str">
        <f t="shared" si="233"/>
        <v/>
      </c>
      <c r="CT153" s="535" t="str">
        <f t="shared" si="234"/>
        <v/>
      </c>
      <c r="CU153" s="535" t="str">
        <f t="shared" si="235"/>
        <v/>
      </c>
      <c r="CV153" s="535">
        <f t="shared" si="236"/>
        <v>0</v>
      </c>
      <c r="CW153" s="535">
        <f t="shared" si="237"/>
        <v>0</v>
      </c>
      <c r="CX153" s="535">
        <f t="shared" si="238"/>
        <v>0</v>
      </c>
      <c r="CY153" s="536">
        <f t="shared" si="239"/>
        <v>0</v>
      </c>
      <c r="CZ153" s="536">
        <f t="shared" si="240"/>
        <v>0</v>
      </c>
      <c r="DA153" s="536">
        <f t="shared" si="241"/>
        <v>0</v>
      </c>
      <c r="DB153" s="535">
        <f t="shared" si="242"/>
        <v>0</v>
      </c>
      <c r="DC153" s="535">
        <f t="shared" si="243"/>
        <v>0</v>
      </c>
      <c r="DD153" s="535">
        <f t="shared" si="244"/>
        <v>0</v>
      </c>
      <c r="DE153" s="535">
        <f t="shared" si="245"/>
        <v>0</v>
      </c>
      <c r="DF153" s="535" t="str">
        <f t="shared" si="246"/>
        <v/>
      </c>
      <c r="DG153" s="534" t="str">
        <f t="shared" si="247"/>
        <v/>
      </c>
      <c r="DH153" s="533" t="str">
        <f t="shared" si="248"/>
        <v/>
      </c>
      <c r="DI153" s="866">
        <f t="shared" si="249"/>
        <v>17</v>
      </c>
      <c r="DJ153" s="822">
        <f t="shared" si="250"/>
        <v>10</v>
      </c>
      <c r="DK153" s="822">
        <f t="shared" si="251"/>
        <v>10</v>
      </c>
      <c r="DL153" s="823">
        <f t="shared" si="252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1"/>
        <v/>
      </c>
      <c r="CF157" s="81" t="str">
        <f t="shared" si="261"/>
        <v/>
      </c>
      <c r="CG157" s="81" t="str">
        <f t="shared" si="261"/>
        <v/>
      </c>
      <c r="CH157" s="145" t="str">
        <f t="shared" si="261"/>
        <v/>
      </c>
      <c r="CI157" s="145" t="str">
        <f t="shared" si="261"/>
        <v/>
      </c>
      <c r="CJ157" s="145" t="str">
        <f t="shared" si="261"/>
        <v/>
      </c>
      <c r="CK157" s="81" t="str">
        <f t="shared" si="261"/>
        <v/>
      </c>
      <c r="CL157" s="81" t="str">
        <f t="shared" si="261"/>
        <v/>
      </c>
      <c r="CM157" s="81" t="str">
        <f t="shared" si="261"/>
        <v/>
      </c>
      <c r="CN157" s="81" t="str">
        <f t="shared" si="261"/>
        <v/>
      </c>
      <c r="CO157" s="81" t="str">
        <f t="shared" si="261"/>
        <v/>
      </c>
      <c r="CP157" s="80" t="str">
        <f t="shared" si="261"/>
        <v/>
      </c>
      <c r="CQ157" s="509" t="str">
        <f t="shared" ref="CE157:CQ161" si="262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3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3"/>
        <v/>
      </c>
      <c r="CT157" s="535" t="str">
        <f t="shared" si="263"/>
        <v/>
      </c>
      <c r="CU157" s="535" t="str">
        <f t="shared" si="263"/>
        <v/>
      </c>
      <c r="CV157" s="535" t="str">
        <f t="shared" si="263"/>
        <v/>
      </c>
      <c r="CW157" s="535" t="str">
        <f t="shared" si="263"/>
        <v/>
      </c>
      <c r="CX157" s="535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5" t="str">
        <f t="shared" ref="DB157:DH161" si="264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4"/>
        <v/>
      </c>
      <c r="DD157" s="535" t="str">
        <f t="shared" si="264"/>
        <v/>
      </c>
      <c r="DE157" s="535" t="str">
        <f t="shared" si="264"/>
        <v/>
      </c>
      <c r="DF157" s="535" t="str">
        <f t="shared" si="264"/>
        <v/>
      </c>
      <c r="DG157" s="534" t="str">
        <f t="shared" si="264"/>
        <v/>
      </c>
      <c r="DH157" s="533" t="str">
        <f t="shared" si="264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2"/>
        <v/>
      </c>
      <c r="CF158" s="81" t="str">
        <f t="shared" si="262"/>
        <v/>
      </c>
      <c r="CG158" s="81" t="str">
        <f t="shared" si="262"/>
        <v/>
      </c>
      <c r="CH158" s="145" t="str">
        <f t="shared" si="262"/>
        <v/>
      </c>
      <c r="CI158" s="145" t="str">
        <f t="shared" si="262"/>
        <v/>
      </c>
      <c r="CJ158" s="145" t="str">
        <f t="shared" si="262"/>
        <v/>
      </c>
      <c r="CK158" s="81" t="str">
        <f t="shared" si="262"/>
        <v/>
      </c>
      <c r="CL158" s="81" t="str">
        <f t="shared" si="262"/>
        <v/>
      </c>
      <c r="CM158" s="81" t="str">
        <f t="shared" si="262"/>
        <v/>
      </c>
      <c r="CN158" s="81" t="str">
        <f t="shared" si="262"/>
        <v/>
      </c>
      <c r="CO158" s="81" t="str">
        <f t="shared" si="262"/>
        <v/>
      </c>
      <c r="CP158" s="80" t="str">
        <f t="shared" si="262"/>
        <v/>
      </c>
      <c r="CQ158" s="509" t="str">
        <f t="shared" si="262"/>
        <v/>
      </c>
      <c r="CR158" s="533" t="str">
        <f t="shared" si="263"/>
        <v/>
      </c>
      <c r="CS158" s="534" t="str">
        <f t="shared" si="263"/>
        <v/>
      </c>
      <c r="CT158" s="535" t="str">
        <f t="shared" si="263"/>
        <v/>
      </c>
      <c r="CU158" s="535" t="str">
        <f t="shared" si="263"/>
        <v/>
      </c>
      <c r="CV158" s="535" t="str">
        <f t="shared" si="263"/>
        <v/>
      </c>
      <c r="CW158" s="535" t="str">
        <f t="shared" si="263"/>
        <v/>
      </c>
      <c r="CX158" s="535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5" t="str">
        <f t="shared" si="264"/>
        <v/>
      </c>
      <c r="DF158" s="535" t="str">
        <f t="shared" si="264"/>
        <v/>
      </c>
      <c r="DG158" s="534" t="str">
        <f t="shared" si="264"/>
        <v/>
      </c>
      <c r="DH158" s="533" t="str">
        <f t="shared" si="264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2"/>
        <v/>
      </c>
      <c r="CF159" s="81" t="str">
        <f t="shared" si="262"/>
        <v/>
      </c>
      <c r="CG159" s="81" t="str">
        <f t="shared" si="262"/>
        <v/>
      </c>
      <c r="CH159" s="145" t="str">
        <f t="shared" si="262"/>
        <v/>
      </c>
      <c r="CI159" s="145" t="str">
        <f t="shared" si="262"/>
        <v/>
      </c>
      <c r="CJ159" s="145" t="str">
        <f t="shared" si="262"/>
        <v/>
      </c>
      <c r="CK159" s="81" t="str">
        <f t="shared" si="262"/>
        <v/>
      </c>
      <c r="CL159" s="81" t="str">
        <f t="shared" si="262"/>
        <v/>
      </c>
      <c r="CM159" s="81" t="str">
        <f t="shared" si="262"/>
        <v/>
      </c>
      <c r="CN159" s="81" t="str">
        <f t="shared" si="262"/>
        <v/>
      </c>
      <c r="CO159" s="81" t="str">
        <f t="shared" si="262"/>
        <v/>
      </c>
      <c r="CP159" s="80" t="str">
        <f t="shared" si="262"/>
        <v/>
      </c>
      <c r="CQ159" s="509" t="str">
        <f t="shared" si="262"/>
        <v/>
      </c>
      <c r="CR159" s="533" t="str">
        <f t="shared" si="263"/>
        <v/>
      </c>
      <c r="CS159" s="534" t="str">
        <f t="shared" si="263"/>
        <v/>
      </c>
      <c r="CT159" s="535" t="str">
        <f t="shared" si="263"/>
        <v/>
      </c>
      <c r="CU159" s="535" t="str">
        <f t="shared" si="263"/>
        <v/>
      </c>
      <c r="CV159" s="535" t="str">
        <f t="shared" si="263"/>
        <v/>
      </c>
      <c r="CW159" s="535" t="str">
        <f t="shared" si="263"/>
        <v/>
      </c>
      <c r="CX159" s="535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5" t="str">
        <f t="shared" si="264"/>
        <v/>
      </c>
      <c r="DF159" s="535" t="str">
        <f t="shared" si="264"/>
        <v/>
      </c>
      <c r="DG159" s="534" t="str">
        <f t="shared" si="264"/>
        <v/>
      </c>
      <c r="DH159" s="533" t="str">
        <f t="shared" si="264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2"/>
        <v/>
      </c>
      <c r="CF160" s="81" t="str">
        <f t="shared" si="262"/>
        <v/>
      </c>
      <c r="CG160" s="81" t="str">
        <f t="shared" si="262"/>
        <v/>
      </c>
      <c r="CH160" s="145" t="str">
        <f t="shared" si="262"/>
        <v/>
      </c>
      <c r="CI160" s="145" t="str">
        <f t="shared" si="262"/>
        <v/>
      </c>
      <c r="CJ160" s="145" t="str">
        <f t="shared" si="262"/>
        <v/>
      </c>
      <c r="CK160" s="81" t="str">
        <f t="shared" si="262"/>
        <v/>
      </c>
      <c r="CL160" s="81" t="str">
        <f t="shared" si="262"/>
        <v/>
      </c>
      <c r="CM160" s="81" t="str">
        <f t="shared" si="262"/>
        <v/>
      </c>
      <c r="CN160" s="81" t="str">
        <f t="shared" si="262"/>
        <v/>
      </c>
      <c r="CO160" s="81" t="str">
        <f t="shared" si="262"/>
        <v/>
      </c>
      <c r="CP160" s="80" t="str">
        <f t="shared" si="262"/>
        <v/>
      </c>
      <c r="CQ160" s="509" t="str">
        <f t="shared" si="262"/>
        <v/>
      </c>
      <c r="CR160" s="533" t="str">
        <f t="shared" si="263"/>
        <v/>
      </c>
      <c r="CS160" s="534" t="str">
        <f t="shared" si="263"/>
        <v/>
      </c>
      <c r="CT160" s="535" t="str">
        <f t="shared" si="263"/>
        <v/>
      </c>
      <c r="CU160" s="535" t="str">
        <f t="shared" si="263"/>
        <v/>
      </c>
      <c r="CV160" s="535" t="str">
        <f t="shared" si="263"/>
        <v/>
      </c>
      <c r="CW160" s="535" t="str">
        <f t="shared" si="263"/>
        <v/>
      </c>
      <c r="CX160" s="535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5" t="str">
        <f t="shared" si="264"/>
        <v/>
      </c>
      <c r="DF160" s="535" t="str">
        <f t="shared" si="264"/>
        <v/>
      </c>
      <c r="DG160" s="534" t="str">
        <f t="shared" si="264"/>
        <v/>
      </c>
      <c r="DH160" s="533" t="str">
        <f t="shared" si="264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5">IF(B158="","",B157*B158*B159*B160)</f>
        <v/>
      </c>
      <c r="C161" s="870" t="str">
        <f t="shared" si="265"/>
        <v/>
      </c>
      <c r="D161" s="870" t="str">
        <f t="shared" si="265"/>
        <v/>
      </c>
      <c r="E161" s="870" t="str">
        <f t="shared" si="265"/>
        <v/>
      </c>
      <c r="F161" s="870" t="str">
        <f t="shared" si="265"/>
        <v/>
      </c>
      <c r="G161" s="870" t="str">
        <f t="shared" si="265"/>
        <v/>
      </c>
      <c r="H161" s="870" t="str">
        <f t="shared" si="265"/>
        <v/>
      </c>
      <c r="I161" s="870" t="str">
        <f t="shared" si="265"/>
        <v/>
      </c>
      <c r="J161" s="870" t="str">
        <f t="shared" si="265"/>
        <v/>
      </c>
      <c r="K161" s="870" t="str">
        <f t="shared" si="265"/>
        <v/>
      </c>
      <c r="L161" s="870" t="str">
        <f t="shared" si="265"/>
        <v/>
      </c>
      <c r="M161" s="870" t="str">
        <f t="shared" si="265"/>
        <v/>
      </c>
      <c r="N161" s="870" t="str">
        <f t="shared" si="265"/>
        <v/>
      </c>
      <c r="O161" s="870" t="str">
        <f t="shared" si="265"/>
        <v/>
      </c>
      <c r="P161" s="870" t="str">
        <f t="shared" si="265"/>
        <v/>
      </c>
      <c r="Q161" s="870" t="str">
        <f t="shared" si="265"/>
        <v/>
      </c>
      <c r="R161" s="870" t="str">
        <f t="shared" si="265"/>
        <v/>
      </c>
      <c r="S161" s="858"/>
      <c r="T161" s="870" t="str">
        <f t="shared" ref="T161:AC161" si="266">IF(T158="","",T157*T158*T159*T160)</f>
        <v/>
      </c>
      <c r="U161" s="870" t="str">
        <f t="shared" si="266"/>
        <v/>
      </c>
      <c r="V161" s="870" t="str">
        <f t="shared" si="266"/>
        <v/>
      </c>
      <c r="W161" s="870" t="str">
        <f t="shared" si="266"/>
        <v/>
      </c>
      <c r="X161" s="870" t="str">
        <f t="shared" si="266"/>
        <v/>
      </c>
      <c r="Y161" s="870" t="str">
        <f t="shared" si="266"/>
        <v/>
      </c>
      <c r="Z161" s="870" t="str">
        <f t="shared" si="266"/>
        <v/>
      </c>
      <c r="AA161" s="870" t="str">
        <f t="shared" si="266"/>
        <v/>
      </c>
      <c r="AB161" s="870" t="str">
        <f t="shared" si="266"/>
        <v/>
      </c>
      <c r="AC161" s="870" t="str">
        <f t="shared" si="266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7">IF(AL158="","",AL157*AL158*AL159*AL160)</f>
        <v/>
      </c>
      <c r="AM161" s="870" t="str">
        <f t="shared" si="267"/>
        <v/>
      </c>
      <c r="AN161" s="870" t="str">
        <f t="shared" si="267"/>
        <v/>
      </c>
      <c r="AO161" s="870" t="str">
        <f t="shared" si="267"/>
        <v/>
      </c>
      <c r="AP161" s="870" t="str">
        <f t="shared" si="267"/>
        <v/>
      </c>
      <c r="AQ161" s="870" t="str">
        <f t="shared" si="267"/>
        <v/>
      </c>
      <c r="AR161" s="870" t="str">
        <f t="shared" si="267"/>
        <v/>
      </c>
      <c r="AS161" s="870" t="str">
        <f t="shared" si="267"/>
        <v/>
      </c>
      <c r="AT161" s="870" t="str">
        <f t="shared" si="267"/>
        <v/>
      </c>
      <c r="AU161" s="870" t="str">
        <f t="shared" si="267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68">IF(BD158="","",BD157*BD158*BD159*BD160)</f>
        <v/>
      </c>
      <c r="BE161" s="870" t="str">
        <f t="shared" si="268"/>
        <v/>
      </c>
      <c r="BF161" s="870" t="str">
        <f t="shared" si="268"/>
        <v/>
      </c>
      <c r="BG161" s="870" t="str">
        <f t="shared" si="268"/>
        <v/>
      </c>
      <c r="BH161" s="870" t="str">
        <f t="shared" si="268"/>
        <v/>
      </c>
      <c r="BI161" s="870" t="str">
        <f t="shared" si="268"/>
        <v/>
      </c>
      <c r="BJ161" s="870" t="str">
        <f t="shared" si="268"/>
        <v/>
      </c>
      <c r="BK161" s="870" t="str">
        <f t="shared" si="268"/>
        <v/>
      </c>
      <c r="BL161" s="870" t="str">
        <f t="shared" si="268"/>
        <v/>
      </c>
      <c r="BM161" s="870" t="str">
        <f t="shared" si="268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2"/>
        <v/>
      </c>
      <c r="CF161" s="81" t="str">
        <f t="shared" si="262"/>
        <v/>
      </c>
      <c r="CG161" s="81" t="str">
        <f t="shared" si="262"/>
        <v/>
      </c>
      <c r="CH161" s="145" t="str">
        <f t="shared" si="262"/>
        <v/>
      </c>
      <c r="CI161" s="145" t="str">
        <f t="shared" si="262"/>
        <v/>
      </c>
      <c r="CJ161" s="145" t="str">
        <f t="shared" si="262"/>
        <v/>
      </c>
      <c r="CK161" s="81" t="str">
        <f t="shared" si="262"/>
        <v/>
      </c>
      <c r="CL161" s="81" t="str">
        <f t="shared" si="262"/>
        <v/>
      </c>
      <c r="CM161" s="81" t="str">
        <f t="shared" si="262"/>
        <v/>
      </c>
      <c r="CN161" s="81" t="str">
        <f t="shared" si="262"/>
        <v/>
      </c>
      <c r="CO161" s="81" t="str">
        <f t="shared" si="262"/>
        <v/>
      </c>
      <c r="CP161" s="80" t="str">
        <f t="shared" si="262"/>
        <v/>
      </c>
      <c r="CQ161" s="509" t="str">
        <f t="shared" si="262"/>
        <v/>
      </c>
      <c r="CR161" s="533" t="str">
        <f t="shared" si="263"/>
        <v/>
      </c>
      <c r="CS161" s="534" t="str">
        <f t="shared" si="263"/>
        <v/>
      </c>
      <c r="CT161" s="535" t="str">
        <f t="shared" si="263"/>
        <v/>
      </c>
      <c r="CU161" s="535" t="str">
        <f t="shared" si="263"/>
        <v/>
      </c>
      <c r="CV161" s="535" t="str">
        <f t="shared" si="263"/>
        <v/>
      </c>
      <c r="CW161" s="535" t="str">
        <f t="shared" si="263"/>
        <v/>
      </c>
      <c r="CX161" s="535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5" t="str">
        <f t="shared" si="264"/>
        <v/>
      </c>
      <c r="DF161" s="535" t="str">
        <f t="shared" si="264"/>
        <v/>
      </c>
      <c r="DG161" s="534" t="str">
        <f t="shared" si="264"/>
        <v/>
      </c>
      <c r="DH161" s="533" t="str">
        <f t="shared" si="264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69"/>
        <v/>
      </c>
      <c r="CF163" s="81" t="str">
        <f t="shared" si="269"/>
        <v/>
      </c>
      <c r="CG163" s="81" t="str">
        <f t="shared" si="269"/>
        <v/>
      </c>
      <c r="CH163" s="145" t="str">
        <f t="shared" si="269"/>
        <v/>
      </c>
      <c r="CI163" s="145" t="str">
        <f t="shared" si="269"/>
        <v/>
      </c>
      <c r="CJ163" s="145" t="str">
        <f t="shared" si="269"/>
        <v/>
      </c>
      <c r="CK163" s="81" t="str">
        <f t="shared" si="269"/>
        <v/>
      </c>
      <c r="CL163" s="81" t="str">
        <f t="shared" si="269"/>
        <v/>
      </c>
      <c r="CM163" s="81" t="str">
        <f t="shared" si="269"/>
        <v/>
      </c>
      <c r="CN163" s="81" t="str">
        <f t="shared" si="269"/>
        <v/>
      </c>
      <c r="CO163" s="81" t="str">
        <f t="shared" si="269"/>
        <v/>
      </c>
      <c r="CP163" s="80" t="str">
        <f t="shared" si="269"/>
        <v/>
      </c>
      <c r="CQ163" s="509" t="str">
        <f t="shared" ref="CE163:CQ167" si="270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1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1"/>
        <v/>
      </c>
      <c r="CT163" s="535" t="str">
        <f t="shared" si="271"/>
        <v/>
      </c>
      <c r="CU163" s="535" t="str">
        <f t="shared" si="271"/>
        <v/>
      </c>
      <c r="CV163" s="535" t="str">
        <f t="shared" si="271"/>
        <v/>
      </c>
      <c r="CW163" s="535" t="str">
        <f t="shared" si="271"/>
        <v/>
      </c>
      <c r="CX163" s="535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5" t="str">
        <f t="shared" ref="DB163:DH167" si="272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2"/>
        <v/>
      </c>
      <c r="DD163" s="535" t="str">
        <f t="shared" si="272"/>
        <v/>
      </c>
      <c r="DE163" s="535" t="str">
        <f t="shared" si="272"/>
        <v/>
      </c>
      <c r="DF163" s="535" t="str">
        <f t="shared" si="272"/>
        <v/>
      </c>
      <c r="DG163" s="534" t="str">
        <f t="shared" si="272"/>
        <v/>
      </c>
      <c r="DH163" s="533" t="str">
        <f t="shared" si="272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0"/>
        <v/>
      </c>
      <c r="CF164" s="81" t="str">
        <f t="shared" si="270"/>
        <v/>
      </c>
      <c r="CG164" s="81" t="str">
        <f t="shared" si="270"/>
        <v/>
      </c>
      <c r="CH164" s="145" t="str">
        <f t="shared" si="270"/>
        <v/>
      </c>
      <c r="CI164" s="145" t="str">
        <f t="shared" si="270"/>
        <v/>
      </c>
      <c r="CJ164" s="145" t="str">
        <f t="shared" si="270"/>
        <v/>
      </c>
      <c r="CK164" s="81" t="str">
        <f t="shared" si="270"/>
        <v/>
      </c>
      <c r="CL164" s="81" t="str">
        <f t="shared" si="270"/>
        <v/>
      </c>
      <c r="CM164" s="81" t="str">
        <f t="shared" si="270"/>
        <v/>
      </c>
      <c r="CN164" s="81" t="str">
        <f t="shared" si="270"/>
        <v/>
      </c>
      <c r="CO164" s="81" t="str">
        <f t="shared" si="270"/>
        <v/>
      </c>
      <c r="CP164" s="80" t="str">
        <f t="shared" si="270"/>
        <v/>
      </c>
      <c r="CQ164" s="509" t="str">
        <f t="shared" si="270"/>
        <v/>
      </c>
      <c r="CR164" s="533" t="str">
        <f t="shared" si="271"/>
        <v/>
      </c>
      <c r="CS164" s="534" t="str">
        <f t="shared" si="271"/>
        <v/>
      </c>
      <c r="CT164" s="535" t="str">
        <f t="shared" si="271"/>
        <v/>
      </c>
      <c r="CU164" s="535" t="str">
        <f t="shared" si="271"/>
        <v/>
      </c>
      <c r="CV164" s="535" t="str">
        <f t="shared" si="271"/>
        <v/>
      </c>
      <c r="CW164" s="535" t="str">
        <f t="shared" si="271"/>
        <v/>
      </c>
      <c r="CX164" s="535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5" t="str">
        <f t="shared" si="272"/>
        <v/>
      </c>
      <c r="DF164" s="535" t="str">
        <f t="shared" si="272"/>
        <v/>
      </c>
      <c r="DG164" s="534" t="str">
        <f t="shared" si="272"/>
        <v/>
      </c>
      <c r="DH164" s="533" t="str">
        <f t="shared" si="272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0"/>
        <v/>
      </c>
      <c r="CF165" s="81" t="str">
        <f t="shared" si="270"/>
        <v/>
      </c>
      <c r="CG165" s="81" t="str">
        <f t="shared" si="270"/>
        <v/>
      </c>
      <c r="CH165" s="145" t="str">
        <f t="shared" si="270"/>
        <v/>
      </c>
      <c r="CI165" s="145" t="str">
        <f t="shared" si="270"/>
        <v/>
      </c>
      <c r="CJ165" s="145" t="str">
        <f t="shared" si="270"/>
        <v/>
      </c>
      <c r="CK165" s="81" t="str">
        <f t="shared" si="270"/>
        <v/>
      </c>
      <c r="CL165" s="81" t="str">
        <f t="shared" si="270"/>
        <v/>
      </c>
      <c r="CM165" s="81" t="str">
        <f t="shared" si="270"/>
        <v/>
      </c>
      <c r="CN165" s="81" t="str">
        <f t="shared" si="270"/>
        <v/>
      </c>
      <c r="CO165" s="81" t="str">
        <f t="shared" si="270"/>
        <v/>
      </c>
      <c r="CP165" s="80" t="str">
        <f t="shared" si="270"/>
        <v/>
      </c>
      <c r="CQ165" s="509" t="str">
        <f t="shared" si="270"/>
        <v/>
      </c>
      <c r="CR165" s="533" t="str">
        <f t="shared" si="271"/>
        <v/>
      </c>
      <c r="CS165" s="534" t="str">
        <f t="shared" si="271"/>
        <v/>
      </c>
      <c r="CT165" s="535" t="str">
        <f t="shared" si="271"/>
        <v/>
      </c>
      <c r="CU165" s="535" t="str">
        <f t="shared" si="271"/>
        <v/>
      </c>
      <c r="CV165" s="535" t="str">
        <f t="shared" si="271"/>
        <v/>
      </c>
      <c r="CW165" s="535" t="str">
        <f t="shared" si="271"/>
        <v/>
      </c>
      <c r="CX165" s="535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5" t="str">
        <f t="shared" si="272"/>
        <v/>
      </c>
      <c r="DF165" s="535" t="str">
        <f t="shared" si="272"/>
        <v/>
      </c>
      <c r="DG165" s="534" t="str">
        <f t="shared" si="272"/>
        <v/>
      </c>
      <c r="DH165" s="533" t="str">
        <f t="shared" si="272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0"/>
        <v/>
      </c>
      <c r="CF166" s="81" t="str">
        <f t="shared" si="270"/>
        <v/>
      </c>
      <c r="CG166" s="81" t="str">
        <f t="shared" si="270"/>
        <v/>
      </c>
      <c r="CH166" s="145" t="str">
        <f t="shared" si="270"/>
        <v/>
      </c>
      <c r="CI166" s="145" t="str">
        <f t="shared" si="270"/>
        <v/>
      </c>
      <c r="CJ166" s="145" t="str">
        <f t="shared" si="270"/>
        <v/>
      </c>
      <c r="CK166" s="81" t="str">
        <f t="shared" si="270"/>
        <v/>
      </c>
      <c r="CL166" s="81" t="str">
        <f t="shared" si="270"/>
        <v/>
      </c>
      <c r="CM166" s="81" t="str">
        <f t="shared" si="270"/>
        <v/>
      </c>
      <c r="CN166" s="81" t="str">
        <f t="shared" si="270"/>
        <v/>
      </c>
      <c r="CO166" s="81" t="str">
        <f t="shared" si="270"/>
        <v/>
      </c>
      <c r="CP166" s="80" t="str">
        <f t="shared" si="270"/>
        <v/>
      </c>
      <c r="CQ166" s="509" t="str">
        <f t="shared" si="270"/>
        <v/>
      </c>
      <c r="CR166" s="533" t="str">
        <f t="shared" si="271"/>
        <v/>
      </c>
      <c r="CS166" s="534" t="str">
        <f t="shared" si="271"/>
        <v/>
      </c>
      <c r="CT166" s="535" t="str">
        <f t="shared" si="271"/>
        <v/>
      </c>
      <c r="CU166" s="535" t="str">
        <f t="shared" si="271"/>
        <v/>
      </c>
      <c r="CV166" s="535" t="str">
        <f t="shared" si="271"/>
        <v/>
      </c>
      <c r="CW166" s="535" t="str">
        <f t="shared" si="271"/>
        <v/>
      </c>
      <c r="CX166" s="535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5" t="str">
        <f t="shared" si="272"/>
        <v/>
      </c>
      <c r="DF166" s="535" t="str">
        <f t="shared" si="272"/>
        <v/>
      </c>
      <c r="DG166" s="534" t="str">
        <f t="shared" si="272"/>
        <v/>
      </c>
      <c r="DH166" s="533" t="str">
        <f t="shared" si="272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3">IF(B164="","",B163*B164*B165*B166)</f>
        <v/>
      </c>
      <c r="C167" s="870" t="str">
        <f t="shared" si="273"/>
        <v/>
      </c>
      <c r="D167" s="870" t="str">
        <f t="shared" si="273"/>
        <v/>
      </c>
      <c r="E167" s="870" t="str">
        <f t="shared" si="273"/>
        <v/>
      </c>
      <c r="F167" s="870" t="str">
        <f t="shared" si="273"/>
        <v/>
      </c>
      <c r="G167" s="870" t="str">
        <f t="shared" si="273"/>
        <v/>
      </c>
      <c r="H167" s="870" t="str">
        <f t="shared" si="273"/>
        <v/>
      </c>
      <c r="I167" s="870" t="str">
        <f t="shared" si="273"/>
        <v/>
      </c>
      <c r="J167" s="870" t="str">
        <f t="shared" si="273"/>
        <v/>
      </c>
      <c r="K167" s="870" t="str">
        <f t="shared" si="273"/>
        <v/>
      </c>
      <c r="L167" s="870" t="str">
        <f t="shared" si="273"/>
        <v/>
      </c>
      <c r="M167" s="870" t="str">
        <f t="shared" si="273"/>
        <v/>
      </c>
      <c r="N167" s="870" t="str">
        <f t="shared" si="273"/>
        <v/>
      </c>
      <c r="O167" s="870" t="str">
        <f t="shared" si="273"/>
        <v/>
      </c>
      <c r="P167" s="870" t="str">
        <f t="shared" si="273"/>
        <v/>
      </c>
      <c r="Q167" s="870" t="str">
        <f t="shared" si="273"/>
        <v/>
      </c>
      <c r="R167" s="870" t="str">
        <f t="shared" si="273"/>
        <v/>
      </c>
      <c r="S167" s="858"/>
      <c r="T167" s="870" t="str">
        <f t="shared" ref="T167:AC167" si="274">IF(T164="","",T163*T164*T165*T166)</f>
        <v/>
      </c>
      <c r="U167" s="870" t="str">
        <f t="shared" si="274"/>
        <v/>
      </c>
      <c r="V167" s="870" t="str">
        <f t="shared" si="274"/>
        <v/>
      </c>
      <c r="W167" s="870" t="str">
        <f t="shared" si="274"/>
        <v/>
      </c>
      <c r="X167" s="870" t="str">
        <f t="shared" si="274"/>
        <v/>
      </c>
      <c r="Y167" s="870" t="str">
        <f t="shared" si="274"/>
        <v/>
      </c>
      <c r="Z167" s="870" t="str">
        <f t="shared" si="274"/>
        <v/>
      </c>
      <c r="AA167" s="870" t="str">
        <f t="shared" si="274"/>
        <v/>
      </c>
      <c r="AB167" s="870" t="str">
        <f t="shared" si="274"/>
        <v/>
      </c>
      <c r="AC167" s="870" t="str">
        <f t="shared" si="274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5">IF(AL164="","",AL163*AL164*AL165*AL166)</f>
        <v/>
      </c>
      <c r="AM167" s="870" t="str">
        <f t="shared" si="275"/>
        <v/>
      </c>
      <c r="AN167" s="870" t="str">
        <f t="shared" si="275"/>
        <v/>
      </c>
      <c r="AO167" s="870" t="str">
        <f t="shared" si="275"/>
        <v/>
      </c>
      <c r="AP167" s="870" t="str">
        <f t="shared" si="275"/>
        <v/>
      </c>
      <c r="AQ167" s="870" t="str">
        <f t="shared" si="275"/>
        <v/>
      </c>
      <c r="AR167" s="870" t="str">
        <f t="shared" si="275"/>
        <v/>
      </c>
      <c r="AS167" s="870" t="str">
        <f t="shared" si="275"/>
        <v/>
      </c>
      <c r="AT167" s="870" t="str">
        <f t="shared" si="275"/>
        <v/>
      </c>
      <c r="AU167" s="870" t="str">
        <f t="shared" si="275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6">IF(BD164="","",BD163*BD164*BD165*BD166)</f>
        <v/>
      </c>
      <c r="BE167" s="870" t="str">
        <f t="shared" si="276"/>
        <v/>
      </c>
      <c r="BF167" s="870" t="str">
        <f t="shared" si="276"/>
        <v/>
      </c>
      <c r="BG167" s="870" t="str">
        <f t="shared" si="276"/>
        <v/>
      </c>
      <c r="BH167" s="870" t="str">
        <f t="shared" si="276"/>
        <v/>
      </c>
      <c r="BI167" s="870" t="str">
        <f t="shared" si="276"/>
        <v/>
      </c>
      <c r="BJ167" s="870" t="str">
        <f t="shared" si="276"/>
        <v/>
      </c>
      <c r="BK167" s="870" t="str">
        <f t="shared" si="276"/>
        <v/>
      </c>
      <c r="BL167" s="870" t="str">
        <f t="shared" si="276"/>
        <v/>
      </c>
      <c r="BM167" s="870" t="str">
        <f t="shared" si="276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0"/>
        <v/>
      </c>
      <c r="CF167" s="81" t="str">
        <f t="shared" si="270"/>
        <v/>
      </c>
      <c r="CG167" s="81" t="str">
        <f t="shared" si="270"/>
        <v/>
      </c>
      <c r="CH167" s="145" t="str">
        <f t="shared" si="270"/>
        <v/>
      </c>
      <c r="CI167" s="145" t="str">
        <f t="shared" si="270"/>
        <v/>
      </c>
      <c r="CJ167" s="145" t="str">
        <f t="shared" si="270"/>
        <v/>
      </c>
      <c r="CK167" s="81" t="str">
        <f t="shared" si="270"/>
        <v/>
      </c>
      <c r="CL167" s="81" t="str">
        <f t="shared" si="270"/>
        <v/>
      </c>
      <c r="CM167" s="81" t="str">
        <f t="shared" si="270"/>
        <v/>
      </c>
      <c r="CN167" s="81" t="str">
        <f t="shared" si="270"/>
        <v/>
      </c>
      <c r="CO167" s="81" t="str">
        <f t="shared" si="270"/>
        <v/>
      </c>
      <c r="CP167" s="80" t="str">
        <f t="shared" si="270"/>
        <v/>
      </c>
      <c r="CQ167" s="509" t="str">
        <f t="shared" si="270"/>
        <v/>
      </c>
      <c r="CR167" s="533" t="str">
        <f t="shared" si="271"/>
        <v/>
      </c>
      <c r="CS167" s="534" t="str">
        <f t="shared" si="271"/>
        <v/>
      </c>
      <c r="CT167" s="535" t="str">
        <f t="shared" si="271"/>
        <v/>
      </c>
      <c r="CU167" s="535" t="str">
        <f t="shared" si="271"/>
        <v/>
      </c>
      <c r="CV167" s="535" t="str">
        <f t="shared" si="271"/>
        <v/>
      </c>
      <c r="CW167" s="535" t="str">
        <f t="shared" si="271"/>
        <v/>
      </c>
      <c r="CX167" s="535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5" t="str">
        <f t="shared" si="272"/>
        <v/>
      </c>
      <c r="DF167" s="535" t="str">
        <f t="shared" si="272"/>
        <v/>
      </c>
      <c r="DG167" s="534" t="str">
        <f t="shared" si="272"/>
        <v/>
      </c>
      <c r="DH167" s="533" t="str">
        <f t="shared" si="272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7"/>
        <v/>
      </c>
      <c r="CF169" s="81" t="str">
        <f t="shared" si="277"/>
        <v/>
      </c>
      <c r="CG169" s="81" t="str">
        <f t="shared" si="277"/>
        <v/>
      </c>
      <c r="CH169" s="145" t="str">
        <f t="shared" si="277"/>
        <v/>
      </c>
      <c r="CI169" s="145" t="str">
        <f t="shared" si="277"/>
        <v/>
      </c>
      <c r="CJ169" s="145" t="str">
        <f t="shared" si="277"/>
        <v/>
      </c>
      <c r="CK169" s="81" t="str">
        <f t="shared" si="277"/>
        <v/>
      </c>
      <c r="CL169" s="81" t="str">
        <f t="shared" si="277"/>
        <v/>
      </c>
      <c r="CM169" s="81" t="str">
        <f t="shared" si="277"/>
        <v/>
      </c>
      <c r="CN169" s="81" t="str">
        <f t="shared" si="277"/>
        <v/>
      </c>
      <c r="CO169" s="81" t="str">
        <f t="shared" si="277"/>
        <v/>
      </c>
      <c r="CP169" s="80" t="str">
        <f t="shared" si="277"/>
        <v/>
      </c>
      <c r="CQ169" s="509" t="str">
        <f t="shared" ref="CE169:CQ173" si="278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79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79"/>
        <v/>
      </c>
      <c r="CT169" s="535" t="str">
        <f t="shared" si="279"/>
        <v/>
      </c>
      <c r="CU169" s="535" t="str">
        <f t="shared" si="279"/>
        <v/>
      </c>
      <c r="CV169" s="535" t="str">
        <f t="shared" si="279"/>
        <v/>
      </c>
      <c r="CW169" s="535" t="str">
        <f t="shared" si="279"/>
        <v/>
      </c>
      <c r="CX169" s="535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5" t="str">
        <f t="shared" ref="DB169:DH173" si="280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0"/>
        <v/>
      </c>
      <c r="DD169" s="535" t="str">
        <f t="shared" si="280"/>
        <v/>
      </c>
      <c r="DE169" s="535" t="str">
        <f t="shared" si="280"/>
        <v/>
      </c>
      <c r="DF169" s="535" t="str">
        <f t="shared" si="280"/>
        <v/>
      </c>
      <c r="DG169" s="534" t="str">
        <f t="shared" si="280"/>
        <v/>
      </c>
      <c r="DH169" s="533" t="str">
        <f t="shared" si="280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8"/>
        <v/>
      </c>
      <c r="CF170" s="81" t="str">
        <f t="shared" si="278"/>
        <v/>
      </c>
      <c r="CG170" s="81" t="str">
        <f t="shared" si="278"/>
        <v/>
      </c>
      <c r="CH170" s="145" t="str">
        <f t="shared" si="278"/>
        <v/>
      </c>
      <c r="CI170" s="145" t="str">
        <f t="shared" si="278"/>
        <v/>
      </c>
      <c r="CJ170" s="145" t="str">
        <f t="shared" si="278"/>
        <v/>
      </c>
      <c r="CK170" s="81" t="str">
        <f t="shared" si="278"/>
        <v/>
      </c>
      <c r="CL170" s="81" t="str">
        <f t="shared" si="278"/>
        <v/>
      </c>
      <c r="CM170" s="81" t="str">
        <f t="shared" si="278"/>
        <v/>
      </c>
      <c r="CN170" s="81" t="str">
        <f t="shared" si="278"/>
        <v/>
      </c>
      <c r="CO170" s="81" t="str">
        <f t="shared" si="278"/>
        <v/>
      </c>
      <c r="CP170" s="80" t="str">
        <f t="shared" si="278"/>
        <v/>
      </c>
      <c r="CQ170" s="509" t="str">
        <f t="shared" si="278"/>
        <v/>
      </c>
      <c r="CR170" s="533" t="str">
        <f t="shared" si="279"/>
        <v/>
      </c>
      <c r="CS170" s="534" t="str">
        <f t="shared" si="279"/>
        <v/>
      </c>
      <c r="CT170" s="535" t="str">
        <f t="shared" si="279"/>
        <v/>
      </c>
      <c r="CU170" s="535" t="str">
        <f t="shared" si="279"/>
        <v/>
      </c>
      <c r="CV170" s="535" t="str">
        <f t="shared" si="279"/>
        <v/>
      </c>
      <c r="CW170" s="535" t="str">
        <f t="shared" si="279"/>
        <v/>
      </c>
      <c r="CX170" s="535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5" t="str">
        <f t="shared" si="280"/>
        <v/>
      </c>
      <c r="DF170" s="535" t="str">
        <f t="shared" si="280"/>
        <v/>
      </c>
      <c r="DG170" s="534" t="str">
        <f t="shared" si="280"/>
        <v/>
      </c>
      <c r="DH170" s="533" t="str">
        <f t="shared" si="280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8"/>
        <v/>
      </c>
      <c r="CF171" s="81" t="str">
        <f t="shared" si="278"/>
        <v/>
      </c>
      <c r="CG171" s="81" t="str">
        <f t="shared" si="278"/>
        <v/>
      </c>
      <c r="CH171" s="145" t="str">
        <f t="shared" si="278"/>
        <v/>
      </c>
      <c r="CI171" s="145" t="str">
        <f t="shared" si="278"/>
        <v/>
      </c>
      <c r="CJ171" s="145" t="str">
        <f t="shared" si="278"/>
        <v/>
      </c>
      <c r="CK171" s="81" t="str">
        <f t="shared" si="278"/>
        <v/>
      </c>
      <c r="CL171" s="81" t="str">
        <f t="shared" si="278"/>
        <v/>
      </c>
      <c r="CM171" s="81" t="str">
        <f t="shared" si="278"/>
        <v/>
      </c>
      <c r="CN171" s="81" t="str">
        <f t="shared" si="278"/>
        <v/>
      </c>
      <c r="CO171" s="81" t="str">
        <f t="shared" si="278"/>
        <v/>
      </c>
      <c r="CP171" s="80" t="str">
        <f t="shared" si="278"/>
        <v/>
      </c>
      <c r="CQ171" s="509" t="str">
        <f t="shared" si="278"/>
        <v/>
      </c>
      <c r="CR171" s="533" t="str">
        <f t="shared" si="279"/>
        <v/>
      </c>
      <c r="CS171" s="534" t="str">
        <f t="shared" si="279"/>
        <v/>
      </c>
      <c r="CT171" s="535" t="str">
        <f t="shared" si="279"/>
        <v/>
      </c>
      <c r="CU171" s="535" t="str">
        <f t="shared" si="279"/>
        <v/>
      </c>
      <c r="CV171" s="535" t="str">
        <f t="shared" si="279"/>
        <v/>
      </c>
      <c r="CW171" s="535" t="str">
        <f t="shared" si="279"/>
        <v/>
      </c>
      <c r="CX171" s="535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5" t="str">
        <f t="shared" si="280"/>
        <v/>
      </c>
      <c r="DF171" s="535" t="str">
        <f t="shared" si="280"/>
        <v/>
      </c>
      <c r="DG171" s="534" t="str">
        <f t="shared" si="280"/>
        <v/>
      </c>
      <c r="DH171" s="533" t="str">
        <f t="shared" si="280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8"/>
        <v/>
      </c>
      <c r="CF172" s="81" t="str">
        <f t="shared" si="278"/>
        <v/>
      </c>
      <c r="CG172" s="81" t="str">
        <f t="shared" si="278"/>
        <v/>
      </c>
      <c r="CH172" s="145" t="str">
        <f t="shared" si="278"/>
        <v/>
      </c>
      <c r="CI172" s="145" t="str">
        <f t="shared" si="278"/>
        <v/>
      </c>
      <c r="CJ172" s="145" t="str">
        <f t="shared" si="278"/>
        <v/>
      </c>
      <c r="CK172" s="81" t="str">
        <f t="shared" si="278"/>
        <v/>
      </c>
      <c r="CL172" s="81" t="str">
        <f t="shared" si="278"/>
        <v/>
      </c>
      <c r="CM172" s="81" t="str">
        <f t="shared" si="278"/>
        <v/>
      </c>
      <c r="CN172" s="81" t="str">
        <f t="shared" si="278"/>
        <v/>
      </c>
      <c r="CO172" s="81" t="str">
        <f t="shared" si="278"/>
        <v/>
      </c>
      <c r="CP172" s="80" t="str">
        <f t="shared" si="278"/>
        <v/>
      </c>
      <c r="CQ172" s="509" t="str">
        <f t="shared" si="278"/>
        <v/>
      </c>
      <c r="CR172" s="533" t="str">
        <f t="shared" si="279"/>
        <v/>
      </c>
      <c r="CS172" s="534" t="str">
        <f t="shared" si="279"/>
        <v/>
      </c>
      <c r="CT172" s="535" t="str">
        <f t="shared" si="279"/>
        <v/>
      </c>
      <c r="CU172" s="535" t="str">
        <f t="shared" si="279"/>
        <v/>
      </c>
      <c r="CV172" s="535" t="str">
        <f t="shared" si="279"/>
        <v/>
      </c>
      <c r="CW172" s="535" t="str">
        <f t="shared" si="279"/>
        <v/>
      </c>
      <c r="CX172" s="535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5" t="str">
        <f t="shared" si="280"/>
        <v/>
      </c>
      <c r="DF172" s="535" t="str">
        <f t="shared" si="280"/>
        <v/>
      </c>
      <c r="DG172" s="534" t="str">
        <f t="shared" si="280"/>
        <v/>
      </c>
      <c r="DH172" s="533" t="str">
        <f t="shared" si="280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1">IF(B170="","",B169*B170*B171*B172)</f>
        <v/>
      </c>
      <c r="C173" s="870" t="str">
        <f t="shared" si="281"/>
        <v/>
      </c>
      <c r="D173" s="870" t="str">
        <f t="shared" si="281"/>
        <v/>
      </c>
      <c r="E173" s="870" t="str">
        <f t="shared" si="281"/>
        <v/>
      </c>
      <c r="F173" s="870" t="str">
        <f t="shared" si="281"/>
        <v/>
      </c>
      <c r="G173" s="870" t="str">
        <f t="shared" si="281"/>
        <v/>
      </c>
      <c r="H173" s="870" t="str">
        <f t="shared" si="281"/>
        <v/>
      </c>
      <c r="I173" s="870" t="str">
        <f t="shared" si="281"/>
        <v/>
      </c>
      <c r="J173" s="870" t="str">
        <f t="shared" si="281"/>
        <v/>
      </c>
      <c r="K173" s="870" t="str">
        <f t="shared" si="281"/>
        <v/>
      </c>
      <c r="L173" s="870" t="str">
        <f t="shared" si="281"/>
        <v/>
      </c>
      <c r="M173" s="870" t="str">
        <f t="shared" si="281"/>
        <v/>
      </c>
      <c r="N173" s="870" t="str">
        <f t="shared" si="281"/>
        <v/>
      </c>
      <c r="O173" s="870" t="str">
        <f t="shared" si="281"/>
        <v/>
      </c>
      <c r="P173" s="870" t="str">
        <f t="shared" si="281"/>
        <v/>
      </c>
      <c r="Q173" s="870" t="str">
        <f t="shared" si="281"/>
        <v/>
      </c>
      <c r="R173" s="870" t="str">
        <f t="shared" si="281"/>
        <v/>
      </c>
      <c r="S173" s="858"/>
      <c r="T173" s="870" t="str">
        <f t="shared" ref="T173:Z173" si="282">IF(T170="","",T169*T170*T171*T172)</f>
        <v/>
      </c>
      <c r="U173" s="870" t="str">
        <f t="shared" si="282"/>
        <v/>
      </c>
      <c r="V173" s="870" t="str">
        <f t="shared" si="282"/>
        <v/>
      </c>
      <c r="W173" s="870" t="str">
        <f t="shared" si="282"/>
        <v/>
      </c>
      <c r="X173" s="870" t="str">
        <f t="shared" si="282"/>
        <v/>
      </c>
      <c r="Y173" s="870" t="str">
        <f t="shared" si="282"/>
        <v/>
      </c>
      <c r="Z173" s="870" t="str">
        <f t="shared" si="282"/>
        <v/>
      </c>
      <c r="AA173" s="870" t="str">
        <f>IF(AA170="","",AA169*AA170*AA171*AA172)</f>
        <v/>
      </c>
      <c r="AB173" s="870" t="str">
        <f>IF(AB170="","",AB169*AB170*AB171*AB172)</f>
        <v/>
      </c>
      <c r="AC173" s="870" t="str">
        <f>IF(AC170="","",AC169*AC170*AC171*AC172)</f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3">IF(AL170="","",AL169*AL170*AL171*AL172)</f>
        <v/>
      </c>
      <c r="AM173" s="870" t="str">
        <f t="shared" si="283"/>
        <v/>
      </c>
      <c r="AN173" s="870" t="str">
        <f t="shared" si="283"/>
        <v/>
      </c>
      <c r="AO173" s="870" t="str">
        <f t="shared" si="283"/>
        <v/>
      </c>
      <c r="AP173" s="870" t="str">
        <f t="shared" si="283"/>
        <v/>
      </c>
      <c r="AQ173" s="870" t="str">
        <f t="shared" si="283"/>
        <v/>
      </c>
      <c r="AR173" s="870" t="str">
        <f t="shared" si="283"/>
        <v/>
      </c>
      <c r="AS173" s="870" t="str">
        <f t="shared" si="283"/>
        <v/>
      </c>
      <c r="AT173" s="870" t="str">
        <f t="shared" si="283"/>
        <v/>
      </c>
      <c r="AU173" s="870" t="str">
        <f t="shared" si="283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4">IF(BD170="","",BD169*BD170*BD171*BD172)</f>
        <v/>
      </c>
      <c r="BE173" s="870" t="str">
        <f t="shared" si="284"/>
        <v/>
      </c>
      <c r="BF173" s="870" t="str">
        <f t="shared" si="284"/>
        <v/>
      </c>
      <c r="BG173" s="870" t="str">
        <f t="shared" si="284"/>
        <v/>
      </c>
      <c r="BH173" s="870" t="str">
        <f t="shared" si="284"/>
        <v/>
      </c>
      <c r="BI173" s="870" t="str">
        <f t="shared" si="284"/>
        <v/>
      </c>
      <c r="BJ173" s="870" t="str">
        <f t="shared" si="284"/>
        <v/>
      </c>
      <c r="BK173" s="870" t="str">
        <f t="shared" si="284"/>
        <v/>
      </c>
      <c r="BL173" s="870" t="str">
        <f t="shared" si="284"/>
        <v/>
      </c>
      <c r="BM173" s="870" t="str">
        <f t="shared" si="284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8"/>
        <v/>
      </c>
      <c r="CF173" s="81" t="str">
        <f t="shared" si="278"/>
        <v/>
      </c>
      <c r="CG173" s="81" t="str">
        <f t="shared" si="278"/>
        <v/>
      </c>
      <c r="CH173" s="145" t="str">
        <f t="shared" si="278"/>
        <v/>
      </c>
      <c r="CI173" s="145" t="str">
        <f t="shared" si="278"/>
        <v/>
      </c>
      <c r="CJ173" s="145" t="str">
        <f t="shared" si="278"/>
        <v/>
      </c>
      <c r="CK173" s="81" t="str">
        <f t="shared" si="278"/>
        <v/>
      </c>
      <c r="CL173" s="81" t="str">
        <f t="shared" si="278"/>
        <v/>
      </c>
      <c r="CM173" s="81" t="str">
        <f t="shared" si="278"/>
        <v/>
      </c>
      <c r="CN173" s="81" t="str">
        <f t="shared" si="278"/>
        <v/>
      </c>
      <c r="CO173" s="81" t="str">
        <f t="shared" si="278"/>
        <v/>
      </c>
      <c r="CP173" s="80" t="str">
        <f t="shared" si="278"/>
        <v/>
      </c>
      <c r="CQ173" s="509" t="str">
        <f t="shared" si="278"/>
        <v/>
      </c>
      <c r="CR173" s="533" t="str">
        <f t="shared" si="279"/>
        <v/>
      </c>
      <c r="CS173" s="534" t="str">
        <f t="shared" si="279"/>
        <v/>
      </c>
      <c r="CT173" s="535" t="str">
        <f t="shared" si="279"/>
        <v/>
      </c>
      <c r="CU173" s="535" t="str">
        <f t="shared" si="279"/>
        <v/>
      </c>
      <c r="CV173" s="535" t="str">
        <f t="shared" si="279"/>
        <v/>
      </c>
      <c r="CW173" s="535" t="str">
        <f t="shared" si="279"/>
        <v/>
      </c>
      <c r="CX173" s="535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5" t="str">
        <f t="shared" si="280"/>
        <v/>
      </c>
      <c r="DF173" s="535" t="str">
        <f t="shared" si="280"/>
        <v/>
      </c>
      <c r="DG173" s="534" t="str">
        <f t="shared" si="280"/>
        <v/>
      </c>
      <c r="DH173" s="533" t="str">
        <f t="shared" si="280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5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5"/>
        <v/>
      </c>
      <c r="CF175" s="81" t="str">
        <f t="shared" si="285"/>
        <v/>
      </c>
      <c r="CG175" s="81" t="str">
        <f t="shared" si="285"/>
        <v/>
      </c>
      <c r="CH175" s="145" t="str">
        <f t="shared" si="285"/>
        <v/>
      </c>
      <c r="CI175" s="145" t="str">
        <f t="shared" si="285"/>
        <v/>
      </c>
      <c r="CJ175" s="145" t="str">
        <f t="shared" si="285"/>
        <v/>
      </c>
      <c r="CK175" s="81" t="str">
        <f t="shared" si="285"/>
        <v/>
      </c>
      <c r="CL175" s="81" t="str">
        <f t="shared" si="285"/>
        <v/>
      </c>
      <c r="CM175" s="81" t="str">
        <f t="shared" si="285"/>
        <v/>
      </c>
      <c r="CN175" s="81" t="str">
        <f t="shared" si="285"/>
        <v/>
      </c>
      <c r="CO175" s="81" t="str">
        <f t="shared" si="285"/>
        <v/>
      </c>
      <c r="CP175" s="80" t="str">
        <f t="shared" si="285"/>
        <v/>
      </c>
      <c r="CQ175" s="509" t="str">
        <f t="shared" ref="CE175:CQ179" si="286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87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87"/>
        <v/>
      </c>
      <c r="CT175" s="535" t="str">
        <f t="shared" si="287"/>
        <v/>
      </c>
      <c r="CU175" s="535" t="str">
        <f t="shared" si="287"/>
        <v/>
      </c>
      <c r="CV175" s="535" t="str">
        <f t="shared" si="287"/>
        <v/>
      </c>
      <c r="CW175" s="535" t="str">
        <f t="shared" si="287"/>
        <v/>
      </c>
      <c r="CX175" s="535" t="str">
        <f t="shared" si="287"/>
        <v/>
      </c>
      <c r="CY175" s="536" t="str">
        <f t="shared" si="287"/>
        <v/>
      </c>
      <c r="CZ175" s="536" t="str">
        <f t="shared" si="287"/>
        <v/>
      </c>
      <c r="DA175" s="536" t="str">
        <f t="shared" si="287"/>
        <v/>
      </c>
      <c r="DB175" s="535" t="str">
        <f t="shared" ref="DB175:DH179" si="288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88"/>
        <v/>
      </c>
      <c r="DD175" s="535" t="str">
        <f t="shared" si="288"/>
        <v/>
      </c>
      <c r="DE175" s="535" t="str">
        <f t="shared" si="288"/>
        <v/>
      </c>
      <c r="DF175" s="535" t="str">
        <f t="shared" si="288"/>
        <v/>
      </c>
      <c r="DG175" s="534" t="str">
        <f t="shared" si="288"/>
        <v/>
      </c>
      <c r="DH175" s="533" t="str">
        <f t="shared" si="288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6"/>
        <v/>
      </c>
      <c r="CF176" s="81" t="str">
        <f t="shared" si="286"/>
        <v/>
      </c>
      <c r="CG176" s="81" t="str">
        <f t="shared" si="286"/>
        <v/>
      </c>
      <c r="CH176" s="145" t="str">
        <f t="shared" si="286"/>
        <v/>
      </c>
      <c r="CI176" s="145" t="str">
        <f t="shared" si="286"/>
        <v/>
      </c>
      <c r="CJ176" s="145" t="str">
        <f t="shared" si="286"/>
        <v/>
      </c>
      <c r="CK176" s="81" t="str">
        <f t="shared" si="286"/>
        <v/>
      </c>
      <c r="CL176" s="81" t="str">
        <f t="shared" si="286"/>
        <v/>
      </c>
      <c r="CM176" s="81" t="str">
        <f t="shared" si="286"/>
        <v/>
      </c>
      <c r="CN176" s="81" t="str">
        <f t="shared" si="286"/>
        <v/>
      </c>
      <c r="CO176" s="81" t="str">
        <f t="shared" si="286"/>
        <v/>
      </c>
      <c r="CP176" s="80" t="str">
        <f t="shared" si="286"/>
        <v/>
      </c>
      <c r="CQ176" s="509" t="str">
        <f t="shared" si="286"/>
        <v/>
      </c>
      <c r="CR176" s="533" t="str">
        <f t="shared" si="287"/>
        <v/>
      </c>
      <c r="CS176" s="534" t="str">
        <f t="shared" si="287"/>
        <v/>
      </c>
      <c r="CT176" s="535" t="str">
        <f t="shared" si="287"/>
        <v/>
      </c>
      <c r="CU176" s="535" t="str">
        <f t="shared" si="287"/>
        <v/>
      </c>
      <c r="CV176" s="535" t="str">
        <f t="shared" si="287"/>
        <v/>
      </c>
      <c r="CW176" s="535" t="str">
        <f t="shared" si="287"/>
        <v/>
      </c>
      <c r="CX176" s="535" t="str">
        <f t="shared" si="287"/>
        <v/>
      </c>
      <c r="CY176" s="536" t="str">
        <f t="shared" si="287"/>
        <v/>
      </c>
      <c r="CZ176" s="536" t="str">
        <f t="shared" si="287"/>
        <v/>
      </c>
      <c r="DA176" s="536" t="str">
        <f t="shared" si="287"/>
        <v/>
      </c>
      <c r="DB176" s="535" t="str">
        <f t="shared" si="288"/>
        <v/>
      </c>
      <c r="DC176" s="535" t="str">
        <f t="shared" si="288"/>
        <v/>
      </c>
      <c r="DD176" s="535" t="str">
        <f t="shared" si="288"/>
        <v/>
      </c>
      <c r="DE176" s="535" t="str">
        <f t="shared" si="288"/>
        <v/>
      </c>
      <c r="DF176" s="535" t="str">
        <f t="shared" si="288"/>
        <v/>
      </c>
      <c r="DG176" s="534" t="str">
        <f t="shared" si="288"/>
        <v/>
      </c>
      <c r="DH176" s="533" t="str">
        <f t="shared" si="288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6"/>
        <v/>
      </c>
      <c r="CF177" s="81" t="str">
        <f t="shared" si="286"/>
        <v/>
      </c>
      <c r="CG177" s="81" t="str">
        <f t="shared" si="286"/>
        <v/>
      </c>
      <c r="CH177" s="145" t="str">
        <f t="shared" si="286"/>
        <v/>
      </c>
      <c r="CI177" s="145" t="str">
        <f t="shared" si="286"/>
        <v/>
      </c>
      <c r="CJ177" s="145" t="str">
        <f t="shared" si="286"/>
        <v/>
      </c>
      <c r="CK177" s="81" t="str">
        <f t="shared" si="286"/>
        <v/>
      </c>
      <c r="CL177" s="81" t="str">
        <f t="shared" si="286"/>
        <v/>
      </c>
      <c r="CM177" s="81" t="str">
        <f t="shared" si="286"/>
        <v/>
      </c>
      <c r="CN177" s="81" t="str">
        <f t="shared" si="286"/>
        <v/>
      </c>
      <c r="CO177" s="81" t="str">
        <f t="shared" si="286"/>
        <v/>
      </c>
      <c r="CP177" s="80" t="str">
        <f t="shared" si="286"/>
        <v/>
      </c>
      <c r="CQ177" s="509" t="str">
        <f t="shared" si="286"/>
        <v/>
      </c>
      <c r="CR177" s="533" t="str">
        <f t="shared" si="287"/>
        <v/>
      </c>
      <c r="CS177" s="534" t="str">
        <f t="shared" si="287"/>
        <v/>
      </c>
      <c r="CT177" s="535" t="str">
        <f t="shared" si="287"/>
        <v/>
      </c>
      <c r="CU177" s="535" t="str">
        <f t="shared" si="287"/>
        <v/>
      </c>
      <c r="CV177" s="535" t="str">
        <f t="shared" si="287"/>
        <v/>
      </c>
      <c r="CW177" s="535" t="str">
        <f t="shared" si="287"/>
        <v/>
      </c>
      <c r="CX177" s="535" t="str">
        <f t="shared" si="287"/>
        <v/>
      </c>
      <c r="CY177" s="536" t="str">
        <f t="shared" si="287"/>
        <v/>
      </c>
      <c r="CZ177" s="536" t="str">
        <f t="shared" si="287"/>
        <v/>
      </c>
      <c r="DA177" s="536" t="str">
        <f t="shared" si="287"/>
        <v/>
      </c>
      <c r="DB177" s="535" t="str">
        <f t="shared" si="288"/>
        <v/>
      </c>
      <c r="DC177" s="535" t="str">
        <f t="shared" si="288"/>
        <v/>
      </c>
      <c r="DD177" s="535" t="str">
        <f t="shared" si="288"/>
        <v/>
      </c>
      <c r="DE177" s="535" t="str">
        <f t="shared" si="288"/>
        <v/>
      </c>
      <c r="DF177" s="535" t="str">
        <f t="shared" si="288"/>
        <v/>
      </c>
      <c r="DG177" s="534" t="str">
        <f t="shared" si="288"/>
        <v/>
      </c>
      <c r="DH177" s="533" t="str">
        <f t="shared" si="288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6"/>
        <v/>
      </c>
      <c r="CF178" s="81" t="str">
        <f t="shared" si="286"/>
        <v/>
      </c>
      <c r="CG178" s="81" t="str">
        <f t="shared" si="286"/>
        <v/>
      </c>
      <c r="CH178" s="145" t="str">
        <f t="shared" si="286"/>
        <v/>
      </c>
      <c r="CI178" s="145" t="str">
        <f t="shared" si="286"/>
        <v/>
      </c>
      <c r="CJ178" s="145" t="str">
        <f t="shared" si="286"/>
        <v/>
      </c>
      <c r="CK178" s="81" t="str">
        <f t="shared" si="286"/>
        <v/>
      </c>
      <c r="CL178" s="81" t="str">
        <f t="shared" si="286"/>
        <v/>
      </c>
      <c r="CM178" s="81" t="str">
        <f t="shared" si="286"/>
        <v/>
      </c>
      <c r="CN178" s="81" t="str">
        <f t="shared" si="286"/>
        <v/>
      </c>
      <c r="CO178" s="81" t="str">
        <f t="shared" si="286"/>
        <v/>
      </c>
      <c r="CP178" s="80" t="str">
        <f t="shared" si="286"/>
        <v/>
      </c>
      <c r="CQ178" s="509" t="str">
        <f t="shared" si="286"/>
        <v/>
      </c>
      <c r="CR178" s="533" t="str">
        <f t="shared" si="287"/>
        <v/>
      </c>
      <c r="CS178" s="534" t="str">
        <f t="shared" si="287"/>
        <v/>
      </c>
      <c r="CT178" s="535" t="str">
        <f t="shared" si="287"/>
        <v/>
      </c>
      <c r="CU178" s="535" t="str">
        <f t="shared" si="287"/>
        <v/>
      </c>
      <c r="CV178" s="535" t="str">
        <f t="shared" si="287"/>
        <v/>
      </c>
      <c r="CW178" s="535" t="str">
        <f t="shared" si="287"/>
        <v/>
      </c>
      <c r="CX178" s="535" t="str">
        <f t="shared" si="287"/>
        <v/>
      </c>
      <c r="CY178" s="536" t="str">
        <f t="shared" si="287"/>
        <v/>
      </c>
      <c r="CZ178" s="536" t="str">
        <f t="shared" si="287"/>
        <v/>
      </c>
      <c r="DA178" s="536" t="str">
        <f t="shared" si="287"/>
        <v/>
      </c>
      <c r="DB178" s="535" t="str">
        <f t="shared" si="288"/>
        <v/>
      </c>
      <c r="DC178" s="535" t="str">
        <f t="shared" si="288"/>
        <v/>
      </c>
      <c r="DD178" s="535" t="str">
        <f t="shared" si="288"/>
        <v/>
      </c>
      <c r="DE178" s="535" t="str">
        <f t="shared" si="288"/>
        <v/>
      </c>
      <c r="DF178" s="535" t="str">
        <f t="shared" si="288"/>
        <v/>
      </c>
      <c r="DG178" s="534" t="str">
        <f t="shared" si="288"/>
        <v/>
      </c>
      <c r="DH178" s="533" t="str">
        <f t="shared" si="288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89">IF(B176="","",B175*B176*B177*B178)</f>
        <v/>
      </c>
      <c r="C179" s="870" t="str">
        <f t="shared" si="289"/>
        <v/>
      </c>
      <c r="D179" s="870" t="str">
        <f t="shared" si="289"/>
        <v/>
      </c>
      <c r="E179" s="870" t="str">
        <f t="shared" si="289"/>
        <v/>
      </c>
      <c r="F179" s="870" t="str">
        <f t="shared" si="289"/>
        <v/>
      </c>
      <c r="G179" s="870" t="str">
        <f t="shared" si="289"/>
        <v/>
      </c>
      <c r="H179" s="870" t="str">
        <f t="shared" si="289"/>
        <v/>
      </c>
      <c r="I179" s="870" t="str">
        <f t="shared" si="289"/>
        <v/>
      </c>
      <c r="J179" s="870" t="str">
        <f t="shared" si="289"/>
        <v/>
      </c>
      <c r="K179" s="870" t="str">
        <f t="shared" si="289"/>
        <v/>
      </c>
      <c r="L179" s="870" t="str">
        <f t="shared" si="289"/>
        <v/>
      </c>
      <c r="M179" s="870" t="str">
        <f t="shared" si="289"/>
        <v/>
      </c>
      <c r="N179" s="870" t="str">
        <f t="shared" si="289"/>
        <v/>
      </c>
      <c r="O179" s="870" t="str">
        <f t="shared" si="289"/>
        <v/>
      </c>
      <c r="P179" s="870" t="str">
        <f t="shared" si="289"/>
        <v/>
      </c>
      <c r="Q179" s="870" t="str">
        <f t="shared" si="289"/>
        <v/>
      </c>
      <c r="R179" s="870" t="str">
        <f t="shared" si="289"/>
        <v/>
      </c>
      <c r="S179" s="858"/>
      <c r="T179" s="870" t="str">
        <f t="shared" ref="T179:AC179" si="290">IF(T176="","",T175*T176*T177*T178)</f>
        <v/>
      </c>
      <c r="U179" s="870" t="str">
        <f t="shared" si="290"/>
        <v/>
      </c>
      <c r="V179" s="870" t="str">
        <f t="shared" si="290"/>
        <v/>
      </c>
      <c r="W179" s="870" t="str">
        <f t="shared" si="290"/>
        <v/>
      </c>
      <c r="X179" s="870" t="str">
        <f t="shared" si="290"/>
        <v/>
      </c>
      <c r="Y179" s="870" t="str">
        <f t="shared" si="290"/>
        <v/>
      </c>
      <c r="Z179" s="870" t="str">
        <f t="shared" si="290"/>
        <v/>
      </c>
      <c r="AA179" s="870" t="str">
        <f t="shared" si="290"/>
        <v/>
      </c>
      <c r="AB179" s="870" t="str">
        <f t="shared" si="290"/>
        <v/>
      </c>
      <c r="AC179" s="870" t="str">
        <f t="shared" si="290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1">IF(AL176="","",AL175*AL176*AL177*AL178)</f>
        <v/>
      </c>
      <c r="AM179" s="870" t="str">
        <f t="shared" si="291"/>
        <v/>
      </c>
      <c r="AN179" s="870" t="str">
        <f t="shared" si="291"/>
        <v/>
      </c>
      <c r="AO179" s="870" t="str">
        <f t="shared" si="291"/>
        <v/>
      </c>
      <c r="AP179" s="870" t="str">
        <f t="shared" si="291"/>
        <v/>
      </c>
      <c r="AQ179" s="870" t="str">
        <f t="shared" si="291"/>
        <v/>
      </c>
      <c r="AR179" s="870" t="str">
        <f t="shared" si="291"/>
        <v/>
      </c>
      <c r="AS179" s="870" t="str">
        <f t="shared" si="291"/>
        <v/>
      </c>
      <c r="AT179" s="870" t="str">
        <f t="shared" si="291"/>
        <v/>
      </c>
      <c r="AU179" s="870" t="str">
        <f t="shared" si="291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2">IF(BD176="","",BD175*BD176*BD177*BD178)</f>
        <v/>
      </c>
      <c r="BE179" s="870" t="str">
        <f t="shared" si="292"/>
        <v/>
      </c>
      <c r="BF179" s="870" t="str">
        <f t="shared" si="292"/>
        <v/>
      </c>
      <c r="BG179" s="870" t="str">
        <f t="shared" si="292"/>
        <v/>
      </c>
      <c r="BH179" s="870" t="str">
        <f t="shared" si="292"/>
        <v/>
      </c>
      <c r="BI179" s="870" t="str">
        <f t="shared" si="292"/>
        <v/>
      </c>
      <c r="BJ179" s="870" t="str">
        <f t="shared" si="292"/>
        <v/>
      </c>
      <c r="BK179" s="870" t="str">
        <f t="shared" si="292"/>
        <v/>
      </c>
      <c r="BL179" s="870" t="str">
        <f t="shared" si="292"/>
        <v/>
      </c>
      <c r="BM179" s="870" t="str">
        <f t="shared" si="292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6"/>
        <v/>
      </c>
      <c r="CF179" s="81" t="str">
        <f t="shared" si="286"/>
        <v/>
      </c>
      <c r="CG179" s="81" t="str">
        <f t="shared" si="286"/>
        <v/>
      </c>
      <c r="CH179" s="145" t="str">
        <f t="shared" si="286"/>
        <v/>
      </c>
      <c r="CI179" s="145" t="str">
        <f t="shared" si="286"/>
        <v/>
      </c>
      <c r="CJ179" s="145" t="str">
        <f t="shared" si="286"/>
        <v/>
      </c>
      <c r="CK179" s="81" t="str">
        <f t="shared" si="286"/>
        <v/>
      </c>
      <c r="CL179" s="81" t="str">
        <f t="shared" si="286"/>
        <v/>
      </c>
      <c r="CM179" s="81" t="str">
        <f t="shared" si="286"/>
        <v/>
      </c>
      <c r="CN179" s="81" t="str">
        <f t="shared" si="286"/>
        <v/>
      </c>
      <c r="CO179" s="81" t="str">
        <f t="shared" si="286"/>
        <v/>
      </c>
      <c r="CP179" s="80" t="str">
        <f t="shared" si="286"/>
        <v/>
      </c>
      <c r="CQ179" s="509" t="str">
        <f t="shared" si="286"/>
        <v/>
      </c>
      <c r="CR179" s="533" t="str">
        <f t="shared" si="287"/>
        <v/>
      </c>
      <c r="CS179" s="534" t="str">
        <f t="shared" si="287"/>
        <v/>
      </c>
      <c r="CT179" s="535" t="str">
        <f t="shared" si="287"/>
        <v/>
      </c>
      <c r="CU179" s="535" t="str">
        <f t="shared" si="287"/>
        <v/>
      </c>
      <c r="CV179" s="535" t="str">
        <f t="shared" si="287"/>
        <v/>
      </c>
      <c r="CW179" s="535" t="str">
        <f t="shared" si="287"/>
        <v/>
      </c>
      <c r="CX179" s="535" t="str">
        <f t="shared" si="287"/>
        <v/>
      </c>
      <c r="CY179" s="536" t="str">
        <f t="shared" si="287"/>
        <v/>
      </c>
      <c r="CZ179" s="536" t="str">
        <f t="shared" si="287"/>
        <v/>
      </c>
      <c r="DA179" s="536" t="str">
        <f t="shared" si="287"/>
        <v/>
      </c>
      <c r="DB179" s="535" t="str">
        <f t="shared" si="288"/>
        <v/>
      </c>
      <c r="DC179" s="535" t="str">
        <f t="shared" si="288"/>
        <v/>
      </c>
      <c r="DD179" s="535" t="str">
        <f t="shared" si="288"/>
        <v/>
      </c>
      <c r="DE179" s="535" t="str">
        <f t="shared" si="288"/>
        <v/>
      </c>
      <c r="DF179" s="535" t="str">
        <f t="shared" si="288"/>
        <v/>
      </c>
      <c r="DG179" s="534" t="str">
        <f t="shared" si="288"/>
        <v/>
      </c>
      <c r="DH179" s="533" t="str">
        <f t="shared" si="288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3"/>
        <v/>
      </c>
      <c r="CF181" s="81" t="str">
        <f t="shared" si="293"/>
        <v/>
      </c>
      <c r="CG181" s="81" t="str">
        <f t="shared" si="293"/>
        <v/>
      </c>
      <c r="CH181" s="145" t="str">
        <f t="shared" si="293"/>
        <v/>
      </c>
      <c r="CI181" s="145" t="str">
        <f t="shared" si="293"/>
        <v/>
      </c>
      <c r="CJ181" s="145" t="str">
        <f t="shared" si="293"/>
        <v/>
      </c>
      <c r="CK181" s="81" t="str">
        <f t="shared" si="293"/>
        <v/>
      </c>
      <c r="CL181" s="81" t="str">
        <f t="shared" si="293"/>
        <v/>
      </c>
      <c r="CM181" s="81" t="str">
        <f t="shared" si="293"/>
        <v/>
      </c>
      <c r="CN181" s="81" t="str">
        <f t="shared" si="293"/>
        <v/>
      </c>
      <c r="CO181" s="81" t="str">
        <f t="shared" si="293"/>
        <v/>
      </c>
      <c r="CP181" s="80" t="str">
        <f t="shared" si="293"/>
        <v/>
      </c>
      <c r="CQ181" s="509" t="str">
        <f t="shared" ref="CE181:CQ185" si="294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5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5"/>
        <v/>
      </c>
      <c r="CT181" s="535" t="str">
        <f t="shared" si="295"/>
        <v/>
      </c>
      <c r="CU181" s="535" t="str">
        <f t="shared" si="295"/>
        <v/>
      </c>
      <c r="CV181" s="535" t="str">
        <f t="shared" si="295"/>
        <v/>
      </c>
      <c r="CW181" s="535" t="str">
        <f t="shared" si="295"/>
        <v/>
      </c>
      <c r="CX181" s="535" t="str">
        <f t="shared" si="295"/>
        <v/>
      </c>
      <c r="CY181" s="536" t="str">
        <f t="shared" si="295"/>
        <v/>
      </c>
      <c r="CZ181" s="536" t="str">
        <f t="shared" si="295"/>
        <v/>
      </c>
      <c r="DA181" s="536" t="str">
        <f t="shared" si="295"/>
        <v/>
      </c>
      <c r="DB181" s="535" t="str">
        <f t="shared" ref="DB181:DH185" si="296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6"/>
        <v/>
      </c>
      <c r="DD181" s="535" t="str">
        <f t="shared" si="296"/>
        <v/>
      </c>
      <c r="DE181" s="535" t="str">
        <f t="shared" si="296"/>
        <v/>
      </c>
      <c r="DF181" s="535" t="str">
        <f t="shared" si="296"/>
        <v/>
      </c>
      <c r="DG181" s="534" t="str">
        <f t="shared" si="296"/>
        <v/>
      </c>
      <c r="DH181" s="533" t="str">
        <f t="shared" si="296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4"/>
        <v/>
      </c>
      <c r="CF182" s="81" t="str">
        <f t="shared" si="294"/>
        <v/>
      </c>
      <c r="CG182" s="81" t="str">
        <f t="shared" si="294"/>
        <v/>
      </c>
      <c r="CH182" s="145" t="str">
        <f t="shared" si="294"/>
        <v/>
      </c>
      <c r="CI182" s="145" t="str">
        <f t="shared" si="294"/>
        <v/>
      </c>
      <c r="CJ182" s="145" t="str">
        <f t="shared" si="294"/>
        <v/>
      </c>
      <c r="CK182" s="81" t="str">
        <f t="shared" si="294"/>
        <v/>
      </c>
      <c r="CL182" s="81" t="str">
        <f t="shared" si="294"/>
        <v/>
      </c>
      <c r="CM182" s="81" t="str">
        <f t="shared" si="294"/>
        <v/>
      </c>
      <c r="CN182" s="81" t="str">
        <f t="shared" si="294"/>
        <v/>
      </c>
      <c r="CO182" s="81" t="str">
        <f t="shared" si="294"/>
        <v/>
      </c>
      <c r="CP182" s="80" t="str">
        <f t="shared" si="294"/>
        <v/>
      </c>
      <c r="CQ182" s="509" t="str">
        <f t="shared" si="294"/>
        <v/>
      </c>
      <c r="CR182" s="533" t="str">
        <f t="shared" si="295"/>
        <v/>
      </c>
      <c r="CS182" s="534" t="str">
        <f t="shared" si="295"/>
        <v/>
      </c>
      <c r="CT182" s="535" t="str">
        <f t="shared" si="295"/>
        <v/>
      </c>
      <c r="CU182" s="535" t="str">
        <f t="shared" si="295"/>
        <v/>
      </c>
      <c r="CV182" s="535" t="str">
        <f t="shared" si="295"/>
        <v/>
      </c>
      <c r="CW182" s="535" t="str">
        <f t="shared" si="295"/>
        <v/>
      </c>
      <c r="CX182" s="535" t="str">
        <f t="shared" si="295"/>
        <v/>
      </c>
      <c r="CY182" s="536" t="str">
        <f t="shared" si="295"/>
        <v/>
      </c>
      <c r="CZ182" s="536" t="str">
        <f t="shared" si="295"/>
        <v/>
      </c>
      <c r="DA182" s="536" t="str">
        <f t="shared" si="295"/>
        <v/>
      </c>
      <c r="DB182" s="535" t="str">
        <f t="shared" si="296"/>
        <v/>
      </c>
      <c r="DC182" s="535" t="str">
        <f t="shared" si="296"/>
        <v/>
      </c>
      <c r="DD182" s="535" t="str">
        <f t="shared" si="296"/>
        <v/>
      </c>
      <c r="DE182" s="535" t="str">
        <f t="shared" si="296"/>
        <v/>
      </c>
      <c r="DF182" s="535" t="str">
        <f t="shared" si="296"/>
        <v/>
      </c>
      <c r="DG182" s="534" t="str">
        <f t="shared" si="296"/>
        <v/>
      </c>
      <c r="DH182" s="533" t="str">
        <f t="shared" si="296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4"/>
        <v/>
      </c>
      <c r="CF183" s="81" t="str">
        <f t="shared" si="294"/>
        <v/>
      </c>
      <c r="CG183" s="81" t="str">
        <f t="shared" si="294"/>
        <v/>
      </c>
      <c r="CH183" s="145" t="str">
        <f t="shared" si="294"/>
        <v/>
      </c>
      <c r="CI183" s="145" t="str">
        <f t="shared" si="294"/>
        <v/>
      </c>
      <c r="CJ183" s="145" t="str">
        <f t="shared" si="294"/>
        <v/>
      </c>
      <c r="CK183" s="81" t="str">
        <f t="shared" si="294"/>
        <v/>
      </c>
      <c r="CL183" s="81" t="str">
        <f t="shared" si="294"/>
        <v/>
      </c>
      <c r="CM183" s="81" t="str">
        <f t="shared" si="294"/>
        <v/>
      </c>
      <c r="CN183" s="81" t="str">
        <f t="shared" si="294"/>
        <v/>
      </c>
      <c r="CO183" s="81" t="str">
        <f t="shared" si="294"/>
        <v/>
      </c>
      <c r="CP183" s="80" t="str">
        <f t="shared" si="294"/>
        <v/>
      </c>
      <c r="CQ183" s="509" t="str">
        <f t="shared" si="294"/>
        <v/>
      </c>
      <c r="CR183" s="533" t="str">
        <f t="shared" si="295"/>
        <v/>
      </c>
      <c r="CS183" s="534" t="str">
        <f t="shared" si="295"/>
        <v/>
      </c>
      <c r="CT183" s="535" t="str">
        <f t="shared" si="295"/>
        <v/>
      </c>
      <c r="CU183" s="535" t="str">
        <f t="shared" si="295"/>
        <v/>
      </c>
      <c r="CV183" s="535" t="str">
        <f t="shared" si="295"/>
        <v/>
      </c>
      <c r="CW183" s="535" t="str">
        <f t="shared" si="295"/>
        <v/>
      </c>
      <c r="CX183" s="535" t="str">
        <f t="shared" si="295"/>
        <v/>
      </c>
      <c r="CY183" s="536" t="str">
        <f t="shared" si="295"/>
        <v/>
      </c>
      <c r="CZ183" s="536" t="str">
        <f t="shared" si="295"/>
        <v/>
      </c>
      <c r="DA183" s="536" t="str">
        <f t="shared" si="295"/>
        <v/>
      </c>
      <c r="DB183" s="535" t="str">
        <f t="shared" si="296"/>
        <v/>
      </c>
      <c r="DC183" s="535" t="str">
        <f t="shared" si="296"/>
        <v/>
      </c>
      <c r="DD183" s="535" t="str">
        <f t="shared" si="296"/>
        <v/>
      </c>
      <c r="DE183" s="535" t="str">
        <f t="shared" si="296"/>
        <v/>
      </c>
      <c r="DF183" s="535" t="str">
        <f t="shared" si="296"/>
        <v/>
      </c>
      <c r="DG183" s="534" t="str">
        <f t="shared" si="296"/>
        <v/>
      </c>
      <c r="DH183" s="533" t="str">
        <f t="shared" si="296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4"/>
        <v/>
      </c>
      <c r="CF184" s="81" t="str">
        <f t="shared" si="294"/>
        <v/>
      </c>
      <c r="CG184" s="81" t="str">
        <f t="shared" si="294"/>
        <v/>
      </c>
      <c r="CH184" s="145" t="str">
        <f t="shared" si="294"/>
        <v/>
      </c>
      <c r="CI184" s="145" t="str">
        <f t="shared" si="294"/>
        <v/>
      </c>
      <c r="CJ184" s="145" t="str">
        <f t="shared" si="294"/>
        <v/>
      </c>
      <c r="CK184" s="81" t="str">
        <f t="shared" si="294"/>
        <v/>
      </c>
      <c r="CL184" s="81" t="str">
        <f t="shared" si="294"/>
        <v/>
      </c>
      <c r="CM184" s="81" t="str">
        <f t="shared" si="294"/>
        <v/>
      </c>
      <c r="CN184" s="81" t="str">
        <f t="shared" si="294"/>
        <v/>
      </c>
      <c r="CO184" s="81" t="str">
        <f t="shared" si="294"/>
        <v/>
      </c>
      <c r="CP184" s="80" t="str">
        <f t="shared" si="294"/>
        <v/>
      </c>
      <c r="CQ184" s="509" t="str">
        <f t="shared" si="294"/>
        <v/>
      </c>
      <c r="CR184" s="533" t="str">
        <f t="shared" si="295"/>
        <v/>
      </c>
      <c r="CS184" s="534" t="str">
        <f t="shared" si="295"/>
        <v/>
      </c>
      <c r="CT184" s="535" t="str">
        <f t="shared" si="295"/>
        <v/>
      </c>
      <c r="CU184" s="535" t="str">
        <f t="shared" si="295"/>
        <v/>
      </c>
      <c r="CV184" s="535" t="str">
        <f t="shared" si="295"/>
        <v/>
      </c>
      <c r="CW184" s="535" t="str">
        <f t="shared" si="295"/>
        <v/>
      </c>
      <c r="CX184" s="535" t="str">
        <f t="shared" si="295"/>
        <v/>
      </c>
      <c r="CY184" s="536" t="str">
        <f t="shared" si="295"/>
        <v/>
      </c>
      <c r="CZ184" s="536" t="str">
        <f t="shared" si="295"/>
        <v/>
      </c>
      <c r="DA184" s="536" t="str">
        <f t="shared" si="295"/>
        <v/>
      </c>
      <c r="DB184" s="535" t="str">
        <f t="shared" si="296"/>
        <v/>
      </c>
      <c r="DC184" s="535" t="str">
        <f t="shared" si="296"/>
        <v/>
      </c>
      <c r="DD184" s="535" t="str">
        <f t="shared" si="296"/>
        <v/>
      </c>
      <c r="DE184" s="535" t="str">
        <f t="shared" si="296"/>
        <v/>
      </c>
      <c r="DF184" s="535" t="str">
        <f t="shared" si="296"/>
        <v/>
      </c>
      <c r="DG184" s="534" t="str">
        <f t="shared" si="296"/>
        <v/>
      </c>
      <c r="DH184" s="533" t="str">
        <f t="shared" si="296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297">IF(B182="","",B181*B182*B183*B184)</f>
        <v/>
      </c>
      <c r="C185" s="870" t="str">
        <f t="shared" si="297"/>
        <v/>
      </c>
      <c r="D185" s="870" t="str">
        <f t="shared" si="297"/>
        <v/>
      </c>
      <c r="E185" s="870" t="str">
        <f t="shared" si="297"/>
        <v/>
      </c>
      <c r="F185" s="870" t="str">
        <f t="shared" si="297"/>
        <v/>
      </c>
      <c r="G185" s="870" t="str">
        <f t="shared" si="297"/>
        <v/>
      </c>
      <c r="H185" s="870" t="str">
        <f t="shared" si="297"/>
        <v/>
      </c>
      <c r="I185" s="870" t="str">
        <f t="shared" si="297"/>
        <v/>
      </c>
      <c r="J185" s="870" t="str">
        <f t="shared" si="297"/>
        <v/>
      </c>
      <c r="K185" s="870" t="str">
        <f t="shared" si="297"/>
        <v/>
      </c>
      <c r="L185" s="870" t="str">
        <f t="shared" si="297"/>
        <v/>
      </c>
      <c r="M185" s="870" t="str">
        <f t="shared" si="297"/>
        <v/>
      </c>
      <c r="N185" s="870" t="str">
        <f t="shared" si="297"/>
        <v/>
      </c>
      <c r="O185" s="870" t="str">
        <f t="shared" si="297"/>
        <v/>
      </c>
      <c r="P185" s="870" t="str">
        <f t="shared" si="297"/>
        <v/>
      </c>
      <c r="Q185" s="870" t="str">
        <f t="shared" si="297"/>
        <v/>
      </c>
      <c r="R185" s="870" t="str">
        <f t="shared" si="297"/>
        <v/>
      </c>
      <c r="S185" s="858"/>
      <c r="T185" s="870" t="str">
        <f t="shared" ref="T185:AC185" si="298">IF(T182="","",T181*T182*T183*T184)</f>
        <v/>
      </c>
      <c r="U185" s="870" t="str">
        <f t="shared" si="298"/>
        <v/>
      </c>
      <c r="V185" s="870" t="str">
        <f t="shared" si="298"/>
        <v/>
      </c>
      <c r="W185" s="870" t="str">
        <f t="shared" si="298"/>
        <v/>
      </c>
      <c r="X185" s="870" t="str">
        <f t="shared" si="298"/>
        <v/>
      </c>
      <c r="Y185" s="870" t="str">
        <f t="shared" si="298"/>
        <v/>
      </c>
      <c r="Z185" s="870" t="str">
        <f t="shared" si="298"/>
        <v/>
      </c>
      <c r="AA185" s="870" t="str">
        <f t="shared" si="298"/>
        <v/>
      </c>
      <c r="AB185" s="870" t="str">
        <f t="shared" si="298"/>
        <v/>
      </c>
      <c r="AC185" s="870" t="str">
        <f t="shared" si="298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299">IF(AL182="","",AL181*AL182*AL183*AL184)</f>
        <v/>
      </c>
      <c r="AM185" s="870" t="str">
        <f t="shared" si="299"/>
        <v/>
      </c>
      <c r="AN185" s="870" t="str">
        <f t="shared" si="299"/>
        <v/>
      </c>
      <c r="AO185" s="870" t="str">
        <f t="shared" si="299"/>
        <v/>
      </c>
      <c r="AP185" s="870" t="str">
        <f t="shared" si="299"/>
        <v/>
      </c>
      <c r="AQ185" s="870" t="str">
        <f t="shared" si="299"/>
        <v/>
      </c>
      <c r="AR185" s="870" t="str">
        <f t="shared" si="299"/>
        <v/>
      </c>
      <c r="AS185" s="870" t="str">
        <f t="shared" si="299"/>
        <v/>
      </c>
      <c r="AT185" s="870" t="str">
        <f t="shared" si="299"/>
        <v/>
      </c>
      <c r="AU185" s="870" t="str">
        <f t="shared" si="299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0">IF(BD182="","",BD181*BD182*BD183*BD184)</f>
        <v/>
      </c>
      <c r="BE185" s="870" t="str">
        <f t="shared" si="300"/>
        <v/>
      </c>
      <c r="BF185" s="870" t="str">
        <f t="shared" si="300"/>
        <v/>
      </c>
      <c r="BG185" s="870" t="str">
        <f t="shared" si="300"/>
        <v/>
      </c>
      <c r="BH185" s="870" t="str">
        <f t="shared" si="300"/>
        <v/>
      </c>
      <c r="BI185" s="870" t="str">
        <f t="shared" si="300"/>
        <v/>
      </c>
      <c r="BJ185" s="870" t="str">
        <f t="shared" si="300"/>
        <v/>
      </c>
      <c r="BK185" s="870" t="str">
        <f t="shared" si="300"/>
        <v/>
      </c>
      <c r="BL185" s="870" t="str">
        <f t="shared" si="300"/>
        <v/>
      </c>
      <c r="BM185" s="870" t="str">
        <f t="shared" si="300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4"/>
        <v/>
      </c>
      <c r="CF185" s="81" t="str">
        <f t="shared" si="294"/>
        <v/>
      </c>
      <c r="CG185" s="81" t="str">
        <f t="shared" si="294"/>
        <v/>
      </c>
      <c r="CH185" s="145" t="str">
        <f t="shared" si="294"/>
        <v/>
      </c>
      <c r="CI185" s="145" t="str">
        <f t="shared" si="294"/>
        <v/>
      </c>
      <c r="CJ185" s="145" t="str">
        <f t="shared" si="294"/>
        <v/>
      </c>
      <c r="CK185" s="81" t="str">
        <f t="shared" si="294"/>
        <v/>
      </c>
      <c r="CL185" s="81" t="str">
        <f t="shared" si="294"/>
        <v/>
      </c>
      <c r="CM185" s="81" t="str">
        <f t="shared" si="294"/>
        <v/>
      </c>
      <c r="CN185" s="81" t="str">
        <f t="shared" si="294"/>
        <v/>
      </c>
      <c r="CO185" s="81" t="str">
        <f t="shared" si="294"/>
        <v/>
      </c>
      <c r="CP185" s="80" t="str">
        <f t="shared" si="294"/>
        <v/>
      </c>
      <c r="CQ185" s="509" t="str">
        <f t="shared" si="294"/>
        <v/>
      </c>
      <c r="CR185" s="533" t="str">
        <f t="shared" si="295"/>
        <v/>
      </c>
      <c r="CS185" s="534" t="str">
        <f t="shared" si="295"/>
        <v/>
      </c>
      <c r="CT185" s="535" t="str">
        <f t="shared" si="295"/>
        <v/>
      </c>
      <c r="CU185" s="535" t="str">
        <f t="shared" si="295"/>
        <v/>
      </c>
      <c r="CV185" s="535" t="str">
        <f t="shared" si="295"/>
        <v/>
      </c>
      <c r="CW185" s="535" t="str">
        <f t="shared" si="295"/>
        <v/>
      </c>
      <c r="CX185" s="535" t="str">
        <f t="shared" si="295"/>
        <v/>
      </c>
      <c r="CY185" s="536" t="str">
        <f t="shared" si="295"/>
        <v/>
      </c>
      <c r="CZ185" s="536" t="str">
        <f t="shared" si="295"/>
        <v/>
      </c>
      <c r="DA185" s="536" t="str">
        <f t="shared" si="295"/>
        <v/>
      </c>
      <c r="DB185" s="535" t="str">
        <f t="shared" si="296"/>
        <v/>
      </c>
      <c r="DC185" s="535" t="str">
        <f t="shared" si="296"/>
        <v/>
      </c>
      <c r="DD185" s="535" t="str">
        <f t="shared" si="296"/>
        <v/>
      </c>
      <c r="DE185" s="535" t="str">
        <f t="shared" si="296"/>
        <v/>
      </c>
      <c r="DF185" s="535" t="str">
        <f t="shared" si="296"/>
        <v/>
      </c>
      <c r="DG185" s="534" t="str">
        <f t="shared" si="296"/>
        <v/>
      </c>
      <c r="DH185" s="533" t="str">
        <f t="shared" si="296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1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1"/>
        <v/>
      </c>
      <c r="CF187" s="81" t="str">
        <f t="shared" si="301"/>
        <v/>
      </c>
      <c r="CG187" s="81" t="str">
        <f t="shared" si="301"/>
        <v/>
      </c>
      <c r="CH187" s="145" t="str">
        <f t="shared" si="301"/>
        <v/>
      </c>
      <c r="CI187" s="145" t="str">
        <f t="shared" si="301"/>
        <v/>
      </c>
      <c r="CJ187" s="145" t="str">
        <f t="shared" si="301"/>
        <v/>
      </c>
      <c r="CK187" s="81" t="str">
        <f t="shared" si="301"/>
        <v/>
      </c>
      <c r="CL187" s="81" t="str">
        <f t="shared" si="301"/>
        <v/>
      </c>
      <c r="CM187" s="81" t="str">
        <f t="shared" si="301"/>
        <v/>
      </c>
      <c r="CN187" s="81" t="str">
        <f t="shared" si="301"/>
        <v/>
      </c>
      <c r="CO187" s="81" t="str">
        <f t="shared" si="301"/>
        <v/>
      </c>
      <c r="CP187" s="80" t="str">
        <f t="shared" si="301"/>
        <v/>
      </c>
      <c r="CQ187" s="509" t="str">
        <f t="shared" ref="CE187:CQ191" si="302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3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3"/>
        <v/>
      </c>
      <c r="CT187" s="535" t="str">
        <f t="shared" si="303"/>
        <v/>
      </c>
      <c r="CU187" s="535" t="str">
        <f t="shared" si="303"/>
        <v/>
      </c>
      <c r="CV187" s="535" t="str">
        <f t="shared" si="303"/>
        <v/>
      </c>
      <c r="CW187" s="535" t="str">
        <f t="shared" si="303"/>
        <v/>
      </c>
      <c r="CX187" s="535" t="str">
        <f t="shared" si="303"/>
        <v/>
      </c>
      <c r="CY187" s="536" t="str">
        <f t="shared" si="303"/>
        <v/>
      </c>
      <c r="CZ187" s="536" t="str">
        <f t="shared" si="303"/>
        <v/>
      </c>
      <c r="DA187" s="536" t="str">
        <f t="shared" si="303"/>
        <v/>
      </c>
      <c r="DB187" s="535" t="str">
        <f t="shared" ref="DB187:DH191" si="304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4"/>
        <v/>
      </c>
      <c r="DD187" s="535" t="str">
        <f t="shared" si="304"/>
        <v/>
      </c>
      <c r="DE187" s="535" t="str">
        <f t="shared" si="304"/>
        <v/>
      </c>
      <c r="DF187" s="535" t="str">
        <f t="shared" si="304"/>
        <v/>
      </c>
      <c r="DG187" s="534" t="str">
        <f t="shared" si="304"/>
        <v/>
      </c>
      <c r="DH187" s="533" t="str">
        <f t="shared" si="304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2"/>
        <v/>
      </c>
      <c r="CF188" s="81" t="str">
        <f t="shared" si="302"/>
        <v/>
      </c>
      <c r="CG188" s="81" t="str">
        <f t="shared" si="302"/>
        <v/>
      </c>
      <c r="CH188" s="145" t="str">
        <f t="shared" si="302"/>
        <v/>
      </c>
      <c r="CI188" s="145" t="str">
        <f t="shared" si="302"/>
        <v/>
      </c>
      <c r="CJ188" s="145" t="str">
        <f t="shared" si="302"/>
        <v/>
      </c>
      <c r="CK188" s="81" t="str">
        <f t="shared" si="302"/>
        <v/>
      </c>
      <c r="CL188" s="81" t="str">
        <f t="shared" si="302"/>
        <v/>
      </c>
      <c r="CM188" s="81" t="str">
        <f t="shared" si="302"/>
        <v/>
      </c>
      <c r="CN188" s="81" t="str">
        <f t="shared" si="302"/>
        <v/>
      </c>
      <c r="CO188" s="81" t="str">
        <f t="shared" si="302"/>
        <v/>
      </c>
      <c r="CP188" s="80" t="str">
        <f t="shared" si="302"/>
        <v/>
      </c>
      <c r="CQ188" s="509" t="str">
        <f t="shared" si="302"/>
        <v/>
      </c>
      <c r="CR188" s="533" t="str">
        <f t="shared" si="303"/>
        <v/>
      </c>
      <c r="CS188" s="534" t="str">
        <f t="shared" si="303"/>
        <v/>
      </c>
      <c r="CT188" s="535" t="str">
        <f t="shared" si="303"/>
        <v/>
      </c>
      <c r="CU188" s="535" t="str">
        <f t="shared" si="303"/>
        <v/>
      </c>
      <c r="CV188" s="535" t="str">
        <f t="shared" si="303"/>
        <v/>
      </c>
      <c r="CW188" s="535" t="str">
        <f t="shared" si="303"/>
        <v/>
      </c>
      <c r="CX188" s="535" t="str">
        <f t="shared" si="303"/>
        <v/>
      </c>
      <c r="CY188" s="536" t="str">
        <f t="shared" si="303"/>
        <v/>
      </c>
      <c r="CZ188" s="536" t="str">
        <f t="shared" si="303"/>
        <v/>
      </c>
      <c r="DA188" s="536" t="str">
        <f t="shared" si="303"/>
        <v/>
      </c>
      <c r="DB188" s="535" t="str">
        <f t="shared" si="304"/>
        <v/>
      </c>
      <c r="DC188" s="535" t="str">
        <f t="shared" si="304"/>
        <v/>
      </c>
      <c r="DD188" s="535" t="str">
        <f t="shared" si="304"/>
        <v/>
      </c>
      <c r="DE188" s="535" t="str">
        <f t="shared" si="304"/>
        <v/>
      </c>
      <c r="DF188" s="535" t="str">
        <f t="shared" si="304"/>
        <v/>
      </c>
      <c r="DG188" s="534" t="str">
        <f t="shared" si="304"/>
        <v/>
      </c>
      <c r="DH188" s="533" t="str">
        <f t="shared" si="304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2"/>
        <v/>
      </c>
      <c r="CF189" s="81" t="str">
        <f t="shared" si="302"/>
        <v/>
      </c>
      <c r="CG189" s="81" t="str">
        <f t="shared" si="302"/>
        <v/>
      </c>
      <c r="CH189" s="145" t="str">
        <f t="shared" si="302"/>
        <v/>
      </c>
      <c r="CI189" s="145" t="str">
        <f t="shared" si="302"/>
        <v/>
      </c>
      <c r="CJ189" s="145" t="str">
        <f t="shared" si="302"/>
        <v/>
      </c>
      <c r="CK189" s="81" t="str">
        <f t="shared" si="302"/>
        <v/>
      </c>
      <c r="CL189" s="81" t="str">
        <f t="shared" si="302"/>
        <v/>
      </c>
      <c r="CM189" s="81" t="str">
        <f t="shared" si="302"/>
        <v/>
      </c>
      <c r="CN189" s="81" t="str">
        <f t="shared" si="302"/>
        <v/>
      </c>
      <c r="CO189" s="81" t="str">
        <f t="shared" si="302"/>
        <v/>
      </c>
      <c r="CP189" s="80" t="str">
        <f t="shared" si="302"/>
        <v/>
      </c>
      <c r="CQ189" s="509" t="str">
        <f t="shared" si="302"/>
        <v/>
      </c>
      <c r="CR189" s="533" t="str">
        <f t="shared" si="303"/>
        <v/>
      </c>
      <c r="CS189" s="534" t="str">
        <f t="shared" si="303"/>
        <v/>
      </c>
      <c r="CT189" s="535" t="str">
        <f t="shared" si="303"/>
        <v/>
      </c>
      <c r="CU189" s="535" t="str">
        <f t="shared" si="303"/>
        <v/>
      </c>
      <c r="CV189" s="535" t="str">
        <f t="shared" si="303"/>
        <v/>
      </c>
      <c r="CW189" s="535" t="str">
        <f t="shared" si="303"/>
        <v/>
      </c>
      <c r="CX189" s="535" t="str">
        <f t="shared" si="303"/>
        <v/>
      </c>
      <c r="CY189" s="536" t="str">
        <f t="shared" si="303"/>
        <v/>
      </c>
      <c r="CZ189" s="536" t="str">
        <f t="shared" si="303"/>
        <v/>
      </c>
      <c r="DA189" s="536" t="str">
        <f t="shared" si="303"/>
        <v/>
      </c>
      <c r="DB189" s="535" t="str">
        <f t="shared" si="304"/>
        <v/>
      </c>
      <c r="DC189" s="535" t="str">
        <f t="shared" si="304"/>
        <v/>
      </c>
      <c r="DD189" s="535" t="str">
        <f t="shared" si="304"/>
        <v/>
      </c>
      <c r="DE189" s="535" t="str">
        <f t="shared" si="304"/>
        <v/>
      </c>
      <c r="DF189" s="535" t="str">
        <f t="shared" si="304"/>
        <v/>
      </c>
      <c r="DG189" s="534" t="str">
        <f t="shared" si="304"/>
        <v/>
      </c>
      <c r="DH189" s="533" t="str">
        <f t="shared" si="304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2"/>
        <v/>
      </c>
      <c r="CF190" s="81" t="str">
        <f t="shared" si="302"/>
        <v/>
      </c>
      <c r="CG190" s="81" t="str">
        <f t="shared" si="302"/>
        <v/>
      </c>
      <c r="CH190" s="145" t="str">
        <f t="shared" si="302"/>
        <v/>
      </c>
      <c r="CI190" s="145" t="str">
        <f t="shared" si="302"/>
        <v/>
      </c>
      <c r="CJ190" s="145" t="str">
        <f t="shared" si="302"/>
        <v/>
      </c>
      <c r="CK190" s="81" t="str">
        <f t="shared" si="302"/>
        <v/>
      </c>
      <c r="CL190" s="81" t="str">
        <f t="shared" si="302"/>
        <v/>
      </c>
      <c r="CM190" s="81" t="str">
        <f t="shared" si="302"/>
        <v/>
      </c>
      <c r="CN190" s="81" t="str">
        <f t="shared" si="302"/>
        <v/>
      </c>
      <c r="CO190" s="81" t="str">
        <f t="shared" si="302"/>
        <v/>
      </c>
      <c r="CP190" s="80" t="str">
        <f t="shared" si="302"/>
        <v/>
      </c>
      <c r="CQ190" s="509" t="str">
        <f t="shared" si="302"/>
        <v/>
      </c>
      <c r="CR190" s="533" t="str">
        <f t="shared" si="303"/>
        <v/>
      </c>
      <c r="CS190" s="534" t="str">
        <f t="shared" si="303"/>
        <v/>
      </c>
      <c r="CT190" s="535" t="str">
        <f t="shared" si="303"/>
        <v/>
      </c>
      <c r="CU190" s="535" t="str">
        <f t="shared" si="303"/>
        <v/>
      </c>
      <c r="CV190" s="535" t="str">
        <f t="shared" si="303"/>
        <v/>
      </c>
      <c r="CW190" s="535" t="str">
        <f t="shared" si="303"/>
        <v/>
      </c>
      <c r="CX190" s="535" t="str">
        <f t="shared" si="303"/>
        <v/>
      </c>
      <c r="CY190" s="536" t="str">
        <f t="shared" si="303"/>
        <v/>
      </c>
      <c r="CZ190" s="536" t="str">
        <f t="shared" si="303"/>
        <v/>
      </c>
      <c r="DA190" s="536" t="str">
        <f t="shared" si="303"/>
        <v/>
      </c>
      <c r="DB190" s="535" t="str">
        <f t="shared" si="304"/>
        <v/>
      </c>
      <c r="DC190" s="535" t="str">
        <f t="shared" si="304"/>
        <v/>
      </c>
      <c r="DD190" s="535" t="str">
        <f t="shared" si="304"/>
        <v/>
      </c>
      <c r="DE190" s="535" t="str">
        <f t="shared" si="304"/>
        <v/>
      </c>
      <c r="DF190" s="535" t="str">
        <f t="shared" si="304"/>
        <v/>
      </c>
      <c r="DG190" s="534" t="str">
        <f t="shared" si="304"/>
        <v/>
      </c>
      <c r="DH190" s="533" t="str">
        <f t="shared" si="304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5">IF(B188="","",B187*B188*B189*B190)</f>
        <v/>
      </c>
      <c r="C191" s="870" t="str">
        <f t="shared" si="305"/>
        <v/>
      </c>
      <c r="D191" s="870" t="str">
        <f t="shared" si="305"/>
        <v/>
      </c>
      <c r="E191" s="870" t="str">
        <f t="shared" si="305"/>
        <v/>
      </c>
      <c r="F191" s="870" t="str">
        <f t="shared" si="305"/>
        <v/>
      </c>
      <c r="G191" s="870" t="str">
        <f t="shared" si="305"/>
        <v/>
      </c>
      <c r="H191" s="870" t="str">
        <f t="shared" si="305"/>
        <v/>
      </c>
      <c r="I191" s="870" t="str">
        <f t="shared" si="305"/>
        <v/>
      </c>
      <c r="J191" s="870" t="str">
        <f t="shared" si="305"/>
        <v/>
      </c>
      <c r="K191" s="870" t="str">
        <f t="shared" si="305"/>
        <v/>
      </c>
      <c r="L191" s="870" t="str">
        <f t="shared" si="305"/>
        <v/>
      </c>
      <c r="M191" s="870" t="str">
        <f t="shared" si="305"/>
        <v/>
      </c>
      <c r="N191" s="870" t="str">
        <f t="shared" si="305"/>
        <v/>
      </c>
      <c r="O191" s="870" t="str">
        <f t="shared" si="305"/>
        <v/>
      </c>
      <c r="P191" s="870" t="str">
        <f t="shared" si="305"/>
        <v/>
      </c>
      <c r="Q191" s="870" t="str">
        <f t="shared" si="305"/>
        <v/>
      </c>
      <c r="R191" s="870" t="str">
        <f t="shared" si="305"/>
        <v/>
      </c>
      <c r="S191" s="858"/>
      <c r="T191" s="870" t="str">
        <f t="shared" ref="T191:AC191" si="306">IF(T188="","",T187*T188*T189*T190)</f>
        <v/>
      </c>
      <c r="U191" s="870" t="str">
        <f t="shared" si="306"/>
        <v/>
      </c>
      <c r="V191" s="870" t="str">
        <f t="shared" si="306"/>
        <v/>
      </c>
      <c r="W191" s="870" t="str">
        <f t="shared" si="306"/>
        <v/>
      </c>
      <c r="X191" s="870" t="str">
        <f t="shared" si="306"/>
        <v/>
      </c>
      <c r="Y191" s="870" t="str">
        <f t="shared" si="306"/>
        <v/>
      </c>
      <c r="Z191" s="870" t="str">
        <f t="shared" si="306"/>
        <v/>
      </c>
      <c r="AA191" s="870" t="str">
        <f t="shared" si="306"/>
        <v/>
      </c>
      <c r="AB191" s="870" t="str">
        <f t="shared" si="306"/>
        <v/>
      </c>
      <c r="AC191" s="870" t="str">
        <f t="shared" si="306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07">IF(AL188="","",AL187*AL188*AL189*AL190)</f>
        <v/>
      </c>
      <c r="AM191" s="870" t="str">
        <f t="shared" si="307"/>
        <v/>
      </c>
      <c r="AN191" s="870" t="str">
        <f t="shared" si="307"/>
        <v/>
      </c>
      <c r="AO191" s="870" t="str">
        <f t="shared" si="307"/>
        <v/>
      </c>
      <c r="AP191" s="870" t="str">
        <f t="shared" si="307"/>
        <v/>
      </c>
      <c r="AQ191" s="870" t="str">
        <f t="shared" si="307"/>
        <v/>
      </c>
      <c r="AR191" s="870" t="str">
        <f t="shared" si="307"/>
        <v/>
      </c>
      <c r="AS191" s="870" t="str">
        <f t="shared" si="307"/>
        <v/>
      </c>
      <c r="AT191" s="870" t="str">
        <f t="shared" si="307"/>
        <v/>
      </c>
      <c r="AU191" s="870" t="str">
        <f t="shared" si="307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08">IF(BD188="","",BD187*BD188*BD189*BD190)</f>
        <v/>
      </c>
      <c r="BE191" s="870" t="str">
        <f t="shared" si="308"/>
        <v/>
      </c>
      <c r="BF191" s="870" t="str">
        <f t="shared" si="308"/>
        <v/>
      </c>
      <c r="BG191" s="870" t="str">
        <f t="shared" si="308"/>
        <v/>
      </c>
      <c r="BH191" s="870" t="str">
        <f t="shared" si="308"/>
        <v/>
      </c>
      <c r="BI191" s="870" t="str">
        <f t="shared" si="308"/>
        <v/>
      </c>
      <c r="BJ191" s="870" t="str">
        <f t="shared" si="308"/>
        <v/>
      </c>
      <c r="BK191" s="870" t="str">
        <f t="shared" si="308"/>
        <v/>
      </c>
      <c r="BL191" s="870" t="str">
        <f t="shared" si="308"/>
        <v/>
      </c>
      <c r="BM191" s="870" t="str">
        <f t="shared" si="308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2"/>
        <v/>
      </c>
      <c r="CF191" s="81" t="str">
        <f t="shared" si="302"/>
        <v/>
      </c>
      <c r="CG191" s="81" t="str">
        <f t="shared" si="302"/>
        <v/>
      </c>
      <c r="CH191" s="145" t="str">
        <f t="shared" si="302"/>
        <v/>
      </c>
      <c r="CI191" s="145" t="str">
        <f t="shared" si="302"/>
        <v/>
      </c>
      <c r="CJ191" s="145" t="str">
        <f t="shared" si="302"/>
        <v/>
      </c>
      <c r="CK191" s="81" t="str">
        <f t="shared" si="302"/>
        <v/>
      </c>
      <c r="CL191" s="81" t="str">
        <f t="shared" si="302"/>
        <v/>
      </c>
      <c r="CM191" s="81" t="str">
        <f t="shared" si="302"/>
        <v/>
      </c>
      <c r="CN191" s="81" t="str">
        <f t="shared" si="302"/>
        <v/>
      </c>
      <c r="CO191" s="81" t="str">
        <f t="shared" si="302"/>
        <v/>
      </c>
      <c r="CP191" s="80" t="str">
        <f t="shared" si="302"/>
        <v/>
      </c>
      <c r="CQ191" s="509" t="str">
        <f t="shared" si="302"/>
        <v/>
      </c>
      <c r="CR191" s="533" t="str">
        <f t="shared" si="303"/>
        <v/>
      </c>
      <c r="CS191" s="534" t="str">
        <f t="shared" si="303"/>
        <v/>
      </c>
      <c r="CT191" s="535" t="str">
        <f t="shared" si="303"/>
        <v/>
      </c>
      <c r="CU191" s="535" t="str">
        <f t="shared" si="303"/>
        <v/>
      </c>
      <c r="CV191" s="535" t="str">
        <f t="shared" si="303"/>
        <v/>
      </c>
      <c r="CW191" s="535" t="str">
        <f t="shared" si="303"/>
        <v/>
      </c>
      <c r="CX191" s="535" t="str">
        <f t="shared" si="303"/>
        <v/>
      </c>
      <c r="CY191" s="536" t="str">
        <f t="shared" si="303"/>
        <v/>
      </c>
      <c r="CZ191" s="536" t="str">
        <f t="shared" si="303"/>
        <v/>
      </c>
      <c r="DA191" s="536" t="str">
        <f t="shared" si="303"/>
        <v/>
      </c>
      <c r="DB191" s="535" t="str">
        <f t="shared" si="304"/>
        <v/>
      </c>
      <c r="DC191" s="535" t="str">
        <f t="shared" si="304"/>
        <v/>
      </c>
      <c r="DD191" s="535" t="str">
        <f t="shared" si="304"/>
        <v/>
      </c>
      <c r="DE191" s="535" t="str">
        <f t="shared" si="304"/>
        <v/>
      </c>
      <c r="DF191" s="535" t="str">
        <f t="shared" si="304"/>
        <v/>
      </c>
      <c r="DG191" s="534" t="str">
        <f t="shared" si="304"/>
        <v/>
      </c>
      <c r="DH191" s="533" t="str">
        <f t="shared" si="304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0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09"/>
        <v/>
      </c>
      <c r="CF193" s="81" t="str">
        <f t="shared" si="309"/>
        <v/>
      </c>
      <c r="CG193" s="81" t="str">
        <f t="shared" si="309"/>
        <v/>
      </c>
      <c r="CH193" s="145" t="str">
        <f t="shared" si="309"/>
        <v/>
      </c>
      <c r="CI193" s="145" t="str">
        <f t="shared" si="309"/>
        <v/>
      </c>
      <c r="CJ193" s="145" t="str">
        <f t="shared" si="309"/>
        <v/>
      </c>
      <c r="CK193" s="81" t="str">
        <f t="shared" si="309"/>
        <v/>
      </c>
      <c r="CL193" s="81" t="str">
        <f t="shared" si="309"/>
        <v/>
      </c>
      <c r="CM193" s="81" t="str">
        <f t="shared" si="309"/>
        <v/>
      </c>
      <c r="CN193" s="81" t="str">
        <f t="shared" si="309"/>
        <v/>
      </c>
      <c r="CO193" s="81" t="str">
        <f t="shared" si="309"/>
        <v/>
      </c>
      <c r="CP193" s="80" t="str">
        <f t="shared" si="309"/>
        <v/>
      </c>
      <c r="CQ193" s="509" t="str">
        <f t="shared" ref="CE193:CQ197" si="310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1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1"/>
        <v/>
      </c>
      <c r="CT193" s="535" t="str">
        <f t="shared" si="311"/>
        <v/>
      </c>
      <c r="CU193" s="535" t="str">
        <f t="shared" si="311"/>
        <v/>
      </c>
      <c r="CV193" s="535" t="str">
        <f t="shared" si="311"/>
        <v/>
      </c>
      <c r="CW193" s="535" t="str">
        <f t="shared" si="311"/>
        <v/>
      </c>
      <c r="CX193" s="535" t="str">
        <f t="shared" si="311"/>
        <v/>
      </c>
      <c r="CY193" s="536" t="str">
        <f t="shared" si="311"/>
        <v/>
      </c>
      <c r="CZ193" s="536" t="str">
        <f t="shared" si="311"/>
        <v/>
      </c>
      <c r="DA193" s="536" t="str">
        <f t="shared" si="311"/>
        <v/>
      </c>
      <c r="DB193" s="535" t="str">
        <f t="shared" ref="DB193:DH197" si="312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2"/>
        <v/>
      </c>
      <c r="DD193" s="535" t="str">
        <f t="shared" si="312"/>
        <v/>
      </c>
      <c r="DE193" s="535" t="str">
        <f t="shared" si="312"/>
        <v/>
      </c>
      <c r="DF193" s="535" t="str">
        <f t="shared" si="312"/>
        <v/>
      </c>
      <c r="DG193" s="534" t="str">
        <f t="shared" si="312"/>
        <v/>
      </c>
      <c r="DH193" s="533" t="str">
        <f t="shared" si="312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0"/>
        <v/>
      </c>
      <c r="CF194" s="81" t="str">
        <f t="shared" si="310"/>
        <v/>
      </c>
      <c r="CG194" s="81" t="str">
        <f t="shared" si="310"/>
        <v/>
      </c>
      <c r="CH194" s="145" t="str">
        <f t="shared" si="310"/>
        <v/>
      </c>
      <c r="CI194" s="145" t="str">
        <f t="shared" si="310"/>
        <v/>
      </c>
      <c r="CJ194" s="145" t="str">
        <f t="shared" si="310"/>
        <v/>
      </c>
      <c r="CK194" s="81" t="str">
        <f t="shared" si="310"/>
        <v/>
      </c>
      <c r="CL194" s="81" t="str">
        <f t="shared" si="310"/>
        <v/>
      </c>
      <c r="CM194" s="81" t="str">
        <f t="shared" si="310"/>
        <v/>
      </c>
      <c r="CN194" s="81" t="str">
        <f t="shared" si="310"/>
        <v/>
      </c>
      <c r="CO194" s="81" t="str">
        <f t="shared" si="310"/>
        <v/>
      </c>
      <c r="CP194" s="80" t="str">
        <f t="shared" si="310"/>
        <v/>
      </c>
      <c r="CQ194" s="509" t="str">
        <f t="shared" si="310"/>
        <v/>
      </c>
      <c r="CR194" s="533" t="str">
        <f t="shared" si="311"/>
        <v/>
      </c>
      <c r="CS194" s="534" t="str">
        <f t="shared" si="311"/>
        <v/>
      </c>
      <c r="CT194" s="535" t="str">
        <f t="shared" si="311"/>
        <v/>
      </c>
      <c r="CU194" s="535" t="str">
        <f t="shared" si="311"/>
        <v/>
      </c>
      <c r="CV194" s="535" t="str">
        <f t="shared" si="311"/>
        <v/>
      </c>
      <c r="CW194" s="535" t="str">
        <f t="shared" si="311"/>
        <v/>
      </c>
      <c r="CX194" s="535" t="str">
        <f t="shared" si="311"/>
        <v/>
      </c>
      <c r="CY194" s="536" t="str">
        <f t="shared" si="311"/>
        <v/>
      </c>
      <c r="CZ194" s="536" t="str">
        <f t="shared" si="311"/>
        <v/>
      </c>
      <c r="DA194" s="536" t="str">
        <f t="shared" si="311"/>
        <v/>
      </c>
      <c r="DB194" s="535" t="str">
        <f t="shared" si="312"/>
        <v/>
      </c>
      <c r="DC194" s="535" t="str">
        <f t="shared" si="312"/>
        <v/>
      </c>
      <c r="DD194" s="535" t="str">
        <f t="shared" si="312"/>
        <v/>
      </c>
      <c r="DE194" s="535" t="str">
        <f t="shared" si="312"/>
        <v/>
      </c>
      <c r="DF194" s="535" t="str">
        <f t="shared" si="312"/>
        <v/>
      </c>
      <c r="DG194" s="534" t="str">
        <f t="shared" si="312"/>
        <v/>
      </c>
      <c r="DH194" s="533" t="str">
        <f t="shared" si="312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0"/>
        <v/>
      </c>
      <c r="CF195" s="81" t="str">
        <f t="shared" si="310"/>
        <v/>
      </c>
      <c r="CG195" s="81" t="str">
        <f t="shared" si="310"/>
        <v/>
      </c>
      <c r="CH195" s="145" t="str">
        <f t="shared" si="310"/>
        <v/>
      </c>
      <c r="CI195" s="145" t="str">
        <f t="shared" si="310"/>
        <v/>
      </c>
      <c r="CJ195" s="145" t="str">
        <f t="shared" si="310"/>
        <v/>
      </c>
      <c r="CK195" s="81" t="str">
        <f t="shared" si="310"/>
        <v/>
      </c>
      <c r="CL195" s="81" t="str">
        <f t="shared" si="310"/>
        <v/>
      </c>
      <c r="CM195" s="81" t="str">
        <f t="shared" si="310"/>
        <v/>
      </c>
      <c r="CN195" s="81" t="str">
        <f t="shared" si="310"/>
        <v/>
      </c>
      <c r="CO195" s="81" t="str">
        <f t="shared" si="310"/>
        <v/>
      </c>
      <c r="CP195" s="80" t="str">
        <f t="shared" si="310"/>
        <v/>
      </c>
      <c r="CQ195" s="509" t="str">
        <f t="shared" si="310"/>
        <v/>
      </c>
      <c r="CR195" s="533" t="str">
        <f t="shared" si="311"/>
        <v/>
      </c>
      <c r="CS195" s="534" t="str">
        <f t="shared" si="311"/>
        <v/>
      </c>
      <c r="CT195" s="535" t="str">
        <f t="shared" si="311"/>
        <v/>
      </c>
      <c r="CU195" s="535" t="str">
        <f t="shared" si="311"/>
        <v/>
      </c>
      <c r="CV195" s="535" t="str">
        <f t="shared" si="311"/>
        <v/>
      </c>
      <c r="CW195" s="535" t="str">
        <f t="shared" si="311"/>
        <v/>
      </c>
      <c r="CX195" s="535" t="str">
        <f t="shared" si="311"/>
        <v/>
      </c>
      <c r="CY195" s="536" t="str">
        <f t="shared" si="311"/>
        <v/>
      </c>
      <c r="CZ195" s="536" t="str">
        <f t="shared" si="311"/>
        <v/>
      </c>
      <c r="DA195" s="536" t="str">
        <f t="shared" si="311"/>
        <v/>
      </c>
      <c r="DB195" s="535" t="str">
        <f t="shared" si="312"/>
        <v/>
      </c>
      <c r="DC195" s="535" t="str">
        <f t="shared" si="312"/>
        <v/>
      </c>
      <c r="DD195" s="535" t="str">
        <f t="shared" si="312"/>
        <v/>
      </c>
      <c r="DE195" s="535" t="str">
        <f t="shared" si="312"/>
        <v/>
      </c>
      <c r="DF195" s="535" t="str">
        <f t="shared" si="312"/>
        <v/>
      </c>
      <c r="DG195" s="534" t="str">
        <f t="shared" si="312"/>
        <v/>
      </c>
      <c r="DH195" s="533" t="str">
        <f t="shared" si="312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0"/>
        <v/>
      </c>
      <c r="CF196" s="81" t="str">
        <f t="shared" si="310"/>
        <v/>
      </c>
      <c r="CG196" s="81" t="str">
        <f t="shared" si="310"/>
        <v/>
      </c>
      <c r="CH196" s="145" t="str">
        <f t="shared" si="310"/>
        <v/>
      </c>
      <c r="CI196" s="145" t="str">
        <f t="shared" si="310"/>
        <v/>
      </c>
      <c r="CJ196" s="145" t="str">
        <f t="shared" si="310"/>
        <v/>
      </c>
      <c r="CK196" s="81" t="str">
        <f t="shared" si="310"/>
        <v/>
      </c>
      <c r="CL196" s="81" t="str">
        <f t="shared" si="310"/>
        <v/>
      </c>
      <c r="CM196" s="81" t="str">
        <f t="shared" si="310"/>
        <v/>
      </c>
      <c r="CN196" s="81" t="str">
        <f t="shared" si="310"/>
        <v/>
      </c>
      <c r="CO196" s="81" t="str">
        <f t="shared" si="310"/>
        <v/>
      </c>
      <c r="CP196" s="80" t="str">
        <f t="shared" si="310"/>
        <v/>
      </c>
      <c r="CQ196" s="509" t="str">
        <f t="shared" si="310"/>
        <v/>
      </c>
      <c r="CR196" s="533" t="str">
        <f t="shared" si="311"/>
        <v/>
      </c>
      <c r="CS196" s="534" t="str">
        <f t="shared" si="311"/>
        <v/>
      </c>
      <c r="CT196" s="535" t="str">
        <f t="shared" si="311"/>
        <v/>
      </c>
      <c r="CU196" s="535" t="str">
        <f t="shared" si="311"/>
        <v/>
      </c>
      <c r="CV196" s="535" t="str">
        <f t="shared" si="311"/>
        <v/>
      </c>
      <c r="CW196" s="535" t="str">
        <f t="shared" si="311"/>
        <v/>
      </c>
      <c r="CX196" s="535" t="str">
        <f t="shared" si="311"/>
        <v/>
      </c>
      <c r="CY196" s="536" t="str">
        <f t="shared" si="311"/>
        <v/>
      </c>
      <c r="CZ196" s="536" t="str">
        <f t="shared" si="311"/>
        <v/>
      </c>
      <c r="DA196" s="536" t="str">
        <f t="shared" si="311"/>
        <v/>
      </c>
      <c r="DB196" s="535" t="str">
        <f t="shared" si="312"/>
        <v/>
      </c>
      <c r="DC196" s="535" t="str">
        <f t="shared" si="312"/>
        <v/>
      </c>
      <c r="DD196" s="535" t="str">
        <f t="shared" si="312"/>
        <v/>
      </c>
      <c r="DE196" s="535" t="str">
        <f t="shared" si="312"/>
        <v/>
      </c>
      <c r="DF196" s="535" t="str">
        <f t="shared" si="312"/>
        <v/>
      </c>
      <c r="DG196" s="534" t="str">
        <f t="shared" si="312"/>
        <v/>
      </c>
      <c r="DH196" s="533" t="str">
        <f t="shared" si="312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3">IF(B194="","",B193*B194*B195*B196)</f>
        <v/>
      </c>
      <c r="C197" s="870" t="str">
        <f t="shared" si="313"/>
        <v/>
      </c>
      <c r="D197" s="870" t="str">
        <f t="shared" si="313"/>
        <v/>
      </c>
      <c r="E197" s="870" t="str">
        <f t="shared" si="313"/>
        <v/>
      </c>
      <c r="F197" s="870" t="str">
        <f t="shared" si="313"/>
        <v/>
      </c>
      <c r="G197" s="870" t="str">
        <f t="shared" si="313"/>
        <v/>
      </c>
      <c r="H197" s="870" t="str">
        <f t="shared" si="313"/>
        <v/>
      </c>
      <c r="I197" s="870" t="str">
        <f t="shared" si="313"/>
        <v/>
      </c>
      <c r="J197" s="870" t="str">
        <f t="shared" si="313"/>
        <v/>
      </c>
      <c r="K197" s="870" t="str">
        <f t="shared" si="313"/>
        <v/>
      </c>
      <c r="L197" s="870" t="str">
        <f t="shared" si="313"/>
        <v/>
      </c>
      <c r="M197" s="870" t="str">
        <f t="shared" si="313"/>
        <v/>
      </c>
      <c r="N197" s="870" t="str">
        <f t="shared" si="313"/>
        <v/>
      </c>
      <c r="O197" s="870" t="str">
        <f t="shared" si="313"/>
        <v/>
      </c>
      <c r="P197" s="870" t="str">
        <f t="shared" si="313"/>
        <v/>
      </c>
      <c r="Q197" s="870" t="str">
        <f t="shared" si="313"/>
        <v/>
      </c>
      <c r="R197" s="870" t="str">
        <f t="shared" si="313"/>
        <v/>
      </c>
      <c r="S197" s="858"/>
      <c r="T197" s="870" t="str">
        <f t="shared" ref="T197:AC197" si="314">IF(T194="","",T193*T194*T195*T196)</f>
        <v/>
      </c>
      <c r="U197" s="870" t="str">
        <f t="shared" si="314"/>
        <v/>
      </c>
      <c r="V197" s="870" t="str">
        <f t="shared" si="314"/>
        <v/>
      </c>
      <c r="W197" s="870" t="str">
        <f t="shared" si="314"/>
        <v/>
      </c>
      <c r="X197" s="870" t="str">
        <f t="shared" si="314"/>
        <v/>
      </c>
      <c r="Y197" s="870" t="str">
        <f t="shared" si="314"/>
        <v/>
      </c>
      <c r="Z197" s="870" t="str">
        <f t="shared" si="314"/>
        <v/>
      </c>
      <c r="AA197" s="870" t="str">
        <f t="shared" si="314"/>
        <v/>
      </c>
      <c r="AB197" s="870" t="str">
        <f t="shared" si="314"/>
        <v/>
      </c>
      <c r="AC197" s="870" t="str">
        <f t="shared" si="314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5">IF(AL194="","",AL193*AL194*AL195*AL196)</f>
        <v/>
      </c>
      <c r="AM197" s="870" t="str">
        <f t="shared" si="315"/>
        <v/>
      </c>
      <c r="AN197" s="870" t="str">
        <f t="shared" si="315"/>
        <v/>
      </c>
      <c r="AO197" s="870" t="str">
        <f t="shared" si="315"/>
        <v/>
      </c>
      <c r="AP197" s="870" t="str">
        <f t="shared" si="315"/>
        <v/>
      </c>
      <c r="AQ197" s="870" t="str">
        <f t="shared" si="315"/>
        <v/>
      </c>
      <c r="AR197" s="870" t="str">
        <f t="shared" si="315"/>
        <v/>
      </c>
      <c r="AS197" s="870" t="str">
        <f t="shared" si="315"/>
        <v/>
      </c>
      <c r="AT197" s="870" t="str">
        <f t="shared" si="315"/>
        <v/>
      </c>
      <c r="AU197" s="870" t="str">
        <f t="shared" si="315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6">IF(BD194="","",BD193*BD194*BD195*BD196)</f>
        <v/>
      </c>
      <c r="BE197" s="870" t="str">
        <f t="shared" si="316"/>
        <v/>
      </c>
      <c r="BF197" s="870" t="str">
        <f t="shared" si="316"/>
        <v/>
      </c>
      <c r="BG197" s="870" t="str">
        <f t="shared" si="316"/>
        <v/>
      </c>
      <c r="BH197" s="870" t="str">
        <f t="shared" si="316"/>
        <v/>
      </c>
      <c r="BI197" s="870" t="str">
        <f t="shared" si="316"/>
        <v/>
      </c>
      <c r="BJ197" s="870" t="str">
        <f t="shared" si="316"/>
        <v/>
      </c>
      <c r="BK197" s="870" t="str">
        <f t="shared" si="316"/>
        <v/>
      </c>
      <c r="BL197" s="870" t="str">
        <f t="shared" si="316"/>
        <v/>
      </c>
      <c r="BM197" s="870" t="str">
        <f t="shared" si="316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0"/>
        <v/>
      </c>
      <c r="CF197" s="81" t="str">
        <f t="shared" si="310"/>
        <v/>
      </c>
      <c r="CG197" s="81" t="str">
        <f t="shared" si="310"/>
        <v/>
      </c>
      <c r="CH197" s="145" t="str">
        <f t="shared" si="310"/>
        <v/>
      </c>
      <c r="CI197" s="145" t="str">
        <f t="shared" si="310"/>
        <v/>
      </c>
      <c r="CJ197" s="145" t="str">
        <f t="shared" si="310"/>
        <v/>
      </c>
      <c r="CK197" s="81" t="str">
        <f t="shared" si="310"/>
        <v/>
      </c>
      <c r="CL197" s="81" t="str">
        <f t="shared" si="310"/>
        <v/>
      </c>
      <c r="CM197" s="81" t="str">
        <f t="shared" si="310"/>
        <v/>
      </c>
      <c r="CN197" s="81" t="str">
        <f t="shared" si="310"/>
        <v/>
      </c>
      <c r="CO197" s="81" t="str">
        <f t="shared" si="310"/>
        <v/>
      </c>
      <c r="CP197" s="80" t="str">
        <f t="shared" si="310"/>
        <v/>
      </c>
      <c r="CQ197" s="509" t="str">
        <f t="shared" si="310"/>
        <v/>
      </c>
      <c r="CR197" s="533" t="str">
        <f t="shared" si="311"/>
        <v/>
      </c>
      <c r="CS197" s="534" t="str">
        <f t="shared" si="311"/>
        <v/>
      </c>
      <c r="CT197" s="535" t="str">
        <f t="shared" si="311"/>
        <v/>
      </c>
      <c r="CU197" s="535" t="str">
        <f t="shared" si="311"/>
        <v/>
      </c>
      <c r="CV197" s="535" t="str">
        <f t="shared" si="311"/>
        <v/>
      </c>
      <c r="CW197" s="535" t="str">
        <f t="shared" si="311"/>
        <v/>
      </c>
      <c r="CX197" s="535" t="str">
        <f t="shared" si="311"/>
        <v/>
      </c>
      <c r="CY197" s="536" t="str">
        <f t="shared" si="311"/>
        <v/>
      </c>
      <c r="CZ197" s="536" t="str">
        <f t="shared" si="311"/>
        <v/>
      </c>
      <c r="DA197" s="536" t="str">
        <f t="shared" si="311"/>
        <v/>
      </c>
      <c r="DB197" s="535" t="str">
        <f t="shared" si="312"/>
        <v/>
      </c>
      <c r="DC197" s="535" t="str">
        <f t="shared" si="312"/>
        <v/>
      </c>
      <c r="DD197" s="535" t="str">
        <f t="shared" si="312"/>
        <v/>
      </c>
      <c r="DE197" s="535" t="str">
        <f t="shared" si="312"/>
        <v/>
      </c>
      <c r="DF197" s="535" t="str">
        <f t="shared" si="312"/>
        <v/>
      </c>
      <c r="DG197" s="534" t="str">
        <f t="shared" si="312"/>
        <v/>
      </c>
      <c r="DH197" s="533" t="str">
        <f t="shared" si="312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1193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>
        <v>1</v>
      </c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17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7"/>
        <v/>
      </c>
      <c r="CF199" s="81" t="str">
        <f t="shared" si="317"/>
        <v/>
      </c>
      <c r="CG199" s="81" t="str">
        <f t="shared" si="317"/>
        <v/>
      </c>
      <c r="CH199" s="145" t="str">
        <f t="shared" si="317"/>
        <v/>
      </c>
      <c r="CI199" s="145" t="str">
        <f t="shared" si="317"/>
        <v/>
      </c>
      <c r="CJ199" s="145" t="str">
        <f t="shared" si="317"/>
        <v/>
      </c>
      <c r="CK199" s="81" t="str">
        <f t="shared" si="317"/>
        <v/>
      </c>
      <c r="CL199" s="81" t="str">
        <f t="shared" si="317"/>
        <v/>
      </c>
      <c r="CM199" s="81" t="str">
        <f t="shared" si="317"/>
        <v/>
      </c>
      <c r="CN199" s="81" t="str">
        <f t="shared" si="317"/>
        <v/>
      </c>
      <c r="CO199" s="81" t="str">
        <f t="shared" si="317"/>
        <v/>
      </c>
      <c r="CP199" s="80" t="str">
        <f t="shared" si="317"/>
        <v/>
      </c>
      <c r="CQ199" s="509" t="str">
        <f t="shared" ref="CE199:CQ203" si="318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19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19"/>
        <v/>
      </c>
      <c r="CT199" s="535" t="str">
        <f t="shared" si="319"/>
        <v/>
      </c>
      <c r="CU199" s="535" t="str">
        <f t="shared" si="319"/>
        <v/>
      </c>
      <c r="CV199" s="535" t="str">
        <f t="shared" si="319"/>
        <v/>
      </c>
      <c r="CW199" s="535" t="str">
        <f t="shared" si="319"/>
        <v/>
      </c>
      <c r="CX199" s="535" t="str">
        <f t="shared" si="319"/>
        <v/>
      </c>
      <c r="CY199" s="536" t="str">
        <f t="shared" si="319"/>
        <v/>
      </c>
      <c r="CZ199" s="536" t="str">
        <f t="shared" si="319"/>
        <v/>
      </c>
      <c r="DA199" s="536" t="str">
        <f t="shared" si="319"/>
        <v/>
      </c>
      <c r="DB199" s="535" t="str">
        <f t="shared" ref="DB199:DH203" si="320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0"/>
        <v/>
      </c>
      <c r="DD199" s="535" t="str">
        <f t="shared" si="320"/>
        <v/>
      </c>
      <c r="DE199" s="535" t="str">
        <f t="shared" si="320"/>
        <v/>
      </c>
      <c r="DF199" s="535" t="str">
        <f t="shared" si="320"/>
        <v/>
      </c>
      <c r="DG199" s="534" t="str">
        <f t="shared" si="320"/>
        <v/>
      </c>
      <c r="DH199" s="533" t="str">
        <f t="shared" si="320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>
        <v>25</v>
      </c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18"/>
        <v/>
      </c>
      <c r="CF200" s="81" t="str">
        <f t="shared" si="318"/>
        <v/>
      </c>
      <c r="CG200" s="81" t="str">
        <f t="shared" si="318"/>
        <v/>
      </c>
      <c r="CH200" s="145" t="str">
        <f t="shared" si="318"/>
        <v/>
      </c>
      <c r="CI200" s="145" t="str">
        <f t="shared" si="318"/>
        <v/>
      </c>
      <c r="CJ200" s="145" t="str">
        <f t="shared" si="318"/>
        <v/>
      </c>
      <c r="CK200" s="81" t="str">
        <f t="shared" si="318"/>
        <v/>
      </c>
      <c r="CL200" s="81" t="str">
        <f t="shared" si="318"/>
        <v/>
      </c>
      <c r="CM200" s="81" t="str">
        <f t="shared" si="318"/>
        <v/>
      </c>
      <c r="CN200" s="81" t="str">
        <f t="shared" si="318"/>
        <v/>
      </c>
      <c r="CO200" s="81" t="str">
        <f t="shared" si="318"/>
        <v/>
      </c>
      <c r="CP200" s="80" t="str">
        <f t="shared" si="318"/>
        <v/>
      </c>
      <c r="CQ200" s="509" t="str">
        <f t="shared" si="318"/>
        <v/>
      </c>
      <c r="CR200" s="533" t="str">
        <f t="shared" si="319"/>
        <v/>
      </c>
      <c r="CS200" s="534" t="str">
        <f t="shared" si="319"/>
        <v/>
      </c>
      <c r="CT200" s="535" t="str">
        <f t="shared" si="319"/>
        <v/>
      </c>
      <c r="CU200" s="535" t="str">
        <f t="shared" si="319"/>
        <v/>
      </c>
      <c r="CV200" s="535" t="str">
        <f t="shared" si="319"/>
        <v/>
      </c>
      <c r="CW200" s="535" t="str">
        <f t="shared" si="319"/>
        <v/>
      </c>
      <c r="CX200" s="535" t="str">
        <f t="shared" si="319"/>
        <v/>
      </c>
      <c r="CY200" s="536" t="str">
        <f t="shared" si="319"/>
        <v/>
      </c>
      <c r="CZ200" s="536" t="str">
        <f t="shared" si="319"/>
        <v/>
      </c>
      <c r="DA200" s="536" t="str">
        <f t="shared" si="319"/>
        <v/>
      </c>
      <c r="DB200" s="535" t="str">
        <f t="shared" si="320"/>
        <v/>
      </c>
      <c r="DC200" s="535" t="str">
        <f t="shared" si="320"/>
        <v/>
      </c>
      <c r="DD200" s="535" t="str">
        <f t="shared" si="320"/>
        <v/>
      </c>
      <c r="DE200" s="535" t="str">
        <f t="shared" si="320"/>
        <v/>
      </c>
      <c r="DF200" s="535" t="str">
        <f t="shared" si="320"/>
        <v/>
      </c>
      <c r="DG200" s="534" t="str">
        <f t="shared" si="320"/>
        <v/>
      </c>
      <c r="DH200" s="533" t="str">
        <f t="shared" si="320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>
        <v>6</v>
      </c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18"/>
        <v/>
      </c>
      <c r="CF201" s="81" t="str">
        <f t="shared" si="318"/>
        <v/>
      </c>
      <c r="CG201" s="81" t="str">
        <f t="shared" si="318"/>
        <v/>
      </c>
      <c r="CH201" s="145" t="str">
        <f t="shared" si="318"/>
        <v/>
      </c>
      <c r="CI201" s="145" t="str">
        <f t="shared" si="318"/>
        <v/>
      </c>
      <c r="CJ201" s="145" t="str">
        <f t="shared" si="318"/>
        <v/>
      </c>
      <c r="CK201" s="81" t="str">
        <f t="shared" si="318"/>
        <v/>
      </c>
      <c r="CL201" s="81" t="str">
        <f t="shared" si="318"/>
        <v/>
      </c>
      <c r="CM201" s="81" t="str">
        <f t="shared" si="318"/>
        <v/>
      </c>
      <c r="CN201" s="81" t="str">
        <f t="shared" si="318"/>
        <v/>
      </c>
      <c r="CO201" s="81" t="str">
        <f t="shared" si="318"/>
        <v/>
      </c>
      <c r="CP201" s="80" t="str">
        <f t="shared" si="318"/>
        <v/>
      </c>
      <c r="CQ201" s="509" t="str">
        <f t="shared" si="318"/>
        <v/>
      </c>
      <c r="CR201" s="533" t="str">
        <f t="shared" si="319"/>
        <v/>
      </c>
      <c r="CS201" s="534" t="str">
        <f t="shared" si="319"/>
        <v/>
      </c>
      <c r="CT201" s="535" t="str">
        <f t="shared" si="319"/>
        <v/>
      </c>
      <c r="CU201" s="535" t="str">
        <f t="shared" si="319"/>
        <v/>
      </c>
      <c r="CV201" s="535" t="str">
        <f t="shared" si="319"/>
        <v/>
      </c>
      <c r="CW201" s="535" t="str">
        <f t="shared" si="319"/>
        <v/>
      </c>
      <c r="CX201" s="535" t="str">
        <f t="shared" si="319"/>
        <v/>
      </c>
      <c r="CY201" s="536" t="str">
        <f t="shared" si="319"/>
        <v/>
      </c>
      <c r="CZ201" s="536" t="str">
        <f t="shared" si="319"/>
        <v/>
      </c>
      <c r="DA201" s="536" t="str">
        <f t="shared" si="319"/>
        <v/>
      </c>
      <c r="DB201" s="535" t="str">
        <f t="shared" si="320"/>
        <v/>
      </c>
      <c r="DC201" s="535" t="str">
        <f t="shared" si="320"/>
        <v/>
      </c>
      <c r="DD201" s="535" t="str">
        <f t="shared" si="320"/>
        <v/>
      </c>
      <c r="DE201" s="535" t="str">
        <f t="shared" si="320"/>
        <v/>
      </c>
      <c r="DF201" s="535" t="str">
        <f t="shared" si="320"/>
        <v/>
      </c>
      <c r="DG201" s="534" t="str">
        <f t="shared" si="320"/>
        <v/>
      </c>
      <c r="DH201" s="533" t="str">
        <f t="shared" si="320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>
        <v>30</v>
      </c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18"/>
        <v/>
      </c>
      <c r="CF202" s="81" t="str">
        <f t="shared" si="318"/>
        <v/>
      </c>
      <c r="CG202" s="81" t="str">
        <f t="shared" si="318"/>
        <v/>
      </c>
      <c r="CH202" s="145" t="str">
        <f t="shared" si="318"/>
        <v/>
      </c>
      <c r="CI202" s="145" t="str">
        <f t="shared" si="318"/>
        <v/>
      </c>
      <c r="CJ202" s="145" t="str">
        <f t="shared" si="318"/>
        <v/>
      </c>
      <c r="CK202" s="81" t="str">
        <f t="shared" si="318"/>
        <v/>
      </c>
      <c r="CL202" s="81" t="str">
        <f t="shared" si="318"/>
        <v/>
      </c>
      <c r="CM202" s="81" t="str">
        <f t="shared" si="318"/>
        <v/>
      </c>
      <c r="CN202" s="81" t="str">
        <f t="shared" si="318"/>
        <v/>
      </c>
      <c r="CO202" s="81" t="str">
        <f t="shared" si="318"/>
        <v/>
      </c>
      <c r="CP202" s="80" t="str">
        <f t="shared" si="318"/>
        <v/>
      </c>
      <c r="CQ202" s="509" t="str">
        <f t="shared" si="318"/>
        <v/>
      </c>
      <c r="CR202" s="533" t="str">
        <f t="shared" si="319"/>
        <v/>
      </c>
      <c r="CS202" s="534" t="str">
        <f t="shared" si="319"/>
        <v/>
      </c>
      <c r="CT202" s="535" t="str">
        <f t="shared" si="319"/>
        <v/>
      </c>
      <c r="CU202" s="535" t="str">
        <f t="shared" si="319"/>
        <v/>
      </c>
      <c r="CV202" s="535" t="str">
        <f t="shared" si="319"/>
        <v/>
      </c>
      <c r="CW202" s="535" t="str">
        <f t="shared" si="319"/>
        <v/>
      </c>
      <c r="CX202" s="535" t="str">
        <f t="shared" si="319"/>
        <v/>
      </c>
      <c r="CY202" s="536" t="str">
        <f t="shared" si="319"/>
        <v/>
      </c>
      <c r="CZ202" s="536" t="str">
        <f t="shared" si="319"/>
        <v/>
      </c>
      <c r="DA202" s="536" t="str">
        <f t="shared" si="319"/>
        <v/>
      </c>
      <c r="DB202" s="535" t="str">
        <f t="shared" si="320"/>
        <v/>
      </c>
      <c r="DC202" s="535" t="str">
        <f t="shared" si="320"/>
        <v/>
      </c>
      <c r="DD202" s="535" t="str">
        <f t="shared" si="320"/>
        <v/>
      </c>
      <c r="DE202" s="535" t="str">
        <f t="shared" si="320"/>
        <v/>
      </c>
      <c r="DF202" s="535" t="str">
        <f t="shared" si="320"/>
        <v/>
      </c>
      <c r="DG202" s="534" t="str">
        <f t="shared" si="320"/>
        <v/>
      </c>
      <c r="DH202" s="533" t="str">
        <f t="shared" si="320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1">IF(B200="","",B199*B200*B201*B202)</f>
        <v/>
      </c>
      <c r="C203" s="870" t="str">
        <f t="shared" si="321"/>
        <v/>
      </c>
      <c r="D203" s="870" t="str">
        <f t="shared" si="321"/>
        <v/>
      </c>
      <c r="E203" s="870" t="str">
        <f t="shared" si="321"/>
        <v/>
      </c>
      <c r="F203" s="870" t="str">
        <f t="shared" si="321"/>
        <v/>
      </c>
      <c r="G203" s="870" t="str">
        <f t="shared" si="321"/>
        <v/>
      </c>
      <c r="H203" s="870" t="str">
        <f t="shared" si="321"/>
        <v/>
      </c>
      <c r="I203" s="870" t="str">
        <f t="shared" si="321"/>
        <v/>
      </c>
      <c r="J203" s="870" t="str">
        <f t="shared" si="321"/>
        <v/>
      </c>
      <c r="K203" s="870" t="str">
        <f t="shared" si="321"/>
        <v/>
      </c>
      <c r="L203" s="870" t="str">
        <f t="shared" si="321"/>
        <v/>
      </c>
      <c r="M203" s="870" t="str">
        <f t="shared" si="321"/>
        <v/>
      </c>
      <c r="N203" s="870" t="str">
        <f t="shared" si="321"/>
        <v/>
      </c>
      <c r="O203" s="870" t="str">
        <f t="shared" si="321"/>
        <v/>
      </c>
      <c r="P203" s="870" t="str">
        <f t="shared" si="321"/>
        <v/>
      </c>
      <c r="Q203" s="870" t="str">
        <f t="shared" si="321"/>
        <v/>
      </c>
      <c r="R203" s="870" t="str">
        <f t="shared" si="321"/>
        <v/>
      </c>
      <c r="S203" s="858"/>
      <c r="T203" s="870" t="str">
        <f t="shared" ref="T203:AC203" si="322">IF(T200="","",T199*T200*T201*T202)</f>
        <v/>
      </c>
      <c r="U203" s="870" t="str">
        <f t="shared" si="322"/>
        <v/>
      </c>
      <c r="V203" s="870" t="str">
        <f t="shared" si="322"/>
        <v/>
      </c>
      <c r="W203" s="870" t="str">
        <f t="shared" si="322"/>
        <v/>
      </c>
      <c r="X203" s="870" t="str">
        <f t="shared" si="322"/>
        <v/>
      </c>
      <c r="Y203" s="870" t="str">
        <f t="shared" si="322"/>
        <v/>
      </c>
      <c r="Z203" s="870" t="str">
        <f t="shared" si="322"/>
        <v/>
      </c>
      <c r="AA203" s="870" t="str">
        <f t="shared" si="322"/>
        <v/>
      </c>
      <c r="AB203" s="870" t="str">
        <f t="shared" si="322"/>
        <v/>
      </c>
      <c r="AC203" s="870" t="str">
        <f t="shared" si="322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3">IF(AL200="","",AL199*AL200*AL201*AL202)</f>
        <v/>
      </c>
      <c r="AM203" s="870" t="str">
        <f t="shared" si="323"/>
        <v/>
      </c>
      <c r="AN203" s="870" t="str">
        <f t="shared" si="323"/>
        <v/>
      </c>
      <c r="AO203" s="870" t="str">
        <f t="shared" si="323"/>
        <v/>
      </c>
      <c r="AP203" s="870" t="str">
        <f t="shared" si="323"/>
        <v/>
      </c>
      <c r="AQ203" s="870" t="str">
        <f t="shared" si="323"/>
        <v/>
      </c>
      <c r="AR203" s="870" t="str">
        <f t="shared" si="323"/>
        <v/>
      </c>
      <c r="AS203" s="870" t="str">
        <f t="shared" si="323"/>
        <v/>
      </c>
      <c r="AT203" s="870" t="str">
        <f t="shared" si="323"/>
        <v/>
      </c>
      <c r="AU203" s="870" t="str">
        <f t="shared" si="323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4">IF(BD200="","",BD199*BD200*BD201*BD202)</f>
        <v/>
      </c>
      <c r="BE203" s="870" t="str">
        <f t="shared" si="324"/>
        <v/>
      </c>
      <c r="BF203" s="870" t="str">
        <f t="shared" si="324"/>
        <v/>
      </c>
      <c r="BG203" s="870" t="str">
        <f t="shared" si="324"/>
        <v/>
      </c>
      <c r="BH203" s="870" t="str">
        <f t="shared" si="324"/>
        <v/>
      </c>
      <c r="BI203" s="870" t="str">
        <f t="shared" si="324"/>
        <v/>
      </c>
      <c r="BJ203" s="870" t="str">
        <f t="shared" si="324"/>
        <v/>
      </c>
      <c r="BK203" s="870" t="str">
        <f t="shared" si="324"/>
        <v/>
      </c>
      <c r="BL203" s="870" t="str">
        <f t="shared" si="324"/>
        <v/>
      </c>
      <c r="BM203" s="870" t="str">
        <f t="shared" si="324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>
        <f>IF(BV200="","",BV199*BV200*BV201*BV202)</f>
        <v>4500</v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18"/>
        <v/>
      </c>
      <c r="CF203" s="81" t="str">
        <f t="shared" si="318"/>
        <v/>
      </c>
      <c r="CG203" s="81" t="str">
        <f t="shared" si="318"/>
        <v/>
      </c>
      <c r="CH203" s="145" t="str">
        <f t="shared" si="318"/>
        <v/>
      </c>
      <c r="CI203" s="145" t="str">
        <f t="shared" si="318"/>
        <v/>
      </c>
      <c r="CJ203" s="145" t="str">
        <f t="shared" si="318"/>
        <v/>
      </c>
      <c r="CK203" s="81" t="str">
        <f t="shared" si="318"/>
        <v/>
      </c>
      <c r="CL203" s="81" t="str">
        <f t="shared" si="318"/>
        <v/>
      </c>
      <c r="CM203" s="81" t="str">
        <f t="shared" si="318"/>
        <v/>
      </c>
      <c r="CN203" s="81" t="str">
        <f t="shared" si="318"/>
        <v/>
      </c>
      <c r="CO203" s="81" t="str">
        <f t="shared" si="318"/>
        <v/>
      </c>
      <c r="CP203" s="80" t="str">
        <f t="shared" si="318"/>
        <v/>
      </c>
      <c r="CQ203" s="509" t="str">
        <f t="shared" si="318"/>
        <v/>
      </c>
      <c r="CR203" s="533" t="str">
        <f t="shared" si="319"/>
        <v/>
      </c>
      <c r="CS203" s="534" t="str">
        <f t="shared" si="319"/>
        <v/>
      </c>
      <c r="CT203" s="535" t="str">
        <f t="shared" si="319"/>
        <v/>
      </c>
      <c r="CU203" s="535" t="str">
        <f t="shared" si="319"/>
        <v/>
      </c>
      <c r="CV203" s="535" t="str">
        <f t="shared" si="319"/>
        <v/>
      </c>
      <c r="CW203" s="535" t="str">
        <f t="shared" si="319"/>
        <v/>
      </c>
      <c r="CX203" s="535" t="str">
        <f t="shared" si="319"/>
        <v/>
      </c>
      <c r="CY203" s="536" t="str">
        <f t="shared" si="319"/>
        <v/>
      </c>
      <c r="CZ203" s="536" t="str">
        <f t="shared" si="319"/>
        <v/>
      </c>
      <c r="DA203" s="536" t="str">
        <f t="shared" si="319"/>
        <v/>
      </c>
      <c r="DB203" s="535" t="str">
        <f t="shared" si="320"/>
        <v/>
      </c>
      <c r="DC203" s="535" t="str">
        <f t="shared" si="320"/>
        <v/>
      </c>
      <c r="DD203" s="535" t="str">
        <f t="shared" si="320"/>
        <v/>
      </c>
      <c r="DE203" s="535" t="str">
        <f t="shared" si="320"/>
        <v/>
      </c>
      <c r="DF203" s="535" t="str">
        <f t="shared" si="320"/>
        <v/>
      </c>
      <c r="DG203" s="534" t="str">
        <f t="shared" si="320"/>
        <v/>
      </c>
      <c r="DH203" s="533" t="str">
        <f t="shared" si="320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5">IF(DI205&lt;3,"",(SUM(B205:R205)-MIN(B205:R205)-MAX(B205:R205))/(DI205-2))</f>
        <v/>
      </c>
      <c r="CA205" s="864" t="str">
        <f t="shared" ref="CA205:CA210" si="326">IF(DJ205&lt;3,"",(SUM(T205:AJ205)-MIN(T205:AJ205)-MAX(T205:AJ205))/(DJ205-2))</f>
        <v/>
      </c>
      <c r="CB205" s="864" t="str">
        <f t="shared" ref="CB205:CB210" si="327">IF(DK205&lt;3,"",(SUM(AL205:BB205)-MIN(AL205:BB205)-MAX(AL205:BB205))/(DK205-2))</f>
        <v/>
      </c>
      <c r="CC205" s="865" t="str">
        <f t="shared" ref="CC205:CC210" si="328">IF(DL205&lt;3,"",(SUM(BD205:BT205)-MIN(BD205:BT205)-MAX(BD205:BT205))/(DL205-2))</f>
        <v/>
      </c>
      <c r="CD205" s="508" t="str">
        <f t="shared" ref="CD205:CP205" si="329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29"/>
        <v/>
      </c>
      <c r="CF205" s="81" t="str">
        <f t="shared" si="329"/>
        <v/>
      </c>
      <c r="CG205" s="81" t="str">
        <f t="shared" si="329"/>
        <v/>
      </c>
      <c r="CH205" s="145" t="str">
        <f t="shared" si="329"/>
        <v/>
      </c>
      <c r="CI205" s="145" t="str">
        <f t="shared" si="329"/>
        <v/>
      </c>
      <c r="CJ205" s="145" t="str">
        <f t="shared" si="329"/>
        <v/>
      </c>
      <c r="CK205" s="81" t="str">
        <f t="shared" si="329"/>
        <v/>
      </c>
      <c r="CL205" s="81" t="str">
        <f t="shared" si="329"/>
        <v/>
      </c>
      <c r="CM205" s="81" t="str">
        <f t="shared" si="329"/>
        <v/>
      </c>
      <c r="CN205" s="81" t="str">
        <f t="shared" si="329"/>
        <v/>
      </c>
      <c r="CO205" s="81" t="str">
        <f t="shared" si="329"/>
        <v/>
      </c>
      <c r="CP205" s="80" t="str">
        <f t="shared" si="329"/>
        <v/>
      </c>
      <c r="CQ205" s="509" t="str">
        <f t="shared" ref="CE205:CQ210" si="330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1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2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3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48">COUNT(B205:R205)</f>
        <v>0</v>
      </c>
      <c r="DJ205" s="822">
        <f t="shared" ref="DJ205:DJ210" si="349">COUNT(T205:AJ205)</f>
        <v>0</v>
      </c>
      <c r="DK205" s="822">
        <f t="shared" ref="DK205:DK210" si="350">COUNT(AL205:BB205)</f>
        <v>0</v>
      </c>
      <c r="DL205" s="823">
        <f t="shared" ref="DL205:DL210" si="351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5"/>
        <v/>
      </c>
      <c r="CA206" s="864" t="str">
        <f t="shared" si="326"/>
        <v/>
      </c>
      <c r="CB206" s="864" t="str">
        <f t="shared" si="327"/>
        <v/>
      </c>
      <c r="CC206" s="865" t="str">
        <f t="shared" si="328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0"/>
        <v/>
      </c>
      <c r="CF206" s="81" t="str">
        <f t="shared" si="330"/>
        <v/>
      </c>
      <c r="CG206" s="81" t="str">
        <f t="shared" si="330"/>
        <v/>
      </c>
      <c r="CH206" s="145" t="str">
        <f t="shared" si="330"/>
        <v/>
      </c>
      <c r="CI206" s="145" t="str">
        <f t="shared" si="330"/>
        <v/>
      </c>
      <c r="CJ206" s="145" t="str">
        <f t="shared" si="330"/>
        <v/>
      </c>
      <c r="CK206" s="81" t="str">
        <f t="shared" si="330"/>
        <v/>
      </c>
      <c r="CL206" s="81" t="str">
        <f t="shared" si="330"/>
        <v/>
      </c>
      <c r="CM206" s="81" t="str">
        <f t="shared" si="330"/>
        <v/>
      </c>
      <c r="CN206" s="81" t="str">
        <f t="shared" si="330"/>
        <v/>
      </c>
      <c r="CO206" s="81" t="str">
        <f t="shared" si="330"/>
        <v/>
      </c>
      <c r="CP206" s="80" t="str">
        <f t="shared" si="330"/>
        <v/>
      </c>
      <c r="CQ206" s="509" t="str">
        <f t="shared" si="330"/>
        <v/>
      </c>
      <c r="CR206" s="533" t="str">
        <f t="shared" si="331"/>
        <v/>
      </c>
      <c r="CS206" s="534" t="str">
        <f t="shared" si="332"/>
        <v/>
      </c>
      <c r="CT206" s="535" t="str">
        <f t="shared" si="333"/>
        <v/>
      </c>
      <c r="CU206" s="535" t="str">
        <f t="shared" si="334"/>
        <v/>
      </c>
      <c r="CV206" s="535" t="str">
        <f t="shared" si="335"/>
        <v/>
      </c>
      <c r="CW206" s="535" t="str">
        <f t="shared" si="336"/>
        <v/>
      </c>
      <c r="CX206" s="535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5" t="str">
        <f t="shared" si="341"/>
        <v/>
      </c>
      <c r="DC206" s="535" t="str">
        <f t="shared" si="342"/>
        <v/>
      </c>
      <c r="DD206" s="535" t="str">
        <f t="shared" si="343"/>
        <v/>
      </c>
      <c r="DE206" s="535" t="str">
        <f t="shared" si="344"/>
        <v/>
      </c>
      <c r="DF206" s="535" t="str">
        <f t="shared" si="345"/>
        <v/>
      </c>
      <c r="DG206" s="534" t="str">
        <f t="shared" si="346"/>
        <v/>
      </c>
      <c r="DH206" s="533" t="str">
        <f t="shared" si="347"/>
        <v/>
      </c>
      <c r="DI206" s="866">
        <f t="shared" si="348"/>
        <v>0</v>
      </c>
      <c r="DJ206" s="822">
        <f t="shared" si="349"/>
        <v>0</v>
      </c>
      <c r="DK206" s="822">
        <f t="shared" si="350"/>
        <v>0</v>
      </c>
      <c r="DL206" s="823">
        <f t="shared" si="351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5"/>
        <v/>
      </c>
      <c r="CA207" s="864" t="str">
        <f t="shared" si="326"/>
        <v/>
      </c>
      <c r="CB207" s="864" t="str">
        <f t="shared" si="327"/>
        <v/>
      </c>
      <c r="CC207" s="865" t="str">
        <f t="shared" si="328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0"/>
        <v/>
      </c>
      <c r="CF207" s="81" t="str">
        <f t="shared" si="330"/>
        <v/>
      </c>
      <c r="CG207" s="81" t="str">
        <f t="shared" si="330"/>
        <v/>
      </c>
      <c r="CH207" s="145" t="str">
        <f t="shared" si="330"/>
        <v/>
      </c>
      <c r="CI207" s="145" t="str">
        <f t="shared" si="330"/>
        <v/>
      </c>
      <c r="CJ207" s="145" t="str">
        <f t="shared" si="330"/>
        <v/>
      </c>
      <c r="CK207" s="81" t="str">
        <f t="shared" si="330"/>
        <v/>
      </c>
      <c r="CL207" s="81" t="str">
        <f t="shared" si="330"/>
        <v/>
      </c>
      <c r="CM207" s="81" t="str">
        <f t="shared" si="330"/>
        <v/>
      </c>
      <c r="CN207" s="81" t="str">
        <f t="shared" si="330"/>
        <v/>
      </c>
      <c r="CO207" s="81" t="str">
        <f t="shared" si="330"/>
        <v/>
      </c>
      <c r="CP207" s="80" t="str">
        <f t="shared" si="330"/>
        <v/>
      </c>
      <c r="CQ207" s="509" t="str">
        <f t="shared" si="330"/>
        <v/>
      </c>
      <c r="CR207" s="533" t="str">
        <f t="shared" si="331"/>
        <v/>
      </c>
      <c r="CS207" s="534" t="str">
        <f t="shared" si="332"/>
        <v/>
      </c>
      <c r="CT207" s="535" t="str">
        <f t="shared" si="333"/>
        <v/>
      </c>
      <c r="CU207" s="535" t="str">
        <f t="shared" si="334"/>
        <v/>
      </c>
      <c r="CV207" s="535" t="str">
        <f t="shared" si="335"/>
        <v/>
      </c>
      <c r="CW207" s="535" t="str">
        <f t="shared" si="336"/>
        <v/>
      </c>
      <c r="CX207" s="535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5" t="str">
        <f t="shared" si="341"/>
        <v/>
      </c>
      <c r="DC207" s="535" t="str">
        <f t="shared" si="342"/>
        <v/>
      </c>
      <c r="DD207" s="535" t="str">
        <f t="shared" si="343"/>
        <v/>
      </c>
      <c r="DE207" s="535" t="str">
        <f t="shared" si="344"/>
        <v/>
      </c>
      <c r="DF207" s="535" t="str">
        <f t="shared" si="345"/>
        <v/>
      </c>
      <c r="DG207" s="534" t="str">
        <f t="shared" si="346"/>
        <v/>
      </c>
      <c r="DH207" s="533" t="str">
        <f t="shared" si="347"/>
        <v/>
      </c>
      <c r="DI207" s="866">
        <f t="shared" si="348"/>
        <v>0</v>
      </c>
      <c r="DJ207" s="822">
        <f t="shared" si="349"/>
        <v>0</v>
      </c>
      <c r="DK207" s="822">
        <f t="shared" si="350"/>
        <v>0</v>
      </c>
      <c r="DL207" s="823">
        <f t="shared" si="351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5"/>
        <v/>
      </c>
      <c r="CA208" s="864" t="str">
        <f t="shared" si="326"/>
        <v/>
      </c>
      <c r="CB208" s="864" t="str">
        <f t="shared" si="327"/>
        <v/>
      </c>
      <c r="CC208" s="865" t="str">
        <f t="shared" si="328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0"/>
        <v/>
      </c>
      <c r="CF208" s="81" t="str">
        <f t="shared" si="330"/>
        <v/>
      </c>
      <c r="CG208" s="81" t="str">
        <f t="shared" si="330"/>
        <v/>
      </c>
      <c r="CH208" s="145" t="str">
        <f t="shared" si="330"/>
        <v/>
      </c>
      <c r="CI208" s="145" t="str">
        <f t="shared" si="330"/>
        <v/>
      </c>
      <c r="CJ208" s="145" t="str">
        <f t="shared" si="330"/>
        <v/>
      </c>
      <c r="CK208" s="81" t="str">
        <f t="shared" si="330"/>
        <v/>
      </c>
      <c r="CL208" s="81" t="str">
        <f t="shared" si="330"/>
        <v/>
      </c>
      <c r="CM208" s="81" t="str">
        <f t="shared" si="330"/>
        <v/>
      </c>
      <c r="CN208" s="81" t="str">
        <f t="shared" si="330"/>
        <v/>
      </c>
      <c r="CO208" s="81" t="str">
        <f t="shared" si="330"/>
        <v/>
      </c>
      <c r="CP208" s="80" t="str">
        <f t="shared" si="330"/>
        <v/>
      </c>
      <c r="CQ208" s="509" t="str">
        <f t="shared" si="330"/>
        <v/>
      </c>
      <c r="CR208" s="533" t="str">
        <f t="shared" si="331"/>
        <v/>
      </c>
      <c r="CS208" s="534" t="str">
        <f t="shared" si="332"/>
        <v/>
      </c>
      <c r="CT208" s="535" t="str">
        <f t="shared" si="333"/>
        <v/>
      </c>
      <c r="CU208" s="535" t="str">
        <f t="shared" si="334"/>
        <v/>
      </c>
      <c r="CV208" s="535" t="str">
        <f t="shared" si="335"/>
        <v/>
      </c>
      <c r="CW208" s="535" t="str">
        <f t="shared" si="336"/>
        <v/>
      </c>
      <c r="CX208" s="535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5" t="str">
        <f t="shared" si="341"/>
        <v/>
      </c>
      <c r="DC208" s="535" t="str">
        <f t="shared" si="342"/>
        <v/>
      </c>
      <c r="DD208" s="535" t="str">
        <f t="shared" si="343"/>
        <v/>
      </c>
      <c r="DE208" s="535" t="str">
        <f t="shared" si="344"/>
        <v/>
      </c>
      <c r="DF208" s="535" t="str">
        <f t="shared" si="345"/>
        <v/>
      </c>
      <c r="DG208" s="534" t="str">
        <f t="shared" si="346"/>
        <v/>
      </c>
      <c r="DH208" s="533" t="str">
        <f t="shared" si="347"/>
        <v/>
      </c>
      <c r="DI208" s="866">
        <f t="shared" si="348"/>
        <v>0</v>
      </c>
      <c r="DJ208" s="822">
        <f t="shared" si="349"/>
        <v>0</v>
      </c>
      <c r="DK208" s="822">
        <f t="shared" si="350"/>
        <v>0</v>
      </c>
      <c r="DL208" s="823">
        <f t="shared" si="351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2">IF(B206="","",B205*B206*B207*B208)</f>
        <v/>
      </c>
      <c r="C209" s="870" t="str">
        <f t="shared" si="352"/>
        <v/>
      </c>
      <c r="D209" s="870" t="str">
        <f t="shared" si="352"/>
        <v/>
      </c>
      <c r="E209" s="870" t="str">
        <f t="shared" si="352"/>
        <v/>
      </c>
      <c r="F209" s="870" t="str">
        <f t="shared" si="352"/>
        <v/>
      </c>
      <c r="G209" s="870" t="str">
        <f t="shared" si="352"/>
        <v/>
      </c>
      <c r="H209" s="870" t="str">
        <f t="shared" si="352"/>
        <v/>
      </c>
      <c r="I209" s="870" t="str">
        <f t="shared" si="352"/>
        <v/>
      </c>
      <c r="J209" s="870" t="str">
        <f t="shared" si="352"/>
        <v/>
      </c>
      <c r="K209" s="870" t="str">
        <f t="shared" si="352"/>
        <v/>
      </c>
      <c r="L209" s="870" t="str">
        <f t="shared" si="352"/>
        <v/>
      </c>
      <c r="M209" s="870" t="str">
        <f t="shared" si="352"/>
        <v/>
      </c>
      <c r="N209" s="870" t="str">
        <f t="shared" si="352"/>
        <v/>
      </c>
      <c r="O209" s="870" t="str">
        <f t="shared" si="352"/>
        <v/>
      </c>
      <c r="P209" s="870" t="str">
        <f t="shared" si="352"/>
        <v/>
      </c>
      <c r="Q209" s="870" t="str">
        <f t="shared" si="352"/>
        <v/>
      </c>
      <c r="R209" s="870" t="str">
        <f t="shared" si="352"/>
        <v/>
      </c>
      <c r="S209" s="858"/>
      <c r="T209" s="870" t="str">
        <f t="shared" ref="T209:AC209" si="353">IF(T206="","",T205*T206*T207*T208)</f>
        <v/>
      </c>
      <c r="U209" s="870" t="str">
        <f t="shared" si="353"/>
        <v/>
      </c>
      <c r="V209" s="870" t="str">
        <f t="shared" si="353"/>
        <v/>
      </c>
      <c r="W209" s="870" t="str">
        <f t="shared" si="353"/>
        <v/>
      </c>
      <c r="X209" s="870" t="str">
        <f t="shared" si="353"/>
        <v/>
      </c>
      <c r="Y209" s="870" t="str">
        <f t="shared" si="353"/>
        <v/>
      </c>
      <c r="Z209" s="870" t="str">
        <f t="shared" si="353"/>
        <v/>
      </c>
      <c r="AA209" s="870" t="str">
        <f t="shared" si="353"/>
        <v/>
      </c>
      <c r="AB209" s="870" t="str">
        <f t="shared" si="353"/>
        <v/>
      </c>
      <c r="AC209" s="870" t="str">
        <f t="shared" si="353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4">IF(AL206="","",AL205*AL206*AL207*AL208)</f>
        <v/>
      </c>
      <c r="AM209" s="870" t="str">
        <f t="shared" si="354"/>
        <v/>
      </c>
      <c r="AN209" s="870" t="str">
        <f t="shared" si="354"/>
        <v/>
      </c>
      <c r="AO209" s="870" t="str">
        <f t="shared" si="354"/>
        <v/>
      </c>
      <c r="AP209" s="870" t="str">
        <f t="shared" si="354"/>
        <v/>
      </c>
      <c r="AQ209" s="870" t="str">
        <f t="shared" si="354"/>
        <v/>
      </c>
      <c r="AR209" s="870" t="str">
        <f t="shared" si="354"/>
        <v/>
      </c>
      <c r="AS209" s="870" t="str">
        <f t="shared" si="354"/>
        <v/>
      </c>
      <c r="AT209" s="870" t="str">
        <f t="shared" si="354"/>
        <v/>
      </c>
      <c r="AU209" s="870" t="str">
        <f t="shared" si="354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5">IF(BD206="","",BD205*BD206*BD207*BD208)</f>
        <v/>
      </c>
      <c r="BE209" s="870" t="str">
        <f t="shared" si="355"/>
        <v/>
      </c>
      <c r="BF209" s="870" t="str">
        <f t="shared" si="355"/>
        <v/>
      </c>
      <c r="BG209" s="870" t="str">
        <f t="shared" si="355"/>
        <v/>
      </c>
      <c r="BH209" s="870" t="str">
        <f t="shared" si="355"/>
        <v/>
      </c>
      <c r="BI209" s="870" t="str">
        <f t="shared" si="355"/>
        <v/>
      </c>
      <c r="BJ209" s="870" t="str">
        <f t="shared" si="355"/>
        <v/>
      </c>
      <c r="BK209" s="870" t="str">
        <f t="shared" si="355"/>
        <v/>
      </c>
      <c r="BL209" s="870" t="str">
        <f t="shared" si="355"/>
        <v/>
      </c>
      <c r="BM209" s="870" t="str">
        <f t="shared" si="355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5"/>
        <v/>
      </c>
      <c r="CA209" s="864" t="str">
        <f t="shared" si="326"/>
        <v/>
      </c>
      <c r="CB209" s="864" t="str">
        <f t="shared" si="327"/>
        <v/>
      </c>
      <c r="CC209" s="865" t="str">
        <f t="shared" si="328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0"/>
        <v/>
      </c>
      <c r="CF209" s="81" t="str">
        <f t="shared" si="330"/>
        <v/>
      </c>
      <c r="CG209" s="81" t="str">
        <f t="shared" si="330"/>
        <v/>
      </c>
      <c r="CH209" s="145" t="str">
        <f t="shared" si="330"/>
        <v/>
      </c>
      <c r="CI209" s="145" t="str">
        <f t="shared" si="330"/>
        <v/>
      </c>
      <c r="CJ209" s="145" t="str">
        <f t="shared" si="330"/>
        <v/>
      </c>
      <c r="CK209" s="81" t="str">
        <f t="shared" si="330"/>
        <v/>
      </c>
      <c r="CL209" s="81" t="str">
        <f t="shared" si="330"/>
        <v/>
      </c>
      <c r="CM209" s="81" t="str">
        <f t="shared" si="330"/>
        <v/>
      </c>
      <c r="CN209" s="81" t="str">
        <f t="shared" si="330"/>
        <v/>
      </c>
      <c r="CO209" s="81" t="str">
        <f t="shared" si="330"/>
        <v/>
      </c>
      <c r="CP209" s="80" t="str">
        <f t="shared" si="330"/>
        <v/>
      </c>
      <c r="CQ209" s="509" t="str">
        <f t="shared" si="330"/>
        <v/>
      </c>
      <c r="CR209" s="533" t="str">
        <f t="shared" si="331"/>
        <v/>
      </c>
      <c r="CS209" s="534" t="str">
        <f t="shared" si="332"/>
        <v/>
      </c>
      <c r="CT209" s="535" t="str">
        <f t="shared" si="333"/>
        <v/>
      </c>
      <c r="CU209" s="535" t="str">
        <f t="shared" si="334"/>
        <v/>
      </c>
      <c r="CV209" s="535" t="str">
        <f t="shared" si="335"/>
        <v/>
      </c>
      <c r="CW209" s="535" t="str">
        <f t="shared" si="336"/>
        <v/>
      </c>
      <c r="CX209" s="535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5" t="str">
        <f t="shared" si="341"/>
        <v/>
      </c>
      <c r="DC209" s="535" t="str">
        <f t="shared" si="342"/>
        <v/>
      </c>
      <c r="DD209" s="535" t="str">
        <f t="shared" si="343"/>
        <v/>
      </c>
      <c r="DE209" s="535" t="str">
        <f t="shared" si="344"/>
        <v/>
      </c>
      <c r="DF209" s="535" t="str">
        <f t="shared" si="345"/>
        <v/>
      </c>
      <c r="DG209" s="534" t="str">
        <f t="shared" si="346"/>
        <v/>
      </c>
      <c r="DH209" s="533" t="str">
        <f t="shared" si="347"/>
        <v/>
      </c>
      <c r="DI209" s="866">
        <f t="shared" si="348"/>
        <v>0</v>
      </c>
      <c r="DJ209" s="822">
        <f t="shared" si="349"/>
        <v>0</v>
      </c>
      <c r="DK209" s="822">
        <f t="shared" si="350"/>
        <v>0</v>
      </c>
      <c r="DL209" s="823">
        <f t="shared" si="351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6">SUM(C161,C167,C173,C179,C185,C191,C197,C203,C209)</f>
        <v>0</v>
      </c>
      <c r="D210" s="877">
        <f t="shared" si="356"/>
        <v>0</v>
      </c>
      <c r="E210" s="877">
        <f t="shared" si="356"/>
        <v>0</v>
      </c>
      <c r="F210" s="877">
        <f t="shared" si="356"/>
        <v>0</v>
      </c>
      <c r="G210" s="877">
        <f t="shared" si="356"/>
        <v>0</v>
      </c>
      <c r="H210" s="877">
        <f t="shared" si="356"/>
        <v>0</v>
      </c>
      <c r="I210" s="877">
        <f t="shared" si="356"/>
        <v>0</v>
      </c>
      <c r="J210" s="877">
        <f t="shared" si="356"/>
        <v>0</v>
      </c>
      <c r="K210" s="877">
        <f t="shared" si="356"/>
        <v>0</v>
      </c>
      <c r="L210" s="877">
        <f t="shared" si="356"/>
        <v>0</v>
      </c>
      <c r="M210" s="877">
        <f t="shared" si="356"/>
        <v>0</v>
      </c>
      <c r="N210" s="877">
        <f t="shared" si="356"/>
        <v>0</v>
      </c>
      <c r="O210" s="877">
        <f t="shared" si="356"/>
        <v>0</v>
      </c>
      <c r="P210" s="877">
        <f t="shared" si="356"/>
        <v>0</v>
      </c>
      <c r="Q210" s="877">
        <f t="shared" si="356"/>
        <v>0</v>
      </c>
      <c r="R210" s="877">
        <f t="shared" si="356"/>
        <v>0</v>
      </c>
      <c r="S210" s="878"/>
      <c r="T210" s="877">
        <f t="shared" ref="T210:AC210" si="357">SUM(T161,T167,T173,T179,T185,T191,T197,T203,T209)</f>
        <v>0</v>
      </c>
      <c r="U210" s="877">
        <f t="shared" si="357"/>
        <v>0</v>
      </c>
      <c r="V210" s="877">
        <f t="shared" si="357"/>
        <v>0</v>
      </c>
      <c r="W210" s="877">
        <f t="shared" si="357"/>
        <v>0</v>
      </c>
      <c r="X210" s="877">
        <f t="shared" si="357"/>
        <v>0</v>
      </c>
      <c r="Y210" s="877">
        <f t="shared" si="357"/>
        <v>0</v>
      </c>
      <c r="Z210" s="877">
        <f t="shared" si="357"/>
        <v>0</v>
      </c>
      <c r="AA210" s="877">
        <f t="shared" si="357"/>
        <v>0</v>
      </c>
      <c r="AB210" s="877">
        <f t="shared" si="357"/>
        <v>0</v>
      </c>
      <c r="AC210" s="877">
        <f t="shared" si="357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58">SUM(AL161,AL167,AL173,AL179,AL185,AL191,AL197,AL203,AL209)</f>
        <v>0</v>
      </c>
      <c r="AM210" s="877">
        <f t="shared" si="358"/>
        <v>0</v>
      </c>
      <c r="AN210" s="877">
        <f t="shared" si="358"/>
        <v>0</v>
      </c>
      <c r="AO210" s="877">
        <f t="shared" si="358"/>
        <v>0</v>
      </c>
      <c r="AP210" s="877">
        <f t="shared" si="358"/>
        <v>0</v>
      </c>
      <c r="AQ210" s="877">
        <f t="shared" si="358"/>
        <v>0</v>
      </c>
      <c r="AR210" s="877">
        <f t="shared" si="358"/>
        <v>0</v>
      </c>
      <c r="AS210" s="877">
        <f t="shared" si="358"/>
        <v>0</v>
      </c>
      <c r="AT210" s="877">
        <f t="shared" si="358"/>
        <v>0</v>
      </c>
      <c r="AU210" s="877">
        <f t="shared" si="358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59">SUM(BD161,BD167,BD173,BD179,BD185,BD191,BD197,BD203,BD209)</f>
        <v>0</v>
      </c>
      <c r="BE210" s="877">
        <f t="shared" si="359"/>
        <v>0</v>
      </c>
      <c r="BF210" s="877">
        <f t="shared" si="359"/>
        <v>0</v>
      </c>
      <c r="BG210" s="877">
        <f t="shared" si="359"/>
        <v>0</v>
      </c>
      <c r="BH210" s="877">
        <f t="shared" si="359"/>
        <v>0</v>
      </c>
      <c r="BI210" s="877">
        <f t="shared" si="359"/>
        <v>0</v>
      </c>
      <c r="BJ210" s="877">
        <f t="shared" si="359"/>
        <v>0</v>
      </c>
      <c r="BK210" s="877">
        <f t="shared" si="359"/>
        <v>0</v>
      </c>
      <c r="BL210" s="877">
        <f t="shared" si="359"/>
        <v>0</v>
      </c>
      <c r="BM210" s="877">
        <f t="shared" si="359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4500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5"/>
        <v>0</v>
      </c>
      <c r="CA210" s="864">
        <f t="shared" si="326"/>
        <v>0</v>
      </c>
      <c r="CB210" s="864">
        <f t="shared" si="327"/>
        <v>0</v>
      </c>
      <c r="CC210" s="865">
        <f t="shared" si="328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0"/>
        <v>0</v>
      </c>
      <c r="CF210" s="81">
        <f t="shared" si="330"/>
        <v>0</v>
      </c>
      <c r="CG210" s="81">
        <f t="shared" si="330"/>
        <v>0</v>
      </c>
      <c r="CH210" s="145">
        <f t="shared" si="330"/>
        <v>0</v>
      </c>
      <c r="CI210" s="145">
        <f t="shared" si="330"/>
        <v>0</v>
      </c>
      <c r="CJ210" s="145">
        <f t="shared" si="330"/>
        <v>0</v>
      </c>
      <c r="CK210" s="81">
        <f t="shared" si="330"/>
        <v>0</v>
      </c>
      <c r="CL210" s="81">
        <f t="shared" si="330"/>
        <v>0</v>
      </c>
      <c r="CM210" s="81">
        <f t="shared" si="330"/>
        <v>0</v>
      </c>
      <c r="CN210" s="81">
        <f t="shared" si="330"/>
        <v>0</v>
      </c>
      <c r="CO210" s="81" t="str">
        <f t="shared" si="330"/>
        <v/>
      </c>
      <c r="CP210" s="80" t="str">
        <f t="shared" si="330"/>
        <v/>
      </c>
      <c r="CQ210" s="509" t="str">
        <f t="shared" si="330"/>
        <v/>
      </c>
      <c r="CR210" s="533" t="str">
        <f t="shared" si="331"/>
        <v/>
      </c>
      <c r="CS210" s="534" t="str">
        <f t="shared" si="332"/>
        <v/>
      </c>
      <c r="CT210" s="535" t="str">
        <f t="shared" si="333"/>
        <v/>
      </c>
      <c r="CU210" s="535" t="str">
        <f t="shared" si="334"/>
        <v/>
      </c>
      <c r="CV210" s="535">
        <f t="shared" si="335"/>
        <v>0</v>
      </c>
      <c r="CW210" s="535">
        <f t="shared" si="336"/>
        <v>0</v>
      </c>
      <c r="CX210" s="535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5">
        <f t="shared" si="341"/>
        <v>0</v>
      </c>
      <c r="DC210" s="535">
        <f t="shared" si="342"/>
        <v>0</v>
      </c>
      <c r="DD210" s="535">
        <f t="shared" si="343"/>
        <v>0</v>
      </c>
      <c r="DE210" s="535">
        <f t="shared" si="344"/>
        <v>0</v>
      </c>
      <c r="DF210" s="535" t="str">
        <f t="shared" si="345"/>
        <v/>
      </c>
      <c r="DG210" s="534" t="str">
        <f t="shared" si="346"/>
        <v/>
      </c>
      <c r="DH210" s="533" t="str">
        <f t="shared" si="347"/>
        <v/>
      </c>
      <c r="DI210" s="866">
        <f t="shared" si="348"/>
        <v>17</v>
      </c>
      <c r="DJ210" s="822">
        <f t="shared" si="349"/>
        <v>10</v>
      </c>
      <c r="DK210" s="822">
        <f t="shared" si="350"/>
        <v>10</v>
      </c>
      <c r="DL210" s="823">
        <f t="shared" si="351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0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0"/>
        <v/>
      </c>
      <c r="CF214" s="81" t="str">
        <f t="shared" si="360"/>
        <v/>
      </c>
      <c r="CG214" s="81" t="str">
        <f t="shared" si="360"/>
        <v/>
      </c>
      <c r="CH214" s="145" t="str">
        <f t="shared" si="360"/>
        <v/>
      </c>
      <c r="CI214" s="145" t="str">
        <f t="shared" si="360"/>
        <v/>
      </c>
      <c r="CJ214" s="145" t="str">
        <f t="shared" si="360"/>
        <v/>
      </c>
      <c r="CK214" s="81" t="str">
        <f t="shared" si="360"/>
        <v/>
      </c>
      <c r="CL214" s="81" t="str">
        <f t="shared" si="360"/>
        <v/>
      </c>
      <c r="CM214" s="81" t="str">
        <f t="shared" si="360"/>
        <v/>
      </c>
      <c r="CN214" s="81" t="str">
        <f t="shared" si="360"/>
        <v/>
      </c>
      <c r="CO214" s="81" t="str">
        <f t="shared" si="360"/>
        <v/>
      </c>
      <c r="CP214" s="80" t="str">
        <f t="shared" si="360"/>
        <v/>
      </c>
      <c r="CQ214" s="509" t="str">
        <f t="shared" ref="CE214:CQ218" si="361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2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2"/>
        <v/>
      </c>
      <c r="CT214" s="535" t="str">
        <f t="shared" si="362"/>
        <v/>
      </c>
      <c r="CU214" s="535" t="str">
        <f t="shared" si="362"/>
        <v/>
      </c>
      <c r="CV214" s="535" t="str">
        <f t="shared" si="362"/>
        <v/>
      </c>
      <c r="CW214" s="535" t="str">
        <f t="shared" si="362"/>
        <v/>
      </c>
      <c r="CX214" s="535" t="str">
        <f t="shared" si="362"/>
        <v/>
      </c>
      <c r="CY214" s="536" t="str">
        <f t="shared" si="362"/>
        <v/>
      </c>
      <c r="CZ214" s="536" t="str">
        <f t="shared" si="362"/>
        <v/>
      </c>
      <c r="DA214" s="536" t="str">
        <f t="shared" si="362"/>
        <v/>
      </c>
      <c r="DB214" s="535" t="str">
        <f t="shared" ref="DB214:DH218" si="363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3"/>
        <v/>
      </c>
      <c r="DD214" s="535" t="str">
        <f t="shared" si="363"/>
        <v/>
      </c>
      <c r="DE214" s="535" t="str">
        <f t="shared" si="363"/>
        <v/>
      </c>
      <c r="DF214" s="535" t="str">
        <f t="shared" si="363"/>
        <v/>
      </c>
      <c r="DG214" s="534" t="str">
        <f t="shared" si="363"/>
        <v/>
      </c>
      <c r="DH214" s="533" t="str">
        <f t="shared" si="363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1"/>
        <v/>
      </c>
      <c r="CF215" s="81" t="str">
        <f t="shared" si="361"/>
        <v/>
      </c>
      <c r="CG215" s="81" t="str">
        <f t="shared" si="361"/>
        <v/>
      </c>
      <c r="CH215" s="145" t="str">
        <f t="shared" si="361"/>
        <v/>
      </c>
      <c r="CI215" s="145" t="str">
        <f t="shared" si="361"/>
        <v/>
      </c>
      <c r="CJ215" s="145" t="str">
        <f t="shared" si="361"/>
        <v/>
      </c>
      <c r="CK215" s="81" t="str">
        <f t="shared" si="361"/>
        <v/>
      </c>
      <c r="CL215" s="81" t="str">
        <f t="shared" si="361"/>
        <v/>
      </c>
      <c r="CM215" s="81" t="str">
        <f t="shared" si="361"/>
        <v/>
      </c>
      <c r="CN215" s="81" t="str">
        <f t="shared" si="361"/>
        <v/>
      </c>
      <c r="CO215" s="81" t="str">
        <f t="shared" si="361"/>
        <v/>
      </c>
      <c r="CP215" s="80" t="str">
        <f t="shared" si="361"/>
        <v/>
      </c>
      <c r="CQ215" s="509" t="str">
        <f t="shared" si="361"/>
        <v/>
      </c>
      <c r="CR215" s="533" t="str">
        <f t="shared" si="362"/>
        <v/>
      </c>
      <c r="CS215" s="534" t="str">
        <f t="shared" si="362"/>
        <v/>
      </c>
      <c r="CT215" s="535" t="str">
        <f t="shared" si="362"/>
        <v/>
      </c>
      <c r="CU215" s="535" t="str">
        <f t="shared" si="362"/>
        <v/>
      </c>
      <c r="CV215" s="535" t="str">
        <f t="shared" si="362"/>
        <v/>
      </c>
      <c r="CW215" s="535" t="str">
        <f t="shared" si="362"/>
        <v/>
      </c>
      <c r="CX215" s="535" t="str">
        <f t="shared" si="362"/>
        <v/>
      </c>
      <c r="CY215" s="536" t="str">
        <f t="shared" si="362"/>
        <v/>
      </c>
      <c r="CZ215" s="536" t="str">
        <f t="shared" si="362"/>
        <v/>
      </c>
      <c r="DA215" s="536" t="str">
        <f t="shared" si="362"/>
        <v/>
      </c>
      <c r="DB215" s="535" t="str">
        <f t="shared" si="363"/>
        <v/>
      </c>
      <c r="DC215" s="535" t="str">
        <f t="shared" si="363"/>
        <v/>
      </c>
      <c r="DD215" s="535" t="str">
        <f t="shared" si="363"/>
        <v/>
      </c>
      <c r="DE215" s="535" t="str">
        <f t="shared" si="363"/>
        <v/>
      </c>
      <c r="DF215" s="535" t="str">
        <f t="shared" si="363"/>
        <v/>
      </c>
      <c r="DG215" s="534" t="str">
        <f t="shared" si="363"/>
        <v/>
      </c>
      <c r="DH215" s="533" t="str">
        <f t="shared" si="363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1"/>
        <v/>
      </c>
      <c r="CF216" s="81" t="str">
        <f t="shared" si="361"/>
        <v/>
      </c>
      <c r="CG216" s="81" t="str">
        <f t="shared" si="361"/>
        <v/>
      </c>
      <c r="CH216" s="145" t="str">
        <f t="shared" si="361"/>
        <v/>
      </c>
      <c r="CI216" s="145" t="str">
        <f t="shared" si="361"/>
        <v/>
      </c>
      <c r="CJ216" s="145" t="str">
        <f t="shared" si="361"/>
        <v/>
      </c>
      <c r="CK216" s="81" t="str">
        <f t="shared" si="361"/>
        <v/>
      </c>
      <c r="CL216" s="81" t="str">
        <f t="shared" si="361"/>
        <v/>
      </c>
      <c r="CM216" s="81" t="str">
        <f t="shared" si="361"/>
        <v/>
      </c>
      <c r="CN216" s="81" t="str">
        <f t="shared" si="361"/>
        <v/>
      </c>
      <c r="CO216" s="81" t="str">
        <f t="shared" si="361"/>
        <v/>
      </c>
      <c r="CP216" s="80" t="str">
        <f t="shared" si="361"/>
        <v/>
      </c>
      <c r="CQ216" s="509" t="str">
        <f t="shared" si="361"/>
        <v/>
      </c>
      <c r="CR216" s="533" t="str">
        <f t="shared" si="362"/>
        <v/>
      </c>
      <c r="CS216" s="534" t="str">
        <f t="shared" si="362"/>
        <v/>
      </c>
      <c r="CT216" s="535" t="str">
        <f t="shared" si="362"/>
        <v/>
      </c>
      <c r="CU216" s="535" t="str">
        <f t="shared" si="362"/>
        <v/>
      </c>
      <c r="CV216" s="535" t="str">
        <f t="shared" si="362"/>
        <v/>
      </c>
      <c r="CW216" s="535" t="str">
        <f t="shared" si="362"/>
        <v/>
      </c>
      <c r="CX216" s="535" t="str">
        <f t="shared" si="362"/>
        <v/>
      </c>
      <c r="CY216" s="536" t="str">
        <f t="shared" si="362"/>
        <v/>
      </c>
      <c r="CZ216" s="536" t="str">
        <f t="shared" si="362"/>
        <v/>
      </c>
      <c r="DA216" s="536" t="str">
        <f t="shared" si="362"/>
        <v/>
      </c>
      <c r="DB216" s="535" t="str">
        <f t="shared" si="363"/>
        <v/>
      </c>
      <c r="DC216" s="535" t="str">
        <f t="shared" si="363"/>
        <v/>
      </c>
      <c r="DD216" s="535" t="str">
        <f t="shared" si="363"/>
        <v/>
      </c>
      <c r="DE216" s="535" t="str">
        <f t="shared" si="363"/>
        <v/>
      </c>
      <c r="DF216" s="535" t="str">
        <f t="shared" si="363"/>
        <v/>
      </c>
      <c r="DG216" s="534" t="str">
        <f t="shared" si="363"/>
        <v/>
      </c>
      <c r="DH216" s="533" t="str">
        <f t="shared" si="363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1"/>
        <v/>
      </c>
      <c r="CF217" s="81" t="str">
        <f t="shared" si="361"/>
        <v/>
      </c>
      <c r="CG217" s="81" t="str">
        <f t="shared" si="361"/>
        <v/>
      </c>
      <c r="CH217" s="145" t="str">
        <f t="shared" si="361"/>
        <v/>
      </c>
      <c r="CI217" s="145" t="str">
        <f t="shared" si="361"/>
        <v/>
      </c>
      <c r="CJ217" s="145" t="str">
        <f t="shared" si="361"/>
        <v/>
      </c>
      <c r="CK217" s="81" t="str">
        <f t="shared" si="361"/>
        <v/>
      </c>
      <c r="CL217" s="81" t="str">
        <f t="shared" si="361"/>
        <v/>
      </c>
      <c r="CM217" s="81" t="str">
        <f t="shared" si="361"/>
        <v/>
      </c>
      <c r="CN217" s="81" t="str">
        <f t="shared" si="361"/>
        <v/>
      </c>
      <c r="CO217" s="81" t="str">
        <f t="shared" si="361"/>
        <v/>
      </c>
      <c r="CP217" s="80" t="str">
        <f t="shared" si="361"/>
        <v/>
      </c>
      <c r="CQ217" s="509" t="str">
        <f t="shared" si="361"/>
        <v/>
      </c>
      <c r="CR217" s="533" t="str">
        <f t="shared" si="362"/>
        <v/>
      </c>
      <c r="CS217" s="534" t="str">
        <f t="shared" si="362"/>
        <v/>
      </c>
      <c r="CT217" s="535" t="str">
        <f t="shared" si="362"/>
        <v/>
      </c>
      <c r="CU217" s="535" t="str">
        <f t="shared" si="362"/>
        <v/>
      </c>
      <c r="CV217" s="535" t="str">
        <f t="shared" si="362"/>
        <v/>
      </c>
      <c r="CW217" s="535" t="str">
        <f t="shared" si="362"/>
        <v/>
      </c>
      <c r="CX217" s="535" t="str">
        <f t="shared" si="362"/>
        <v/>
      </c>
      <c r="CY217" s="536" t="str">
        <f t="shared" si="362"/>
        <v/>
      </c>
      <c r="CZ217" s="536" t="str">
        <f t="shared" si="362"/>
        <v/>
      </c>
      <c r="DA217" s="536" t="str">
        <f t="shared" si="362"/>
        <v/>
      </c>
      <c r="DB217" s="535" t="str">
        <f t="shared" si="363"/>
        <v/>
      </c>
      <c r="DC217" s="535" t="str">
        <f t="shared" si="363"/>
        <v/>
      </c>
      <c r="DD217" s="535" t="str">
        <f t="shared" si="363"/>
        <v/>
      </c>
      <c r="DE217" s="535" t="str">
        <f t="shared" si="363"/>
        <v/>
      </c>
      <c r="DF217" s="535" t="str">
        <f t="shared" si="363"/>
        <v/>
      </c>
      <c r="DG217" s="534" t="str">
        <f t="shared" si="363"/>
        <v/>
      </c>
      <c r="DH217" s="533" t="str">
        <f t="shared" si="363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4">IF(B215="","",B214*B215*B216*B217)</f>
        <v/>
      </c>
      <c r="C218" s="870" t="str">
        <f t="shared" si="364"/>
        <v/>
      </c>
      <c r="D218" s="870" t="str">
        <f t="shared" si="364"/>
        <v/>
      </c>
      <c r="E218" s="870" t="str">
        <f t="shared" si="364"/>
        <v/>
      </c>
      <c r="F218" s="870" t="str">
        <f t="shared" si="364"/>
        <v/>
      </c>
      <c r="G218" s="870" t="str">
        <f t="shared" si="364"/>
        <v/>
      </c>
      <c r="H218" s="870" t="str">
        <f t="shared" si="364"/>
        <v/>
      </c>
      <c r="I218" s="870" t="str">
        <f t="shared" si="364"/>
        <v/>
      </c>
      <c r="J218" s="870" t="str">
        <f t="shared" si="364"/>
        <v/>
      </c>
      <c r="K218" s="870" t="str">
        <f t="shared" si="364"/>
        <v/>
      </c>
      <c r="L218" s="870" t="str">
        <f t="shared" si="364"/>
        <v/>
      </c>
      <c r="M218" s="870" t="str">
        <f t="shared" si="364"/>
        <v/>
      </c>
      <c r="N218" s="870" t="str">
        <f t="shared" si="364"/>
        <v/>
      </c>
      <c r="O218" s="870" t="str">
        <f t="shared" si="364"/>
        <v/>
      </c>
      <c r="P218" s="870" t="str">
        <f t="shared" si="364"/>
        <v/>
      </c>
      <c r="Q218" s="870" t="str">
        <f t="shared" si="364"/>
        <v/>
      </c>
      <c r="R218" s="870" t="str">
        <f t="shared" si="364"/>
        <v/>
      </c>
      <c r="S218" s="858"/>
      <c r="T218" s="870" t="str">
        <f t="shared" ref="T218:AC218" si="365">IF(T215="","",T214*T215*T216*T217)</f>
        <v/>
      </c>
      <c r="U218" s="870" t="str">
        <f t="shared" si="365"/>
        <v/>
      </c>
      <c r="V218" s="870" t="str">
        <f t="shared" si="365"/>
        <v/>
      </c>
      <c r="W218" s="870" t="str">
        <f t="shared" si="365"/>
        <v/>
      </c>
      <c r="X218" s="870" t="str">
        <f t="shared" si="365"/>
        <v/>
      </c>
      <c r="Y218" s="870" t="str">
        <f t="shared" si="365"/>
        <v/>
      </c>
      <c r="Z218" s="870" t="str">
        <f t="shared" si="365"/>
        <v/>
      </c>
      <c r="AA218" s="870" t="str">
        <f t="shared" si="365"/>
        <v/>
      </c>
      <c r="AB218" s="870" t="str">
        <f t="shared" si="365"/>
        <v/>
      </c>
      <c r="AC218" s="870" t="str">
        <f t="shared" si="365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6">IF(AL215="","",AL214*AL215*AL216*AL217)</f>
        <v/>
      </c>
      <c r="AM218" s="870" t="str">
        <f t="shared" si="366"/>
        <v/>
      </c>
      <c r="AN218" s="870" t="str">
        <f t="shared" si="366"/>
        <v/>
      </c>
      <c r="AO218" s="870" t="str">
        <f t="shared" si="366"/>
        <v/>
      </c>
      <c r="AP218" s="870" t="str">
        <f t="shared" si="366"/>
        <v/>
      </c>
      <c r="AQ218" s="870" t="str">
        <f t="shared" si="366"/>
        <v/>
      </c>
      <c r="AR218" s="870" t="str">
        <f t="shared" si="366"/>
        <v/>
      </c>
      <c r="AS218" s="870" t="str">
        <f t="shared" si="366"/>
        <v/>
      </c>
      <c r="AT218" s="870" t="str">
        <f t="shared" si="366"/>
        <v/>
      </c>
      <c r="AU218" s="870" t="str">
        <f t="shared" si="366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67">IF(BD215="","",BD214*BD215*BD216*BD217)</f>
        <v/>
      </c>
      <c r="BE218" s="870" t="str">
        <f t="shared" si="367"/>
        <v/>
      </c>
      <c r="BF218" s="870" t="str">
        <f t="shared" si="367"/>
        <v/>
      </c>
      <c r="BG218" s="870" t="str">
        <f t="shared" si="367"/>
        <v/>
      </c>
      <c r="BH218" s="870" t="str">
        <f t="shared" si="367"/>
        <v/>
      </c>
      <c r="BI218" s="870" t="str">
        <f t="shared" si="367"/>
        <v/>
      </c>
      <c r="BJ218" s="870" t="str">
        <f t="shared" si="367"/>
        <v/>
      </c>
      <c r="BK218" s="870" t="str">
        <f t="shared" si="367"/>
        <v/>
      </c>
      <c r="BL218" s="870" t="str">
        <f t="shared" si="367"/>
        <v/>
      </c>
      <c r="BM218" s="870" t="str">
        <f t="shared" si="367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1"/>
        <v/>
      </c>
      <c r="CF218" s="81" t="str">
        <f t="shared" si="361"/>
        <v/>
      </c>
      <c r="CG218" s="81" t="str">
        <f t="shared" si="361"/>
        <v/>
      </c>
      <c r="CH218" s="145" t="str">
        <f t="shared" si="361"/>
        <v/>
      </c>
      <c r="CI218" s="145" t="str">
        <f t="shared" si="361"/>
        <v/>
      </c>
      <c r="CJ218" s="145" t="str">
        <f t="shared" si="361"/>
        <v/>
      </c>
      <c r="CK218" s="81" t="str">
        <f t="shared" si="361"/>
        <v/>
      </c>
      <c r="CL218" s="81" t="str">
        <f t="shared" si="361"/>
        <v/>
      </c>
      <c r="CM218" s="81" t="str">
        <f t="shared" si="361"/>
        <v/>
      </c>
      <c r="CN218" s="81" t="str">
        <f t="shared" si="361"/>
        <v/>
      </c>
      <c r="CO218" s="81" t="str">
        <f t="shared" si="361"/>
        <v/>
      </c>
      <c r="CP218" s="80" t="str">
        <f t="shared" si="361"/>
        <v/>
      </c>
      <c r="CQ218" s="509" t="str">
        <f t="shared" si="361"/>
        <v/>
      </c>
      <c r="CR218" s="533" t="str">
        <f t="shared" si="362"/>
        <v/>
      </c>
      <c r="CS218" s="534" t="str">
        <f t="shared" si="362"/>
        <v/>
      </c>
      <c r="CT218" s="535" t="str">
        <f t="shared" si="362"/>
        <v/>
      </c>
      <c r="CU218" s="535" t="str">
        <f t="shared" si="362"/>
        <v/>
      </c>
      <c r="CV218" s="535" t="str">
        <f t="shared" si="362"/>
        <v/>
      </c>
      <c r="CW218" s="535" t="str">
        <f t="shared" si="362"/>
        <v/>
      </c>
      <c r="CX218" s="535" t="str">
        <f t="shared" si="362"/>
        <v/>
      </c>
      <c r="CY218" s="536" t="str">
        <f t="shared" si="362"/>
        <v/>
      </c>
      <c r="CZ218" s="536" t="str">
        <f t="shared" si="362"/>
        <v/>
      </c>
      <c r="DA218" s="536" t="str">
        <f t="shared" si="362"/>
        <v/>
      </c>
      <c r="DB218" s="535" t="str">
        <f t="shared" si="363"/>
        <v/>
      </c>
      <c r="DC218" s="535" t="str">
        <f t="shared" si="363"/>
        <v/>
      </c>
      <c r="DD218" s="535" t="str">
        <f t="shared" si="363"/>
        <v/>
      </c>
      <c r="DE218" s="535" t="str">
        <f t="shared" si="363"/>
        <v/>
      </c>
      <c r="DF218" s="535" t="str">
        <f t="shared" si="363"/>
        <v/>
      </c>
      <c r="DG218" s="534" t="str">
        <f t="shared" si="363"/>
        <v/>
      </c>
      <c r="DH218" s="533" t="str">
        <f t="shared" si="363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68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68"/>
        <v/>
      </c>
      <c r="CF220" s="81" t="str">
        <f t="shared" si="368"/>
        <v/>
      </c>
      <c r="CG220" s="81" t="str">
        <f t="shared" si="368"/>
        <v/>
      </c>
      <c r="CH220" s="145" t="str">
        <f t="shared" si="368"/>
        <v/>
      </c>
      <c r="CI220" s="145" t="str">
        <f t="shared" si="368"/>
        <v/>
      </c>
      <c r="CJ220" s="145" t="str">
        <f t="shared" si="368"/>
        <v/>
      </c>
      <c r="CK220" s="81" t="str">
        <f t="shared" si="368"/>
        <v/>
      </c>
      <c r="CL220" s="81" t="str">
        <f t="shared" si="368"/>
        <v/>
      </c>
      <c r="CM220" s="81" t="str">
        <f t="shared" si="368"/>
        <v/>
      </c>
      <c r="CN220" s="81" t="str">
        <f t="shared" si="368"/>
        <v/>
      </c>
      <c r="CO220" s="81" t="str">
        <f t="shared" si="368"/>
        <v/>
      </c>
      <c r="CP220" s="80" t="str">
        <f t="shared" si="368"/>
        <v/>
      </c>
      <c r="CQ220" s="509" t="str">
        <f t="shared" ref="CE220:CQ224" si="369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0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0"/>
        <v/>
      </c>
      <c r="CT220" s="535" t="str">
        <f t="shared" si="370"/>
        <v/>
      </c>
      <c r="CU220" s="535" t="str">
        <f t="shared" si="370"/>
        <v/>
      </c>
      <c r="CV220" s="535" t="str">
        <f t="shared" si="370"/>
        <v/>
      </c>
      <c r="CW220" s="535" t="str">
        <f t="shared" si="370"/>
        <v/>
      </c>
      <c r="CX220" s="535" t="str">
        <f t="shared" si="370"/>
        <v/>
      </c>
      <c r="CY220" s="536" t="str">
        <f t="shared" si="370"/>
        <v/>
      </c>
      <c r="CZ220" s="536" t="str">
        <f t="shared" si="370"/>
        <v/>
      </c>
      <c r="DA220" s="536" t="str">
        <f t="shared" si="370"/>
        <v/>
      </c>
      <c r="DB220" s="535" t="str">
        <f t="shared" ref="DB220:DH224" si="371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1"/>
        <v/>
      </c>
      <c r="DD220" s="535" t="str">
        <f t="shared" si="371"/>
        <v/>
      </c>
      <c r="DE220" s="535" t="str">
        <f t="shared" si="371"/>
        <v/>
      </c>
      <c r="DF220" s="535" t="str">
        <f t="shared" si="371"/>
        <v/>
      </c>
      <c r="DG220" s="534" t="str">
        <f t="shared" si="371"/>
        <v/>
      </c>
      <c r="DH220" s="533" t="str">
        <f t="shared" si="371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69"/>
        <v/>
      </c>
      <c r="CF221" s="81" t="str">
        <f t="shared" si="369"/>
        <v/>
      </c>
      <c r="CG221" s="81" t="str">
        <f t="shared" si="369"/>
        <v/>
      </c>
      <c r="CH221" s="145" t="str">
        <f t="shared" si="369"/>
        <v/>
      </c>
      <c r="CI221" s="145" t="str">
        <f t="shared" si="369"/>
        <v/>
      </c>
      <c r="CJ221" s="145" t="str">
        <f t="shared" si="369"/>
        <v/>
      </c>
      <c r="CK221" s="81" t="str">
        <f t="shared" si="369"/>
        <v/>
      </c>
      <c r="CL221" s="81" t="str">
        <f t="shared" si="369"/>
        <v/>
      </c>
      <c r="CM221" s="81" t="str">
        <f t="shared" si="369"/>
        <v/>
      </c>
      <c r="CN221" s="81" t="str">
        <f t="shared" si="369"/>
        <v/>
      </c>
      <c r="CO221" s="81" t="str">
        <f t="shared" si="369"/>
        <v/>
      </c>
      <c r="CP221" s="80" t="str">
        <f t="shared" si="369"/>
        <v/>
      </c>
      <c r="CQ221" s="509" t="str">
        <f t="shared" si="369"/>
        <v/>
      </c>
      <c r="CR221" s="533" t="str">
        <f t="shared" si="370"/>
        <v/>
      </c>
      <c r="CS221" s="534" t="str">
        <f t="shared" si="370"/>
        <v/>
      </c>
      <c r="CT221" s="535" t="str">
        <f t="shared" si="370"/>
        <v/>
      </c>
      <c r="CU221" s="535" t="str">
        <f t="shared" si="370"/>
        <v/>
      </c>
      <c r="CV221" s="535" t="str">
        <f t="shared" si="370"/>
        <v/>
      </c>
      <c r="CW221" s="535" t="str">
        <f t="shared" si="370"/>
        <v/>
      </c>
      <c r="CX221" s="535" t="str">
        <f t="shared" si="370"/>
        <v/>
      </c>
      <c r="CY221" s="536" t="str">
        <f t="shared" si="370"/>
        <v/>
      </c>
      <c r="CZ221" s="536" t="str">
        <f t="shared" si="370"/>
        <v/>
      </c>
      <c r="DA221" s="536" t="str">
        <f t="shared" si="370"/>
        <v/>
      </c>
      <c r="DB221" s="535" t="str">
        <f t="shared" si="371"/>
        <v/>
      </c>
      <c r="DC221" s="535" t="str">
        <f t="shared" si="371"/>
        <v/>
      </c>
      <c r="DD221" s="535" t="str">
        <f t="shared" si="371"/>
        <v/>
      </c>
      <c r="DE221" s="535" t="str">
        <f t="shared" si="371"/>
        <v/>
      </c>
      <c r="DF221" s="535" t="str">
        <f t="shared" si="371"/>
        <v/>
      </c>
      <c r="DG221" s="534" t="str">
        <f t="shared" si="371"/>
        <v/>
      </c>
      <c r="DH221" s="533" t="str">
        <f t="shared" si="371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69"/>
        <v/>
      </c>
      <c r="CF222" s="81" t="str">
        <f t="shared" si="369"/>
        <v/>
      </c>
      <c r="CG222" s="81" t="str">
        <f t="shared" si="369"/>
        <v/>
      </c>
      <c r="CH222" s="145" t="str">
        <f t="shared" si="369"/>
        <v/>
      </c>
      <c r="CI222" s="145" t="str">
        <f t="shared" si="369"/>
        <v/>
      </c>
      <c r="CJ222" s="145" t="str">
        <f t="shared" si="369"/>
        <v/>
      </c>
      <c r="CK222" s="81" t="str">
        <f t="shared" si="369"/>
        <v/>
      </c>
      <c r="CL222" s="81" t="str">
        <f t="shared" si="369"/>
        <v/>
      </c>
      <c r="CM222" s="81" t="str">
        <f t="shared" si="369"/>
        <v/>
      </c>
      <c r="CN222" s="81" t="str">
        <f t="shared" si="369"/>
        <v/>
      </c>
      <c r="CO222" s="81" t="str">
        <f t="shared" si="369"/>
        <v/>
      </c>
      <c r="CP222" s="80" t="str">
        <f t="shared" si="369"/>
        <v/>
      </c>
      <c r="CQ222" s="509" t="str">
        <f t="shared" si="369"/>
        <v/>
      </c>
      <c r="CR222" s="533" t="str">
        <f t="shared" si="370"/>
        <v/>
      </c>
      <c r="CS222" s="534" t="str">
        <f t="shared" si="370"/>
        <v/>
      </c>
      <c r="CT222" s="535" t="str">
        <f t="shared" si="370"/>
        <v/>
      </c>
      <c r="CU222" s="535" t="str">
        <f t="shared" si="370"/>
        <v/>
      </c>
      <c r="CV222" s="535" t="str">
        <f t="shared" si="370"/>
        <v/>
      </c>
      <c r="CW222" s="535" t="str">
        <f t="shared" si="370"/>
        <v/>
      </c>
      <c r="CX222" s="535" t="str">
        <f t="shared" si="370"/>
        <v/>
      </c>
      <c r="CY222" s="536" t="str">
        <f t="shared" si="370"/>
        <v/>
      </c>
      <c r="CZ222" s="536" t="str">
        <f t="shared" si="370"/>
        <v/>
      </c>
      <c r="DA222" s="536" t="str">
        <f t="shared" si="370"/>
        <v/>
      </c>
      <c r="DB222" s="535" t="str">
        <f t="shared" si="371"/>
        <v/>
      </c>
      <c r="DC222" s="535" t="str">
        <f t="shared" si="371"/>
        <v/>
      </c>
      <c r="DD222" s="535" t="str">
        <f t="shared" si="371"/>
        <v/>
      </c>
      <c r="DE222" s="535" t="str">
        <f t="shared" si="371"/>
        <v/>
      </c>
      <c r="DF222" s="535" t="str">
        <f t="shared" si="371"/>
        <v/>
      </c>
      <c r="DG222" s="534" t="str">
        <f t="shared" si="371"/>
        <v/>
      </c>
      <c r="DH222" s="533" t="str">
        <f t="shared" si="371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69"/>
        <v/>
      </c>
      <c r="CF223" s="81" t="str">
        <f t="shared" si="369"/>
        <v/>
      </c>
      <c r="CG223" s="81" t="str">
        <f t="shared" si="369"/>
        <v/>
      </c>
      <c r="CH223" s="145" t="str">
        <f t="shared" si="369"/>
        <v/>
      </c>
      <c r="CI223" s="145" t="str">
        <f t="shared" si="369"/>
        <v/>
      </c>
      <c r="CJ223" s="145" t="str">
        <f t="shared" si="369"/>
        <v/>
      </c>
      <c r="CK223" s="81" t="str">
        <f t="shared" si="369"/>
        <v/>
      </c>
      <c r="CL223" s="81" t="str">
        <f t="shared" si="369"/>
        <v/>
      </c>
      <c r="CM223" s="81" t="str">
        <f t="shared" si="369"/>
        <v/>
      </c>
      <c r="CN223" s="81" t="str">
        <f t="shared" si="369"/>
        <v/>
      </c>
      <c r="CO223" s="81" t="str">
        <f t="shared" si="369"/>
        <v/>
      </c>
      <c r="CP223" s="80" t="str">
        <f t="shared" si="369"/>
        <v/>
      </c>
      <c r="CQ223" s="509" t="str">
        <f t="shared" si="369"/>
        <v/>
      </c>
      <c r="CR223" s="533" t="str">
        <f t="shared" si="370"/>
        <v/>
      </c>
      <c r="CS223" s="534" t="str">
        <f t="shared" si="370"/>
        <v/>
      </c>
      <c r="CT223" s="535" t="str">
        <f t="shared" si="370"/>
        <v/>
      </c>
      <c r="CU223" s="535" t="str">
        <f t="shared" si="370"/>
        <v/>
      </c>
      <c r="CV223" s="535" t="str">
        <f t="shared" si="370"/>
        <v/>
      </c>
      <c r="CW223" s="535" t="str">
        <f t="shared" si="370"/>
        <v/>
      </c>
      <c r="CX223" s="535" t="str">
        <f t="shared" si="370"/>
        <v/>
      </c>
      <c r="CY223" s="536" t="str">
        <f t="shared" si="370"/>
        <v/>
      </c>
      <c r="CZ223" s="536" t="str">
        <f t="shared" si="370"/>
        <v/>
      </c>
      <c r="DA223" s="536" t="str">
        <f t="shared" si="370"/>
        <v/>
      </c>
      <c r="DB223" s="535" t="str">
        <f t="shared" si="371"/>
        <v/>
      </c>
      <c r="DC223" s="535" t="str">
        <f t="shared" si="371"/>
        <v/>
      </c>
      <c r="DD223" s="535" t="str">
        <f t="shared" si="371"/>
        <v/>
      </c>
      <c r="DE223" s="535" t="str">
        <f t="shared" si="371"/>
        <v/>
      </c>
      <c r="DF223" s="535" t="str">
        <f t="shared" si="371"/>
        <v/>
      </c>
      <c r="DG223" s="534" t="str">
        <f t="shared" si="371"/>
        <v/>
      </c>
      <c r="DH223" s="533" t="str">
        <f t="shared" si="371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2">IF(B221="","",B220*B221*B222*B223)</f>
        <v/>
      </c>
      <c r="C224" s="870" t="str">
        <f t="shared" si="372"/>
        <v/>
      </c>
      <c r="D224" s="870" t="str">
        <f t="shared" si="372"/>
        <v/>
      </c>
      <c r="E224" s="870" t="str">
        <f t="shared" si="372"/>
        <v/>
      </c>
      <c r="F224" s="870" t="str">
        <f t="shared" si="372"/>
        <v/>
      </c>
      <c r="G224" s="870" t="str">
        <f t="shared" si="372"/>
        <v/>
      </c>
      <c r="H224" s="870" t="str">
        <f t="shared" si="372"/>
        <v/>
      </c>
      <c r="I224" s="870" t="str">
        <f t="shared" si="372"/>
        <v/>
      </c>
      <c r="J224" s="870" t="str">
        <f t="shared" si="372"/>
        <v/>
      </c>
      <c r="K224" s="870" t="str">
        <f t="shared" si="372"/>
        <v/>
      </c>
      <c r="L224" s="870" t="str">
        <f t="shared" si="372"/>
        <v/>
      </c>
      <c r="M224" s="870" t="str">
        <f t="shared" si="372"/>
        <v/>
      </c>
      <c r="N224" s="870" t="str">
        <f t="shared" si="372"/>
        <v/>
      </c>
      <c r="O224" s="870" t="str">
        <f t="shared" si="372"/>
        <v/>
      </c>
      <c r="P224" s="870" t="str">
        <f t="shared" si="372"/>
        <v/>
      </c>
      <c r="Q224" s="870" t="str">
        <f t="shared" si="372"/>
        <v/>
      </c>
      <c r="R224" s="870" t="str">
        <f t="shared" si="372"/>
        <v/>
      </c>
      <c r="S224" s="858"/>
      <c r="T224" s="870" t="str">
        <f t="shared" ref="T224:AC224" si="373">IF(T221="","",T220*T221*T222*T223)</f>
        <v/>
      </c>
      <c r="U224" s="870" t="str">
        <f t="shared" si="373"/>
        <v/>
      </c>
      <c r="V224" s="870" t="str">
        <f t="shared" si="373"/>
        <v/>
      </c>
      <c r="W224" s="870" t="str">
        <f t="shared" si="373"/>
        <v/>
      </c>
      <c r="X224" s="870" t="str">
        <f t="shared" si="373"/>
        <v/>
      </c>
      <c r="Y224" s="870" t="str">
        <f t="shared" si="373"/>
        <v/>
      </c>
      <c r="Z224" s="870" t="str">
        <f t="shared" si="373"/>
        <v/>
      </c>
      <c r="AA224" s="870" t="str">
        <f t="shared" si="373"/>
        <v/>
      </c>
      <c r="AB224" s="870" t="str">
        <f t="shared" si="373"/>
        <v/>
      </c>
      <c r="AC224" s="870" t="str">
        <f t="shared" si="373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4">IF(AL221="","",AL220*AL221*AL222*AL223)</f>
        <v/>
      </c>
      <c r="AM224" s="870" t="str">
        <f t="shared" si="374"/>
        <v/>
      </c>
      <c r="AN224" s="870" t="str">
        <f t="shared" si="374"/>
        <v/>
      </c>
      <c r="AO224" s="870" t="str">
        <f t="shared" si="374"/>
        <v/>
      </c>
      <c r="AP224" s="870" t="str">
        <f t="shared" si="374"/>
        <v/>
      </c>
      <c r="AQ224" s="870" t="str">
        <f t="shared" si="374"/>
        <v/>
      </c>
      <c r="AR224" s="870" t="str">
        <f t="shared" si="374"/>
        <v/>
      </c>
      <c r="AS224" s="870" t="str">
        <f t="shared" si="374"/>
        <v/>
      </c>
      <c r="AT224" s="870" t="str">
        <f t="shared" si="374"/>
        <v/>
      </c>
      <c r="AU224" s="870" t="str">
        <f t="shared" si="374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5">IF(BD221="","",BD220*BD221*BD222*BD223)</f>
        <v/>
      </c>
      <c r="BE224" s="870" t="str">
        <f t="shared" si="375"/>
        <v/>
      </c>
      <c r="BF224" s="870" t="str">
        <f t="shared" si="375"/>
        <v/>
      </c>
      <c r="BG224" s="870" t="str">
        <f t="shared" si="375"/>
        <v/>
      </c>
      <c r="BH224" s="870" t="str">
        <f t="shared" si="375"/>
        <v/>
      </c>
      <c r="BI224" s="870" t="str">
        <f t="shared" si="375"/>
        <v/>
      </c>
      <c r="BJ224" s="870" t="str">
        <f t="shared" si="375"/>
        <v/>
      </c>
      <c r="BK224" s="870" t="str">
        <f t="shared" si="375"/>
        <v/>
      </c>
      <c r="BL224" s="870" t="str">
        <f t="shared" si="375"/>
        <v/>
      </c>
      <c r="BM224" s="870" t="str">
        <f t="shared" si="375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69"/>
        <v/>
      </c>
      <c r="CF224" s="81" t="str">
        <f t="shared" si="369"/>
        <v/>
      </c>
      <c r="CG224" s="81" t="str">
        <f t="shared" si="369"/>
        <v/>
      </c>
      <c r="CH224" s="145" t="str">
        <f t="shared" si="369"/>
        <v/>
      </c>
      <c r="CI224" s="145" t="str">
        <f t="shared" si="369"/>
        <v/>
      </c>
      <c r="CJ224" s="145" t="str">
        <f t="shared" si="369"/>
        <v/>
      </c>
      <c r="CK224" s="81" t="str">
        <f t="shared" si="369"/>
        <v/>
      </c>
      <c r="CL224" s="81" t="str">
        <f t="shared" si="369"/>
        <v/>
      </c>
      <c r="CM224" s="81" t="str">
        <f t="shared" si="369"/>
        <v/>
      </c>
      <c r="CN224" s="81" t="str">
        <f t="shared" si="369"/>
        <v/>
      </c>
      <c r="CO224" s="81" t="str">
        <f t="shared" si="369"/>
        <v/>
      </c>
      <c r="CP224" s="80" t="str">
        <f t="shared" si="369"/>
        <v/>
      </c>
      <c r="CQ224" s="509" t="str">
        <f t="shared" si="369"/>
        <v/>
      </c>
      <c r="CR224" s="533" t="str">
        <f t="shared" si="370"/>
        <v/>
      </c>
      <c r="CS224" s="534" t="str">
        <f t="shared" si="370"/>
        <v/>
      </c>
      <c r="CT224" s="535" t="str">
        <f t="shared" si="370"/>
        <v/>
      </c>
      <c r="CU224" s="535" t="str">
        <f t="shared" si="370"/>
        <v/>
      </c>
      <c r="CV224" s="535" t="str">
        <f t="shared" si="370"/>
        <v/>
      </c>
      <c r="CW224" s="535" t="str">
        <f t="shared" si="370"/>
        <v/>
      </c>
      <c r="CX224" s="535" t="str">
        <f t="shared" si="370"/>
        <v/>
      </c>
      <c r="CY224" s="536" t="str">
        <f t="shared" si="370"/>
        <v/>
      </c>
      <c r="CZ224" s="536" t="str">
        <f t="shared" si="370"/>
        <v/>
      </c>
      <c r="DA224" s="536" t="str">
        <f t="shared" si="370"/>
        <v/>
      </c>
      <c r="DB224" s="535" t="str">
        <f t="shared" si="371"/>
        <v/>
      </c>
      <c r="DC224" s="535" t="str">
        <f t="shared" si="371"/>
        <v/>
      </c>
      <c r="DD224" s="535" t="str">
        <f t="shared" si="371"/>
        <v/>
      </c>
      <c r="DE224" s="535" t="str">
        <f t="shared" si="371"/>
        <v/>
      </c>
      <c r="DF224" s="535" t="str">
        <f t="shared" si="371"/>
        <v/>
      </c>
      <c r="DG224" s="534" t="str">
        <f t="shared" si="371"/>
        <v/>
      </c>
      <c r="DH224" s="533" t="str">
        <f t="shared" si="371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6"/>
        <v/>
      </c>
      <c r="CF226" s="81" t="str">
        <f t="shared" si="376"/>
        <v/>
      </c>
      <c r="CG226" s="81" t="str">
        <f t="shared" si="376"/>
        <v/>
      </c>
      <c r="CH226" s="145" t="str">
        <f t="shared" si="376"/>
        <v/>
      </c>
      <c r="CI226" s="145" t="str">
        <f t="shared" si="376"/>
        <v/>
      </c>
      <c r="CJ226" s="145" t="str">
        <f t="shared" si="376"/>
        <v/>
      </c>
      <c r="CK226" s="81" t="str">
        <f t="shared" si="376"/>
        <v/>
      </c>
      <c r="CL226" s="81" t="str">
        <f t="shared" si="376"/>
        <v/>
      </c>
      <c r="CM226" s="81" t="str">
        <f t="shared" si="376"/>
        <v/>
      </c>
      <c r="CN226" s="81" t="str">
        <f t="shared" si="376"/>
        <v/>
      </c>
      <c r="CO226" s="81" t="str">
        <f t="shared" si="376"/>
        <v/>
      </c>
      <c r="CP226" s="80" t="str">
        <f t="shared" si="376"/>
        <v/>
      </c>
      <c r="CQ226" s="509" t="str">
        <f t="shared" ref="CE226:CQ230" si="377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78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78"/>
        <v/>
      </c>
      <c r="CT226" s="535" t="str">
        <f t="shared" si="378"/>
        <v/>
      </c>
      <c r="CU226" s="535" t="str">
        <f t="shared" si="378"/>
        <v/>
      </c>
      <c r="CV226" s="535" t="str">
        <f t="shared" si="378"/>
        <v/>
      </c>
      <c r="CW226" s="535" t="str">
        <f t="shared" si="378"/>
        <v/>
      </c>
      <c r="CX226" s="535" t="str">
        <f t="shared" si="378"/>
        <v/>
      </c>
      <c r="CY226" s="536" t="str">
        <f t="shared" si="378"/>
        <v/>
      </c>
      <c r="CZ226" s="536" t="str">
        <f t="shared" si="378"/>
        <v/>
      </c>
      <c r="DA226" s="536" t="str">
        <f t="shared" si="378"/>
        <v/>
      </c>
      <c r="DB226" s="535" t="str">
        <f t="shared" ref="DB226:DH230" si="379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79"/>
        <v/>
      </c>
      <c r="DD226" s="535" t="str">
        <f t="shared" si="379"/>
        <v/>
      </c>
      <c r="DE226" s="535" t="str">
        <f t="shared" si="379"/>
        <v/>
      </c>
      <c r="DF226" s="535" t="str">
        <f t="shared" si="379"/>
        <v/>
      </c>
      <c r="DG226" s="534" t="str">
        <f t="shared" si="379"/>
        <v/>
      </c>
      <c r="DH226" s="533" t="str">
        <f t="shared" si="379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7"/>
        <v/>
      </c>
      <c r="CF227" s="81" t="str">
        <f t="shared" si="377"/>
        <v/>
      </c>
      <c r="CG227" s="81" t="str">
        <f t="shared" si="377"/>
        <v/>
      </c>
      <c r="CH227" s="145" t="str">
        <f t="shared" si="377"/>
        <v/>
      </c>
      <c r="CI227" s="145" t="str">
        <f t="shared" si="377"/>
        <v/>
      </c>
      <c r="CJ227" s="145" t="str">
        <f t="shared" si="377"/>
        <v/>
      </c>
      <c r="CK227" s="81" t="str">
        <f t="shared" si="377"/>
        <v/>
      </c>
      <c r="CL227" s="81" t="str">
        <f t="shared" si="377"/>
        <v/>
      </c>
      <c r="CM227" s="81" t="str">
        <f t="shared" si="377"/>
        <v/>
      </c>
      <c r="CN227" s="81" t="str">
        <f t="shared" si="377"/>
        <v/>
      </c>
      <c r="CO227" s="81" t="str">
        <f t="shared" si="377"/>
        <v/>
      </c>
      <c r="CP227" s="80" t="str">
        <f t="shared" si="377"/>
        <v/>
      </c>
      <c r="CQ227" s="509" t="str">
        <f t="shared" si="377"/>
        <v/>
      </c>
      <c r="CR227" s="533" t="str">
        <f t="shared" si="378"/>
        <v/>
      </c>
      <c r="CS227" s="534" t="str">
        <f t="shared" si="378"/>
        <v/>
      </c>
      <c r="CT227" s="535" t="str">
        <f t="shared" si="378"/>
        <v/>
      </c>
      <c r="CU227" s="535" t="str">
        <f t="shared" si="378"/>
        <v/>
      </c>
      <c r="CV227" s="535" t="str">
        <f t="shared" si="378"/>
        <v/>
      </c>
      <c r="CW227" s="535" t="str">
        <f t="shared" si="378"/>
        <v/>
      </c>
      <c r="CX227" s="535" t="str">
        <f t="shared" si="378"/>
        <v/>
      </c>
      <c r="CY227" s="536" t="str">
        <f t="shared" si="378"/>
        <v/>
      </c>
      <c r="CZ227" s="536" t="str">
        <f t="shared" si="378"/>
        <v/>
      </c>
      <c r="DA227" s="536" t="str">
        <f t="shared" si="378"/>
        <v/>
      </c>
      <c r="DB227" s="535" t="str">
        <f t="shared" si="379"/>
        <v/>
      </c>
      <c r="DC227" s="535" t="str">
        <f t="shared" si="379"/>
        <v/>
      </c>
      <c r="DD227" s="535" t="str">
        <f t="shared" si="379"/>
        <v/>
      </c>
      <c r="DE227" s="535" t="str">
        <f t="shared" si="379"/>
        <v/>
      </c>
      <c r="DF227" s="535" t="str">
        <f t="shared" si="379"/>
        <v/>
      </c>
      <c r="DG227" s="534" t="str">
        <f t="shared" si="379"/>
        <v/>
      </c>
      <c r="DH227" s="533" t="str">
        <f t="shared" si="379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7"/>
        <v/>
      </c>
      <c r="CF228" s="81" t="str">
        <f t="shared" si="377"/>
        <v/>
      </c>
      <c r="CG228" s="81" t="str">
        <f t="shared" si="377"/>
        <v/>
      </c>
      <c r="CH228" s="145" t="str">
        <f t="shared" si="377"/>
        <v/>
      </c>
      <c r="CI228" s="145" t="str">
        <f t="shared" si="377"/>
        <v/>
      </c>
      <c r="CJ228" s="145" t="str">
        <f t="shared" si="377"/>
        <v/>
      </c>
      <c r="CK228" s="81" t="str">
        <f t="shared" si="377"/>
        <v/>
      </c>
      <c r="CL228" s="81" t="str">
        <f t="shared" si="377"/>
        <v/>
      </c>
      <c r="CM228" s="81" t="str">
        <f t="shared" si="377"/>
        <v/>
      </c>
      <c r="CN228" s="81" t="str">
        <f t="shared" si="377"/>
        <v/>
      </c>
      <c r="CO228" s="81" t="str">
        <f t="shared" si="377"/>
        <v/>
      </c>
      <c r="CP228" s="80" t="str">
        <f t="shared" si="377"/>
        <v/>
      </c>
      <c r="CQ228" s="509" t="str">
        <f t="shared" si="377"/>
        <v/>
      </c>
      <c r="CR228" s="533" t="str">
        <f t="shared" si="378"/>
        <v/>
      </c>
      <c r="CS228" s="534" t="str">
        <f t="shared" si="378"/>
        <v/>
      </c>
      <c r="CT228" s="535" t="str">
        <f t="shared" si="378"/>
        <v/>
      </c>
      <c r="CU228" s="535" t="str">
        <f t="shared" si="378"/>
        <v/>
      </c>
      <c r="CV228" s="535" t="str">
        <f t="shared" si="378"/>
        <v/>
      </c>
      <c r="CW228" s="535" t="str">
        <f t="shared" si="378"/>
        <v/>
      </c>
      <c r="CX228" s="535" t="str">
        <f t="shared" si="378"/>
        <v/>
      </c>
      <c r="CY228" s="536" t="str">
        <f t="shared" si="378"/>
        <v/>
      </c>
      <c r="CZ228" s="536" t="str">
        <f t="shared" si="378"/>
        <v/>
      </c>
      <c r="DA228" s="536" t="str">
        <f t="shared" si="378"/>
        <v/>
      </c>
      <c r="DB228" s="535" t="str">
        <f t="shared" si="379"/>
        <v/>
      </c>
      <c r="DC228" s="535" t="str">
        <f t="shared" si="379"/>
        <v/>
      </c>
      <c r="DD228" s="535" t="str">
        <f t="shared" si="379"/>
        <v/>
      </c>
      <c r="DE228" s="535" t="str">
        <f t="shared" si="379"/>
        <v/>
      </c>
      <c r="DF228" s="535" t="str">
        <f t="shared" si="379"/>
        <v/>
      </c>
      <c r="DG228" s="534" t="str">
        <f t="shared" si="379"/>
        <v/>
      </c>
      <c r="DH228" s="533" t="str">
        <f t="shared" si="379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7"/>
        <v/>
      </c>
      <c r="CF229" s="81" t="str">
        <f t="shared" si="377"/>
        <v/>
      </c>
      <c r="CG229" s="81" t="str">
        <f t="shared" si="377"/>
        <v/>
      </c>
      <c r="CH229" s="145" t="str">
        <f t="shared" si="377"/>
        <v/>
      </c>
      <c r="CI229" s="145" t="str">
        <f t="shared" si="377"/>
        <v/>
      </c>
      <c r="CJ229" s="145" t="str">
        <f t="shared" si="377"/>
        <v/>
      </c>
      <c r="CK229" s="81" t="str">
        <f t="shared" si="377"/>
        <v/>
      </c>
      <c r="CL229" s="81" t="str">
        <f t="shared" si="377"/>
        <v/>
      </c>
      <c r="CM229" s="81" t="str">
        <f t="shared" si="377"/>
        <v/>
      </c>
      <c r="CN229" s="81" t="str">
        <f t="shared" si="377"/>
        <v/>
      </c>
      <c r="CO229" s="81" t="str">
        <f t="shared" si="377"/>
        <v/>
      </c>
      <c r="CP229" s="80" t="str">
        <f t="shared" si="377"/>
        <v/>
      </c>
      <c r="CQ229" s="509" t="str">
        <f t="shared" si="377"/>
        <v/>
      </c>
      <c r="CR229" s="533" t="str">
        <f t="shared" si="378"/>
        <v/>
      </c>
      <c r="CS229" s="534" t="str">
        <f t="shared" si="378"/>
        <v/>
      </c>
      <c r="CT229" s="535" t="str">
        <f t="shared" si="378"/>
        <v/>
      </c>
      <c r="CU229" s="535" t="str">
        <f t="shared" si="378"/>
        <v/>
      </c>
      <c r="CV229" s="535" t="str">
        <f t="shared" si="378"/>
        <v/>
      </c>
      <c r="CW229" s="535" t="str">
        <f t="shared" si="378"/>
        <v/>
      </c>
      <c r="CX229" s="535" t="str">
        <f t="shared" si="378"/>
        <v/>
      </c>
      <c r="CY229" s="536" t="str">
        <f t="shared" si="378"/>
        <v/>
      </c>
      <c r="CZ229" s="536" t="str">
        <f t="shared" si="378"/>
        <v/>
      </c>
      <c r="DA229" s="536" t="str">
        <f t="shared" si="378"/>
        <v/>
      </c>
      <c r="DB229" s="535" t="str">
        <f t="shared" si="379"/>
        <v/>
      </c>
      <c r="DC229" s="535" t="str">
        <f t="shared" si="379"/>
        <v/>
      </c>
      <c r="DD229" s="535" t="str">
        <f t="shared" si="379"/>
        <v/>
      </c>
      <c r="DE229" s="535" t="str">
        <f t="shared" si="379"/>
        <v/>
      </c>
      <c r="DF229" s="535" t="str">
        <f t="shared" si="379"/>
        <v/>
      </c>
      <c r="DG229" s="534" t="str">
        <f t="shared" si="379"/>
        <v/>
      </c>
      <c r="DH229" s="533" t="str">
        <f t="shared" si="379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0">IF(B227="","",B226*B227*B228*B229)</f>
        <v/>
      </c>
      <c r="C230" s="870" t="str">
        <f t="shared" si="380"/>
        <v/>
      </c>
      <c r="D230" s="870" t="str">
        <f t="shared" si="380"/>
        <v/>
      </c>
      <c r="E230" s="870" t="str">
        <f t="shared" si="380"/>
        <v/>
      </c>
      <c r="F230" s="870" t="str">
        <f t="shared" si="380"/>
        <v/>
      </c>
      <c r="G230" s="870" t="str">
        <f t="shared" si="380"/>
        <v/>
      </c>
      <c r="H230" s="870" t="str">
        <f t="shared" si="380"/>
        <v/>
      </c>
      <c r="I230" s="870" t="str">
        <f t="shared" si="380"/>
        <v/>
      </c>
      <c r="J230" s="870" t="str">
        <f t="shared" si="380"/>
        <v/>
      </c>
      <c r="K230" s="870" t="str">
        <f t="shared" si="380"/>
        <v/>
      </c>
      <c r="L230" s="870" t="str">
        <f t="shared" si="380"/>
        <v/>
      </c>
      <c r="M230" s="870" t="str">
        <f t="shared" si="380"/>
        <v/>
      </c>
      <c r="N230" s="870" t="str">
        <f t="shared" si="380"/>
        <v/>
      </c>
      <c r="O230" s="870" t="str">
        <f t="shared" si="380"/>
        <v/>
      </c>
      <c r="P230" s="870" t="str">
        <f t="shared" si="380"/>
        <v/>
      </c>
      <c r="Q230" s="870" t="str">
        <f t="shared" si="380"/>
        <v/>
      </c>
      <c r="R230" s="870" t="str">
        <f t="shared" si="380"/>
        <v/>
      </c>
      <c r="S230" s="858"/>
      <c r="T230" s="870" t="str">
        <f t="shared" ref="T230:AC230" si="381">IF(T227="","",T226*T227*T228*T229)</f>
        <v/>
      </c>
      <c r="U230" s="870" t="str">
        <f t="shared" si="381"/>
        <v/>
      </c>
      <c r="V230" s="870" t="str">
        <f t="shared" si="381"/>
        <v/>
      </c>
      <c r="W230" s="870" t="str">
        <f t="shared" si="381"/>
        <v/>
      </c>
      <c r="X230" s="870" t="str">
        <f t="shared" si="381"/>
        <v/>
      </c>
      <c r="Y230" s="870" t="str">
        <f t="shared" si="381"/>
        <v/>
      </c>
      <c r="Z230" s="870" t="str">
        <f t="shared" si="381"/>
        <v/>
      </c>
      <c r="AA230" s="870" t="str">
        <f t="shared" si="381"/>
        <v/>
      </c>
      <c r="AB230" s="870" t="str">
        <f t="shared" si="381"/>
        <v/>
      </c>
      <c r="AC230" s="870" t="str">
        <f t="shared" si="381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2">IF(AL227="","",AL226*AL227*AL228*AL229)</f>
        <v/>
      </c>
      <c r="AM230" s="870" t="str">
        <f t="shared" si="382"/>
        <v/>
      </c>
      <c r="AN230" s="870" t="str">
        <f t="shared" si="382"/>
        <v/>
      </c>
      <c r="AO230" s="870" t="str">
        <f t="shared" si="382"/>
        <v/>
      </c>
      <c r="AP230" s="870" t="str">
        <f t="shared" si="382"/>
        <v/>
      </c>
      <c r="AQ230" s="870" t="str">
        <f t="shared" si="382"/>
        <v/>
      </c>
      <c r="AR230" s="870" t="str">
        <f t="shared" si="382"/>
        <v/>
      </c>
      <c r="AS230" s="870" t="str">
        <f t="shared" si="382"/>
        <v/>
      </c>
      <c r="AT230" s="870" t="str">
        <f t="shared" si="382"/>
        <v/>
      </c>
      <c r="AU230" s="870" t="str">
        <f t="shared" si="382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3">IF(BD227="","",BD226*BD227*BD228*BD229)</f>
        <v/>
      </c>
      <c r="BE230" s="870" t="str">
        <f t="shared" si="383"/>
        <v/>
      </c>
      <c r="BF230" s="870" t="str">
        <f t="shared" si="383"/>
        <v/>
      </c>
      <c r="BG230" s="870" t="str">
        <f t="shared" si="383"/>
        <v/>
      </c>
      <c r="BH230" s="870" t="str">
        <f t="shared" si="383"/>
        <v/>
      </c>
      <c r="BI230" s="870" t="str">
        <f t="shared" si="383"/>
        <v/>
      </c>
      <c r="BJ230" s="870" t="str">
        <f t="shared" si="383"/>
        <v/>
      </c>
      <c r="BK230" s="870" t="str">
        <f t="shared" si="383"/>
        <v/>
      </c>
      <c r="BL230" s="870" t="str">
        <f t="shared" si="383"/>
        <v/>
      </c>
      <c r="BM230" s="870" t="str">
        <f t="shared" si="383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7"/>
        <v/>
      </c>
      <c r="CF230" s="81" t="str">
        <f t="shared" si="377"/>
        <v/>
      </c>
      <c r="CG230" s="81" t="str">
        <f t="shared" si="377"/>
        <v/>
      </c>
      <c r="CH230" s="145" t="str">
        <f t="shared" si="377"/>
        <v/>
      </c>
      <c r="CI230" s="145" t="str">
        <f t="shared" si="377"/>
        <v/>
      </c>
      <c r="CJ230" s="145" t="str">
        <f t="shared" si="377"/>
        <v/>
      </c>
      <c r="CK230" s="81" t="str">
        <f t="shared" si="377"/>
        <v/>
      </c>
      <c r="CL230" s="81" t="str">
        <f t="shared" si="377"/>
        <v/>
      </c>
      <c r="CM230" s="81" t="str">
        <f t="shared" si="377"/>
        <v/>
      </c>
      <c r="CN230" s="81" t="str">
        <f t="shared" si="377"/>
        <v/>
      </c>
      <c r="CO230" s="81" t="str">
        <f t="shared" si="377"/>
        <v/>
      </c>
      <c r="CP230" s="80" t="str">
        <f t="shared" si="377"/>
        <v/>
      </c>
      <c r="CQ230" s="509" t="str">
        <f t="shared" si="377"/>
        <v/>
      </c>
      <c r="CR230" s="533" t="str">
        <f t="shared" si="378"/>
        <v/>
      </c>
      <c r="CS230" s="534" t="str">
        <f t="shared" si="378"/>
        <v/>
      </c>
      <c r="CT230" s="535" t="str">
        <f t="shared" si="378"/>
        <v/>
      </c>
      <c r="CU230" s="535" t="str">
        <f t="shared" si="378"/>
        <v/>
      </c>
      <c r="CV230" s="535" t="str">
        <f t="shared" si="378"/>
        <v/>
      </c>
      <c r="CW230" s="535" t="str">
        <f t="shared" si="378"/>
        <v/>
      </c>
      <c r="CX230" s="535" t="str">
        <f t="shared" si="378"/>
        <v/>
      </c>
      <c r="CY230" s="536" t="str">
        <f t="shared" si="378"/>
        <v/>
      </c>
      <c r="CZ230" s="536" t="str">
        <f t="shared" si="378"/>
        <v/>
      </c>
      <c r="DA230" s="536" t="str">
        <f t="shared" si="378"/>
        <v/>
      </c>
      <c r="DB230" s="535" t="str">
        <f t="shared" si="379"/>
        <v/>
      </c>
      <c r="DC230" s="535" t="str">
        <f t="shared" si="379"/>
        <v/>
      </c>
      <c r="DD230" s="535" t="str">
        <f t="shared" si="379"/>
        <v/>
      </c>
      <c r="DE230" s="535" t="str">
        <f t="shared" si="379"/>
        <v/>
      </c>
      <c r="DF230" s="535" t="str">
        <f t="shared" si="379"/>
        <v/>
      </c>
      <c r="DG230" s="534" t="str">
        <f t="shared" si="379"/>
        <v/>
      </c>
      <c r="DH230" s="533" t="str">
        <f t="shared" si="379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4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4"/>
        <v/>
      </c>
      <c r="CF232" s="81" t="str">
        <f t="shared" si="384"/>
        <v/>
      </c>
      <c r="CG232" s="81" t="str">
        <f t="shared" si="384"/>
        <v/>
      </c>
      <c r="CH232" s="145" t="str">
        <f t="shared" si="384"/>
        <v/>
      </c>
      <c r="CI232" s="145" t="str">
        <f t="shared" si="384"/>
        <v/>
      </c>
      <c r="CJ232" s="145" t="str">
        <f t="shared" si="384"/>
        <v/>
      </c>
      <c r="CK232" s="81" t="str">
        <f t="shared" si="384"/>
        <v/>
      </c>
      <c r="CL232" s="81" t="str">
        <f t="shared" si="384"/>
        <v/>
      </c>
      <c r="CM232" s="81" t="str">
        <f t="shared" si="384"/>
        <v/>
      </c>
      <c r="CN232" s="81" t="str">
        <f t="shared" si="384"/>
        <v/>
      </c>
      <c r="CO232" s="81" t="str">
        <f t="shared" si="384"/>
        <v/>
      </c>
      <c r="CP232" s="80" t="str">
        <f t="shared" si="384"/>
        <v/>
      </c>
      <c r="CQ232" s="509" t="str">
        <f t="shared" ref="CE232:CQ236" si="385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6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6"/>
        <v/>
      </c>
      <c r="CT232" s="535" t="str">
        <f t="shared" si="386"/>
        <v/>
      </c>
      <c r="CU232" s="535" t="str">
        <f t="shared" si="386"/>
        <v/>
      </c>
      <c r="CV232" s="535" t="str">
        <f t="shared" si="386"/>
        <v/>
      </c>
      <c r="CW232" s="535" t="str">
        <f t="shared" si="386"/>
        <v/>
      </c>
      <c r="CX232" s="535" t="str">
        <f t="shared" si="386"/>
        <v/>
      </c>
      <c r="CY232" s="536" t="str">
        <f t="shared" si="386"/>
        <v/>
      </c>
      <c r="CZ232" s="536" t="str">
        <f t="shared" si="386"/>
        <v/>
      </c>
      <c r="DA232" s="536" t="str">
        <f t="shared" si="386"/>
        <v/>
      </c>
      <c r="DB232" s="535" t="str">
        <f t="shared" ref="DB232:DH236" si="387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87"/>
        <v/>
      </c>
      <c r="DD232" s="535" t="str">
        <f t="shared" si="387"/>
        <v/>
      </c>
      <c r="DE232" s="535" t="str">
        <f t="shared" si="387"/>
        <v/>
      </c>
      <c r="DF232" s="535" t="str">
        <f t="shared" si="387"/>
        <v/>
      </c>
      <c r="DG232" s="534" t="str">
        <f t="shared" si="387"/>
        <v/>
      </c>
      <c r="DH232" s="533" t="str">
        <f t="shared" si="387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5"/>
        <v/>
      </c>
      <c r="CF233" s="81" t="str">
        <f t="shared" si="385"/>
        <v/>
      </c>
      <c r="CG233" s="81" t="str">
        <f t="shared" si="385"/>
        <v/>
      </c>
      <c r="CH233" s="145" t="str">
        <f t="shared" si="385"/>
        <v/>
      </c>
      <c r="CI233" s="145" t="str">
        <f t="shared" si="385"/>
        <v/>
      </c>
      <c r="CJ233" s="145" t="str">
        <f t="shared" si="385"/>
        <v/>
      </c>
      <c r="CK233" s="81" t="str">
        <f t="shared" si="385"/>
        <v/>
      </c>
      <c r="CL233" s="81" t="str">
        <f t="shared" si="385"/>
        <v/>
      </c>
      <c r="CM233" s="81" t="str">
        <f t="shared" si="385"/>
        <v/>
      </c>
      <c r="CN233" s="81" t="str">
        <f t="shared" si="385"/>
        <v/>
      </c>
      <c r="CO233" s="81" t="str">
        <f t="shared" si="385"/>
        <v/>
      </c>
      <c r="CP233" s="80" t="str">
        <f t="shared" si="385"/>
        <v/>
      </c>
      <c r="CQ233" s="509" t="str">
        <f t="shared" si="385"/>
        <v/>
      </c>
      <c r="CR233" s="533" t="str">
        <f t="shared" si="386"/>
        <v/>
      </c>
      <c r="CS233" s="534" t="str">
        <f t="shared" si="386"/>
        <v/>
      </c>
      <c r="CT233" s="535" t="str">
        <f t="shared" si="386"/>
        <v/>
      </c>
      <c r="CU233" s="535" t="str">
        <f t="shared" si="386"/>
        <v/>
      </c>
      <c r="CV233" s="535" t="str">
        <f t="shared" si="386"/>
        <v/>
      </c>
      <c r="CW233" s="535" t="str">
        <f t="shared" si="386"/>
        <v/>
      </c>
      <c r="CX233" s="535" t="str">
        <f t="shared" si="386"/>
        <v/>
      </c>
      <c r="CY233" s="536" t="str">
        <f t="shared" si="386"/>
        <v/>
      </c>
      <c r="CZ233" s="536" t="str">
        <f t="shared" si="386"/>
        <v/>
      </c>
      <c r="DA233" s="536" t="str">
        <f t="shared" si="386"/>
        <v/>
      </c>
      <c r="DB233" s="535" t="str">
        <f t="shared" si="387"/>
        <v/>
      </c>
      <c r="DC233" s="535" t="str">
        <f t="shared" si="387"/>
        <v/>
      </c>
      <c r="DD233" s="535" t="str">
        <f t="shared" si="387"/>
        <v/>
      </c>
      <c r="DE233" s="535" t="str">
        <f t="shared" si="387"/>
        <v/>
      </c>
      <c r="DF233" s="535" t="str">
        <f t="shared" si="387"/>
        <v/>
      </c>
      <c r="DG233" s="534" t="str">
        <f t="shared" si="387"/>
        <v/>
      </c>
      <c r="DH233" s="533" t="str">
        <f t="shared" si="387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5"/>
        <v/>
      </c>
      <c r="CF234" s="81" t="str">
        <f t="shared" si="385"/>
        <v/>
      </c>
      <c r="CG234" s="81" t="str">
        <f t="shared" si="385"/>
        <v/>
      </c>
      <c r="CH234" s="145" t="str">
        <f t="shared" si="385"/>
        <v/>
      </c>
      <c r="CI234" s="145" t="str">
        <f t="shared" si="385"/>
        <v/>
      </c>
      <c r="CJ234" s="145" t="str">
        <f t="shared" si="385"/>
        <v/>
      </c>
      <c r="CK234" s="81" t="str">
        <f t="shared" si="385"/>
        <v/>
      </c>
      <c r="CL234" s="81" t="str">
        <f t="shared" si="385"/>
        <v/>
      </c>
      <c r="CM234" s="81" t="str">
        <f t="shared" si="385"/>
        <v/>
      </c>
      <c r="CN234" s="81" t="str">
        <f t="shared" si="385"/>
        <v/>
      </c>
      <c r="CO234" s="81" t="str">
        <f t="shared" si="385"/>
        <v/>
      </c>
      <c r="CP234" s="80" t="str">
        <f t="shared" si="385"/>
        <v/>
      </c>
      <c r="CQ234" s="509" t="str">
        <f t="shared" si="385"/>
        <v/>
      </c>
      <c r="CR234" s="533" t="str">
        <f t="shared" si="386"/>
        <v/>
      </c>
      <c r="CS234" s="534" t="str">
        <f t="shared" si="386"/>
        <v/>
      </c>
      <c r="CT234" s="535" t="str">
        <f t="shared" si="386"/>
        <v/>
      </c>
      <c r="CU234" s="535" t="str">
        <f t="shared" si="386"/>
        <v/>
      </c>
      <c r="CV234" s="535" t="str">
        <f t="shared" si="386"/>
        <v/>
      </c>
      <c r="CW234" s="535" t="str">
        <f t="shared" si="386"/>
        <v/>
      </c>
      <c r="CX234" s="535" t="str">
        <f t="shared" si="386"/>
        <v/>
      </c>
      <c r="CY234" s="536" t="str">
        <f t="shared" si="386"/>
        <v/>
      </c>
      <c r="CZ234" s="536" t="str">
        <f t="shared" si="386"/>
        <v/>
      </c>
      <c r="DA234" s="536" t="str">
        <f t="shared" si="386"/>
        <v/>
      </c>
      <c r="DB234" s="535" t="str">
        <f t="shared" si="387"/>
        <v/>
      </c>
      <c r="DC234" s="535" t="str">
        <f t="shared" si="387"/>
        <v/>
      </c>
      <c r="DD234" s="535" t="str">
        <f t="shared" si="387"/>
        <v/>
      </c>
      <c r="DE234" s="535" t="str">
        <f t="shared" si="387"/>
        <v/>
      </c>
      <c r="DF234" s="535" t="str">
        <f t="shared" si="387"/>
        <v/>
      </c>
      <c r="DG234" s="534" t="str">
        <f t="shared" si="387"/>
        <v/>
      </c>
      <c r="DH234" s="533" t="str">
        <f t="shared" si="387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5"/>
        <v/>
      </c>
      <c r="CF235" s="81" t="str">
        <f t="shared" si="385"/>
        <v/>
      </c>
      <c r="CG235" s="81" t="str">
        <f t="shared" si="385"/>
        <v/>
      </c>
      <c r="CH235" s="145" t="str">
        <f t="shared" si="385"/>
        <v/>
      </c>
      <c r="CI235" s="145" t="str">
        <f t="shared" si="385"/>
        <v/>
      </c>
      <c r="CJ235" s="145" t="str">
        <f t="shared" si="385"/>
        <v/>
      </c>
      <c r="CK235" s="81" t="str">
        <f t="shared" si="385"/>
        <v/>
      </c>
      <c r="CL235" s="81" t="str">
        <f t="shared" si="385"/>
        <v/>
      </c>
      <c r="CM235" s="81" t="str">
        <f t="shared" si="385"/>
        <v/>
      </c>
      <c r="CN235" s="81" t="str">
        <f t="shared" si="385"/>
        <v/>
      </c>
      <c r="CO235" s="81" t="str">
        <f t="shared" si="385"/>
        <v/>
      </c>
      <c r="CP235" s="80" t="str">
        <f t="shared" si="385"/>
        <v/>
      </c>
      <c r="CQ235" s="509" t="str">
        <f t="shared" si="385"/>
        <v/>
      </c>
      <c r="CR235" s="533" t="str">
        <f t="shared" si="386"/>
        <v/>
      </c>
      <c r="CS235" s="534" t="str">
        <f t="shared" si="386"/>
        <v/>
      </c>
      <c r="CT235" s="535" t="str">
        <f t="shared" si="386"/>
        <v/>
      </c>
      <c r="CU235" s="535" t="str">
        <f t="shared" si="386"/>
        <v/>
      </c>
      <c r="CV235" s="535" t="str">
        <f t="shared" si="386"/>
        <v/>
      </c>
      <c r="CW235" s="535" t="str">
        <f t="shared" si="386"/>
        <v/>
      </c>
      <c r="CX235" s="535" t="str">
        <f t="shared" si="386"/>
        <v/>
      </c>
      <c r="CY235" s="536" t="str">
        <f t="shared" si="386"/>
        <v/>
      </c>
      <c r="CZ235" s="536" t="str">
        <f t="shared" si="386"/>
        <v/>
      </c>
      <c r="DA235" s="536" t="str">
        <f t="shared" si="386"/>
        <v/>
      </c>
      <c r="DB235" s="535" t="str">
        <f t="shared" si="387"/>
        <v/>
      </c>
      <c r="DC235" s="535" t="str">
        <f t="shared" si="387"/>
        <v/>
      </c>
      <c r="DD235" s="535" t="str">
        <f t="shared" si="387"/>
        <v/>
      </c>
      <c r="DE235" s="535" t="str">
        <f t="shared" si="387"/>
        <v/>
      </c>
      <c r="DF235" s="535" t="str">
        <f t="shared" si="387"/>
        <v/>
      </c>
      <c r="DG235" s="534" t="str">
        <f t="shared" si="387"/>
        <v/>
      </c>
      <c r="DH235" s="533" t="str">
        <f t="shared" si="387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88">IF(B233="","",B232*B233*B234*B235)</f>
        <v/>
      </c>
      <c r="C236" s="870" t="str">
        <f t="shared" si="388"/>
        <v/>
      </c>
      <c r="D236" s="870" t="str">
        <f t="shared" si="388"/>
        <v/>
      </c>
      <c r="E236" s="870" t="str">
        <f t="shared" si="388"/>
        <v/>
      </c>
      <c r="F236" s="870" t="str">
        <f t="shared" si="388"/>
        <v/>
      </c>
      <c r="G236" s="870" t="str">
        <f t="shared" si="388"/>
        <v/>
      </c>
      <c r="H236" s="870" t="str">
        <f t="shared" si="388"/>
        <v/>
      </c>
      <c r="I236" s="870" t="str">
        <f t="shared" si="388"/>
        <v/>
      </c>
      <c r="J236" s="870" t="str">
        <f t="shared" si="388"/>
        <v/>
      </c>
      <c r="K236" s="870" t="str">
        <f t="shared" si="388"/>
        <v/>
      </c>
      <c r="L236" s="870" t="str">
        <f t="shared" si="388"/>
        <v/>
      </c>
      <c r="M236" s="870" t="str">
        <f t="shared" si="388"/>
        <v/>
      </c>
      <c r="N236" s="870" t="str">
        <f t="shared" si="388"/>
        <v/>
      </c>
      <c r="O236" s="870" t="str">
        <f t="shared" si="388"/>
        <v/>
      </c>
      <c r="P236" s="870" t="str">
        <f t="shared" si="388"/>
        <v/>
      </c>
      <c r="Q236" s="870" t="str">
        <f t="shared" si="388"/>
        <v/>
      </c>
      <c r="R236" s="870" t="str">
        <f t="shared" si="388"/>
        <v/>
      </c>
      <c r="S236" s="858"/>
      <c r="T236" s="870" t="str">
        <f t="shared" ref="T236:AC236" si="389">IF(T233="","",T232*T233*T234*T235)</f>
        <v/>
      </c>
      <c r="U236" s="870" t="str">
        <f t="shared" si="389"/>
        <v/>
      </c>
      <c r="V236" s="870" t="str">
        <f t="shared" si="389"/>
        <v/>
      </c>
      <c r="W236" s="870" t="str">
        <f t="shared" si="389"/>
        <v/>
      </c>
      <c r="X236" s="870" t="str">
        <f t="shared" si="389"/>
        <v/>
      </c>
      <c r="Y236" s="870" t="str">
        <f t="shared" si="389"/>
        <v/>
      </c>
      <c r="Z236" s="870" t="str">
        <f t="shared" si="389"/>
        <v/>
      </c>
      <c r="AA236" s="870" t="str">
        <f t="shared" si="389"/>
        <v/>
      </c>
      <c r="AB236" s="870" t="str">
        <f t="shared" si="389"/>
        <v/>
      </c>
      <c r="AC236" s="870" t="str">
        <f t="shared" si="389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0">IF(AL233="","",AL232*AL233*AL234*AL235)</f>
        <v/>
      </c>
      <c r="AM236" s="870" t="str">
        <f t="shared" si="390"/>
        <v/>
      </c>
      <c r="AN236" s="870" t="str">
        <f t="shared" si="390"/>
        <v/>
      </c>
      <c r="AO236" s="870" t="str">
        <f t="shared" si="390"/>
        <v/>
      </c>
      <c r="AP236" s="870" t="str">
        <f t="shared" si="390"/>
        <v/>
      </c>
      <c r="AQ236" s="870" t="str">
        <f t="shared" si="390"/>
        <v/>
      </c>
      <c r="AR236" s="870" t="str">
        <f t="shared" si="390"/>
        <v/>
      </c>
      <c r="AS236" s="870" t="str">
        <f t="shared" si="390"/>
        <v/>
      </c>
      <c r="AT236" s="870" t="str">
        <f t="shared" si="390"/>
        <v/>
      </c>
      <c r="AU236" s="870" t="str">
        <f t="shared" si="390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1">IF(BD233="","",BD232*BD233*BD234*BD235)</f>
        <v/>
      </c>
      <c r="BE236" s="870" t="str">
        <f t="shared" si="391"/>
        <v/>
      </c>
      <c r="BF236" s="870" t="str">
        <f t="shared" si="391"/>
        <v/>
      </c>
      <c r="BG236" s="870" t="str">
        <f t="shared" si="391"/>
        <v/>
      </c>
      <c r="BH236" s="870" t="str">
        <f t="shared" si="391"/>
        <v/>
      </c>
      <c r="BI236" s="870" t="str">
        <f t="shared" si="391"/>
        <v/>
      </c>
      <c r="BJ236" s="870" t="str">
        <f t="shared" si="391"/>
        <v/>
      </c>
      <c r="BK236" s="870" t="str">
        <f t="shared" si="391"/>
        <v/>
      </c>
      <c r="BL236" s="870" t="str">
        <f t="shared" si="391"/>
        <v/>
      </c>
      <c r="BM236" s="870" t="str">
        <f t="shared" si="391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5"/>
        <v/>
      </c>
      <c r="CF236" s="81" t="str">
        <f t="shared" si="385"/>
        <v/>
      </c>
      <c r="CG236" s="81" t="str">
        <f t="shared" si="385"/>
        <v/>
      </c>
      <c r="CH236" s="145" t="str">
        <f t="shared" si="385"/>
        <v/>
      </c>
      <c r="CI236" s="145" t="str">
        <f t="shared" si="385"/>
        <v/>
      </c>
      <c r="CJ236" s="145" t="str">
        <f t="shared" si="385"/>
        <v/>
      </c>
      <c r="CK236" s="81" t="str">
        <f t="shared" si="385"/>
        <v/>
      </c>
      <c r="CL236" s="81" t="str">
        <f t="shared" si="385"/>
        <v/>
      </c>
      <c r="CM236" s="81" t="str">
        <f t="shared" si="385"/>
        <v/>
      </c>
      <c r="CN236" s="81" t="str">
        <f t="shared" si="385"/>
        <v/>
      </c>
      <c r="CO236" s="81" t="str">
        <f t="shared" si="385"/>
        <v/>
      </c>
      <c r="CP236" s="80" t="str">
        <f t="shared" si="385"/>
        <v/>
      </c>
      <c r="CQ236" s="509" t="str">
        <f t="shared" si="385"/>
        <v/>
      </c>
      <c r="CR236" s="533" t="str">
        <f t="shared" si="386"/>
        <v/>
      </c>
      <c r="CS236" s="534" t="str">
        <f t="shared" si="386"/>
        <v/>
      </c>
      <c r="CT236" s="535" t="str">
        <f t="shared" si="386"/>
        <v/>
      </c>
      <c r="CU236" s="535" t="str">
        <f t="shared" si="386"/>
        <v/>
      </c>
      <c r="CV236" s="535" t="str">
        <f t="shared" si="386"/>
        <v/>
      </c>
      <c r="CW236" s="535" t="str">
        <f t="shared" si="386"/>
        <v/>
      </c>
      <c r="CX236" s="535" t="str">
        <f t="shared" si="386"/>
        <v/>
      </c>
      <c r="CY236" s="536" t="str">
        <f t="shared" si="386"/>
        <v/>
      </c>
      <c r="CZ236" s="536" t="str">
        <f t="shared" si="386"/>
        <v/>
      </c>
      <c r="DA236" s="536" t="str">
        <f t="shared" si="386"/>
        <v/>
      </c>
      <c r="DB236" s="535" t="str">
        <f t="shared" si="387"/>
        <v/>
      </c>
      <c r="DC236" s="535" t="str">
        <f t="shared" si="387"/>
        <v/>
      </c>
      <c r="DD236" s="535" t="str">
        <f t="shared" si="387"/>
        <v/>
      </c>
      <c r="DE236" s="535" t="str">
        <f t="shared" si="387"/>
        <v/>
      </c>
      <c r="DF236" s="535" t="str">
        <f t="shared" si="387"/>
        <v/>
      </c>
      <c r="DG236" s="534" t="str">
        <f t="shared" si="387"/>
        <v/>
      </c>
      <c r="DH236" s="533" t="str">
        <f t="shared" si="387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>
        <v>1</v>
      </c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2"/>
        <v/>
      </c>
      <c r="CF238" s="81" t="str">
        <f t="shared" si="392"/>
        <v/>
      </c>
      <c r="CG238" s="81" t="str">
        <f t="shared" si="392"/>
        <v/>
      </c>
      <c r="CH238" s="145" t="str">
        <f t="shared" si="392"/>
        <v/>
      </c>
      <c r="CI238" s="145" t="str">
        <f t="shared" si="392"/>
        <v/>
      </c>
      <c r="CJ238" s="145" t="str">
        <f t="shared" si="392"/>
        <v/>
      </c>
      <c r="CK238" s="81" t="str">
        <f t="shared" si="392"/>
        <v/>
      </c>
      <c r="CL238" s="81" t="str">
        <f t="shared" si="392"/>
        <v/>
      </c>
      <c r="CM238" s="81" t="str">
        <f t="shared" si="392"/>
        <v/>
      </c>
      <c r="CN238" s="81" t="str">
        <f t="shared" si="392"/>
        <v/>
      </c>
      <c r="CO238" s="81" t="str">
        <f t="shared" si="392"/>
        <v/>
      </c>
      <c r="CP238" s="80" t="str">
        <f t="shared" si="392"/>
        <v/>
      </c>
      <c r="CQ238" s="509" t="str">
        <f t="shared" ref="CE238:CQ242" si="393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4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4"/>
        <v/>
      </c>
      <c r="CT238" s="535" t="str">
        <f t="shared" si="394"/>
        <v/>
      </c>
      <c r="CU238" s="535" t="str">
        <f t="shared" si="394"/>
        <v/>
      </c>
      <c r="CV238" s="535" t="str">
        <f t="shared" si="394"/>
        <v/>
      </c>
      <c r="CW238" s="535" t="str">
        <f t="shared" si="394"/>
        <v/>
      </c>
      <c r="CX238" s="535" t="str">
        <f t="shared" si="394"/>
        <v/>
      </c>
      <c r="CY238" s="536" t="str">
        <f t="shared" si="394"/>
        <v/>
      </c>
      <c r="CZ238" s="536" t="str">
        <f t="shared" si="394"/>
        <v/>
      </c>
      <c r="DA238" s="536" t="str">
        <f t="shared" si="394"/>
        <v/>
      </c>
      <c r="DB238" s="535" t="str">
        <f t="shared" ref="DB238:DH242" si="395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5"/>
        <v/>
      </c>
      <c r="DD238" s="535" t="str">
        <f t="shared" si="395"/>
        <v/>
      </c>
      <c r="DE238" s="535" t="str">
        <f t="shared" si="395"/>
        <v/>
      </c>
      <c r="DF238" s="535" t="str">
        <f t="shared" si="395"/>
        <v/>
      </c>
      <c r="DG238" s="534" t="str">
        <f t="shared" si="395"/>
        <v/>
      </c>
      <c r="DH238" s="533" t="str">
        <f t="shared" si="395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>
        <v>5</v>
      </c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3"/>
        <v/>
      </c>
      <c r="CF239" s="81" t="str">
        <f t="shared" si="393"/>
        <v/>
      </c>
      <c r="CG239" s="81" t="str">
        <f t="shared" si="393"/>
        <v/>
      </c>
      <c r="CH239" s="145" t="str">
        <f t="shared" si="393"/>
        <v/>
      </c>
      <c r="CI239" s="145" t="str">
        <f t="shared" si="393"/>
        <v/>
      </c>
      <c r="CJ239" s="145" t="str">
        <f t="shared" si="393"/>
        <v/>
      </c>
      <c r="CK239" s="81" t="str">
        <f t="shared" si="393"/>
        <v/>
      </c>
      <c r="CL239" s="81" t="str">
        <f t="shared" si="393"/>
        <v/>
      </c>
      <c r="CM239" s="81" t="str">
        <f t="shared" si="393"/>
        <v/>
      </c>
      <c r="CN239" s="81" t="str">
        <f t="shared" si="393"/>
        <v/>
      </c>
      <c r="CO239" s="81" t="str">
        <f t="shared" si="393"/>
        <v/>
      </c>
      <c r="CP239" s="80" t="str">
        <f t="shared" si="393"/>
        <v/>
      </c>
      <c r="CQ239" s="509" t="str">
        <f t="shared" si="393"/>
        <v/>
      </c>
      <c r="CR239" s="533" t="str">
        <f t="shared" si="394"/>
        <v/>
      </c>
      <c r="CS239" s="534" t="str">
        <f t="shared" si="394"/>
        <v/>
      </c>
      <c r="CT239" s="535" t="str">
        <f t="shared" si="394"/>
        <v/>
      </c>
      <c r="CU239" s="535" t="str">
        <f t="shared" si="394"/>
        <v/>
      </c>
      <c r="CV239" s="535" t="str">
        <f t="shared" si="394"/>
        <v/>
      </c>
      <c r="CW239" s="535" t="str">
        <f t="shared" si="394"/>
        <v/>
      </c>
      <c r="CX239" s="535" t="str">
        <f t="shared" si="394"/>
        <v/>
      </c>
      <c r="CY239" s="536" t="str">
        <f t="shared" si="394"/>
        <v/>
      </c>
      <c r="CZ239" s="536" t="str">
        <f t="shared" si="394"/>
        <v/>
      </c>
      <c r="DA239" s="536" t="str">
        <f t="shared" si="394"/>
        <v/>
      </c>
      <c r="DB239" s="535" t="str">
        <f t="shared" si="395"/>
        <v/>
      </c>
      <c r="DC239" s="535" t="str">
        <f t="shared" si="395"/>
        <v/>
      </c>
      <c r="DD239" s="535" t="str">
        <f t="shared" si="395"/>
        <v/>
      </c>
      <c r="DE239" s="535" t="str">
        <f t="shared" si="395"/>
        <v/>
      </c>
      <c r="DF239" s="535" t="str">
        <f t="shared" si="395"/>
        <v/>
      </c>
      <c r="DG239" s="534" t="str">
        <f t="shared" si="395"/>
        <v/>
      </c>
      <c r="DH239" s="533" t="str">
        <f t="shared" si="395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>
        <v>12</v>
      </c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3"/>
        <v/>
      </c>
      <c r="CF240" s="81" t="str">
        <f t="shared" si="393"/>
        <v/>
      </c>
      <c r="CG240" s="81" t="str">
        <f t="shared" si="393"/>
        <v/>
      </c>
      <c r="CH240" s="145" t="str">
        <f t="shared" si="393"/>
        <v/>
      </c>
      <c r="CI240" s="145" t="str">
        <f t="shared" si="393"/>
        <v/>
      </c>
      <c r="CJ240" s="145" t="str">
        <f t="shared" si="393"/>
        <v/>
      </c>
      <c r="CK240" s="81" t="str">
        <f t="shared" si="393"/>
        <v/>
      </c>
      <c r="CL240" s="81" t="str">
        <f t="shared" si="393"/>
        <v/>
      </c>
      <c r="CM240" s="81" t="str">
        <f t="shared" si="393"/>
        <v/>
      </c>
      <c r="CN240" s="81" t="str">
        <f t="shared" si="393"/>
        <v/>
      </c>
      <c r="CO240" s="81" t="str">
        <f t="shared" si="393"/>
        <v/>
      </c>
      <c r="CP240" s="80" t="str">
        <f t="shared" si="393"/>
        <v/>
      </c>
      <c r="CQ240" s="509" t="str">
        <f t="shared" si="393"/>
        <v/>
      </c>
      <c r="CR240" s="533" t="str">
        <f t="shared" si="394"/>
        <v/>
      </c>
      <c r="CS240" s="534" t="str">
        <f t="shared" si="394"/>
        <v/>
      </c>
      <c r="CT240" s="535" t="str">
        <f t="shared" si="394"/>
        <v/>
      </c>
      <c r="CU240" s="535" t="str">
        <f t="shared" si="394"/>
        <v/>
      </c>
      <c r="CV240" s="535" t="str">
        <f t="shared" si="394"/>
        <v/>
      </c>
      <c r="CW240" s="535" t="str">
        <f t="shared" si="394"/>
        <v/>
      </c>
      <c r="CX240" s="535" t="str">
        <f t="shared" si="394"/>
        <v/>
      </c>
      <c r="CY240" s="536" t="str">
        <f t="shared" si="394"/>
        <v/>
      </c>
      <c r="CZ240" s="536" t="str">
        <f t="shared" si="394"/>
        <v/>
      </c>
      <c r="DA240" s="536" t="str">
        <f t="shared" si="394"/>
        <v/>
      </c>
      <c r="DB240" s="535" t="str">
        <f t="shared" si="395"/>
        <v/>
      </c>
      <c r="DC240" s="535" t="str">
        <f t="shared" si="395"/>
        <v/>
      </c>
      <c r="DD240" s="535" t="str">
        <f t="shared" si="395"/>
        <v/>
      </c>
      <c r="DE240" s="535" t="str">
        <f t="shared" si="395"/>
        <v/>
      </c>
      <c r="DF240" s="535" t="str">
        <f t="shared" si="395"/>
        <v/>
      </c>
      <c r="DG240" s="534" t="str">
        <f t="shared" si="395"/>
        <v/>
      </c>
      <c r="DH240" s="533" t="str">
        <f t="shared" si="395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>
        <v>300</v>
      </c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3"/>
        <v/>
      </c>
      <c r="CF241" s="81" t="str">
        <f t="shared" si="393"/>
        <v/>
      </c>
      <c r="CG241" s="81" t="str">
        <f t="shared" si="393"/>
        <v/>
      </c>
      <c r="CH241" s="145" t="str">
        <f t="shared" si="393"/>
        <v/>
      </c>
      <c r="CI241" s="145" t="str">
        <f t="shared" si="393"/>
        <v/>
      </c>
      <c r="CJ241" s="145" t="str">
        <f t="shared" si="393"/>
        <v/>
      </c>
      <c r="CK241" s="81" t="str">
        <f t="shared" si="393"/>
        <v/>
      </c>
      <c r="CL241" s="81" t="str">
        <f t="shared" si="393"/>
        <v/>
      </c>
      <c r="CM241" s="81" t="str">
        <f t="shared" si="393"/>
        <v/>
      </c>
      <c r="CN241" s="81" t="str">
        <f t="shared" si="393"/>
        <v/>
      </c>
      <c r="CO241" s="81" t="str">
        <f t="shared" si="393"/>
        <v/>
      </c>
      <c r="CP241" s="80" t="str">
        <f t="shared" si="393"/>
        <v/>
      </c>
      <c r="CQ241" s="509" t="str">
        <f t="shared" si="393"/>
        <v/>
      </c>
      <c r="CR241" s="533" t="str">
        <f t="shared" si="394"/>
        <v/>
      </c>
      <c r="CS241" s="534" t="str">
        <f t="shared" si="394"/>
        <v/>
      </c>
      <c r="CT241" s="535" t="str">
        <f t="shared" si="394"/>
        <v/>
      </c>
      <c r="CU241" s="535" t="str">
        <f t="shared" si="394"/>
        <v/>
      </c>
      <c r="CV241" s="535" t="str">
        <f t="shared" si="394"/>
        <v/>
      </c>
      <c r="CW241" s="535" t="str">
        <f t="shared" si="394"/>
        <v/>
      </c>
      <c r="CX241" s="535" t="str">
        <f t="shared" si="394"/>
        <v/>
      </c>
      <c r="CY241" s="536" t="str">
        <f t="shared" si="394"/>
        <v/>
      </c>
      <c r="CZ241" s="536" t="str">
        <f t="shared" si="394"/>
        <v/>
      </c>
      <c r="DA241" s="536" t="str">
        <f t="shared" si="394"/>
        <v/>
      </c>
      <c r="DB241" s="535" t="str">
        <f t="shared" si="395"/>
        <v/>
      </c>
      <c r="DC241" s="535" t="str">
        <f t="shared" si="395"/>
        <v/>
      </c>
      <c r="DD241" s="535" t="str">
        <f t="shared" si="395"/>
        <v/>
      </c>
      <c r="DE241" s="535" t="str">
        <f t="shared" si="395"/>
        <v/>
      </c>
      <c r="DF241" s="535" t="str">
        <f t="shared" si="395"/>
        <v/>
      </c>
      <c r="DG241" s="534" t="str">
        <f t="shared" si="395"/>
        <v/>
      </c>
      <c r="DH241" s="533" t="str">
        <f t="shared" si="395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6">IF(B239="","",B238*B239*B240*B241)</f>
        <v/>
      </c>
      <c r="C242" s="870" t="str">
        <f t="shared" si="396"/>
        <v/>
      </c>
      <c r="D242" s="870" t="str">
        <f t="shared" si="396"/>
        <v/>
      </c>
      <c r="E242" s="870" t="str">
        <f t="shared" si="396"/>
        <v/>
      </c>
      <c r="F242" s="870" t="str">
        <f t="shared" si="396"/>
        <v/>
      </c>
      <c r="G242" s="870" t="str">
        <f t="shared" si="396"/>
        <v/>
      </c>
      <c r="H242" s="870" t="str">
        <f t="shared" si="396"/>
        <v/>
      </c>
      <c r="I242" s="870" t="str">
        <f t="shared" si="396"/>
        <v/>
      </c>
      <c r="J242" s="870" t="str">
        <f t="shared" si="396"/>
        <v/>
      </c>
      <c r="K242" s="870" t="str">
        <f t="shared" si="396"/>
        <v/>
      </c>
      <c r="L242" s="870" t="str">
        <f t="shared" si="396"/>
        <v/>
      </c>
      <c r="M242" s="870" t="str">
        <f t="shared" si="396"/>
        <v/>
      </c>
      <c r="N242" s="870" t="str">
        <f t="shared" si="396"/>
        <v/>
      </c>
      <c r="O242" s="870" t="str">
        <f t="shared" si="396"/>
        <v/>
      </c>
      <c r="P242" s="870" t="str">
        <f t="shared" si="396"/>
        <v/>
      </c>
      <c r="Q242" s="870" t="str">
        <f t="shared" si="396"/>
        <v/>
      </c>
      <c r="R242" s="870" t="str">
        <f t="shared" si="396"/>
        <v/>
      </c>
      <c r="S242" s="858"/>
      <c r="T242" s="870" t="str">
        <f t="shared" ref="T242:AC242" si="397">IF(T239="","",T238*T239*T240*T241)</f>
        <v/>
      </c>
      <c r="U242" s="870" t="str">
        <f t="shared" si="397"/>
        <v/>
      </c>
      <c r="V242" s="870" t="str">
        <f t="shared" si="397"/>
        <v/>
      </c>
      <c r="W242" s="870" t="str">
        <f t="shared" si="397"/>
        <v/>
      </c>
      <c r="X242" s="870" t="str">
        <f t="shared" si="397"/>
        <v/>
      </c>
      <c r="Y242" s="870" t="str">
        <f t="shared" si="397"/>
        <v/>
      </c>
      <c r="Z242" s="870" t="str">
        <f t="shared" si="397"/>
        <v/>
      </c>
      <c r="AA242" s="870" t="str">
        <f t="shared" si="397"/>
        <v/>
      </c>
      <c r="AB242" s="870" t="str">
        <f t="shared" si="397"/>
        <v/>
      </c>
      <c r="AC242" s="870" t="str">
        <f t="shared" si="397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398">IF(AL239="","",AL238*AL239*AL240*AL241)</f>
        <v/>
      </c>
      <c r="AM242" s="870" t="str">
        <f t="shared" si="398"/>
        <v/>
      </c>
      <c r="AN242" s="870" t="str">
        <f t="shared" si="398"/>
        <v/>
      </c>
      <c r="AO242" s="870" t="str">
        <f t="shared" si="398"/>
        <v/>
      </c>
      <c r="AP242" s="870" t="str">
        <f t="shared" si="398"/>
        <v/>
      </c>
      <c r="AQ242" s="870" t="str">
        <f t="shared" si="398"/>
        <v/>
      </c>
      <c r="AR242" s="870" t="str">
        <f t="shared" si="398"/>
        <v/>
      </c>
      <c r="AS242" s="870" t="str">
        <f t="shared" si="398"/>
        <v/>
      </c>
      <c r="AT242" s="870" t="str">
        <f t="shared" si="398"/>
        <v/>
      </c>
      <c r="AU242" s="870" t="str">
        <f t="shared" si="398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399">IF(BD239="","",BD238*BD239*BD240*BD241)</f>
        <v/>
      </c>
      <c r="BE242" s="870" t="str">
        <f t="shared" si="399"/>
        <v/>
      </c>
      <c r="BF242" s="870" t="str">
        <f t="shared" si="399"/>
        <v/>
      </c>
      <c r="BG242" s="870" t="str">
        <f t="shared" si="399"/>
        <v/>
      </c>
      <c r="BH242" s="870" t="str">
        <f t="shared" si="399"/>
        <v/>
      </c>
      <c r="BI242" s="870" t="str">
        <f t="shared" si="399"/>
        <v/>
      </c>
      <c r="BJ242" s="870" t="str">
        <f t="shared" si="399"/>
        <v/>
      </c>
      <c r="BK242" s="870" t="str">
        <f t="shared" si="399"/>
        <v/>
      </c>
      <c r="BL242" s="870" t="str">
        <f t="shared" si="399"/>
        <v/>
      </c>
      <c r="BM242" s="870" t="str">
        <f t="shared" si="399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>
        <f>IF(BX239="","",BX238*BX239*BX240*BX241)</f>
        <v>18000</v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3"/>
        <v/>
      </c>
      <c r="CF242" s="81" t="str">
        <f t="shared" si="393"/>
        <v/>
      </c>
      <c r="CG242" s="81" t="str">
        <f t="shared" si="393"/>
        <v/>
      </c>
      <c r="CH242" s="145" t="str">
        <f t="shared" si="393"/>
        <v/>
      </c>
      <c r="CI242" s="145" t="str">
        <f t="shared" si="393"/>
        <v/>
      </c>
      <c r="CJ242" s="145" t="str">
        <f t="shared" si="393"/>
        <v/>
      </c>
      <c r="CK242" s="81" t="str">
        <f t="shared" si="393"/>
        <v/>
      </c>
      <c r="CL242" s="81" t="str">
        <f t="shared" si="393"/>
        <v/>
      </c>
      <c r="CM242" s="81" t="str">
        <f t="shared" si="393"/>
        <v/>
      </c>
      <c r="CN242" s="81" t="str">
        <f t="shared" si="393"/>
        <v/>
      </c>
      <c r="CO242" s="81" t="str">
        <f t="shared" si="393"/>
        <v/>
      </c>
      <c r="CP242" s="80" t="str">
        <f t="shared" si="393"/>
        <v/>
      </c>
      <c r="CQ242" s="509" t="str">
        <f t="shared" si="393"/>
        <v/>
      </c>
      <c r="CR242" s="533" t="str">
        <f t="shared" si="394"/>
        <v/>
      </c>
      <c r="CS242" s="534" t="str">
        <f t="shared" si="394"/>
        <v/>
      </c>
      <c r="CT242" s="535" t="str">
        <f t="shared" si="394"/>
        <v/>
      </c>
      <c r="CU242" s="535" t="str">
        <f t="shared" si="394"/>
        <v/>
      </c>
      <c r="CV242" s="535" t="str">
        <f t="shared" si="394"/>
        <v/>
      </c>
      <c r="CW242" s="535" t="str">
        <f t="shared" si="394"/>
        <v/>
      </c>
      <c r="CX242" s="535" t="str">
        <f t="shared" si="394"/>
        <v/>
      </c>
      <c r="CY242" s="536" t="str">
        <f t="shared" si="394"/>
        <v/>
      </c>
      <c r="CZ242" s="536" t="str">
        <f t="shared" si="394"/>
        <v/>
      </c>
      <c r="DA242" s="536" t="str">
        <f t="shared" si="394"/>
        <v/>
      </c>
      <c r="DB242" s="535" t="str">
        <f t="shared" si="395"/>
        <v/>
      </c>
      <c r="DC242" s="535" t="str">
        <f t="shared" si="395"/>
        <v/>
      </c>
      <c r="DD242" s="535" t="str">
        <f t="shared" si="395"/>
        <v/>
      </c>
      <c r="DE242" s="535" t="str">
        <f t="shared" si="395"/>
        <v/>
      </c>
      <c r="DF242" s="535" t="str">
        <f t="shared" si="395"/>
        <v/>
      </c>
      <c r="DG242" s="534" t="str">
        <f t="shared" si="395"/>
        <v/>
      </c>
      <c r="DH242" s="533" t="str">
        <f t="shared" si="395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1190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0">IF(DI244&lt;3,"",(SUM(B244:R244)-MIN(B244:R244)-MAX(B244:R244))/(DI244-2))</f>
        <v/>
      </c>
      <c r="CA244" s="864" t="str">
        <f t="shared" ref="CA244:CA249" si="401">IF(DJ244&lt;3,"",(SUM(T244:AJ244)-MIN(T244:AJ244)-MAX(T244:AJ244))/(DJ244-2))</f>
        <v/>
      </c>
      <c r="CB244" s="864" t="str">
        <f t="shared" ref="CB244:CB249" si="402">IF(DK244&lt;3,"",(SUM(AL244:BB244)-MIN(AL244:BB244)-MAX(AL244:BB244))/(DK244-2))</f>
        <v/>
      </c>
      <c r="CC244" s="865" t="str">
        <f t="shared" ref="CC244:CC249" si="403">IF(DL244&lt;3,"",(SUM(BD244:BT244)-MIN(BD244:BT244)-MAX(BD244:BT244))/(DL244-2))</f>
        <v/>
      </c>
      <c r="CD244" s="508" t="str">
        <f t="shared" ref="CD244:CP244" si="404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4"/>
        <v/>
      </c>
      <c r="CF244" s="81" t="str">
        <f t="shared" si="404"/>
        <v/>
      </c>
      <c r="CG244" s="81" t="str">
        <f t="shared" si="404"/>
        <v/>
      </c>
      <c r="CH244" s="145" t="str">
        <f t="shared" si="404"/>
        <v/>
      </c>
      <c r="CI244" s="145" t="str">
        <f t="shared" si="404"/>
        <v/>
      </c>
      <c r="CJ244" s="145" t="str">
        <f t="shared" si="404"/>
        <v/>
      </c>
      <c r="CK244" s="81" t="str">
        <f t="shared" si="404"/>
        <v/>
      </c>
      <c r="CL244" s="81" t="str">
        <f t="shared" si="404"/>
        <v/>
      </c>
      <c r="CM244" s="81" t="str">
        <f t="shared" si="404"/>
        <v/>
      </c>
      <c r="CN244" s="81" t="str">
        <f t="shared" si="404"/>
        <v/>
      </c>
      <c r="CO244" s="81" t="str">
        <f t="shared" si="404"/>
        <v/>
      </c>
      <c r="CP244" s="80" t="str">
        <f t="shared" si="404"/>
        <v/>
      </c>
      <c r="CQ244" s="509" t="str">
        <f t="shared" ref="CE244:CQ249" si="405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6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07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08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3">COUNT(B244:R244)</f>
        <v>0</v>
      </c>
      <c r="DJ244" s="822">
        <f t="shared" ref="DJ244:DJ249" si="424">COUNT(T244:AJ244)</f>
        <v>0</v>
      </c>
      <c r="DK244" s="822">
        <f t="shared" ref="DK244:DK249" si="425">COUNT(AL244:BB244)</f>
        <v>0</v>
      </c>
      <c r="DL244" s="823">
        <f t="shared" ref="DL244:DL249" si="426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0"/>
        <v/>
      </c>
      <c r="CA245" s="864" t="str">
        <f t="shared" si="401"/>
        <v/>
      </c>
      <c r="CB245" s="864" t="str">
        <f t="shared" si="402"/>
        <v/>
      </c>
      <c r="CC245" s="865" t="str">
        <f t="shared" si="403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5"/>
        <v/>
      </c>
      <c r="CF245" s="81" t="str">
        <f t="shared" si="405"/>
        <v/>
      </c>
      <c r="CG245" s="81" t="str">
        <f t="shared" si="405"/>
        <v/>
      </c>
      <c r="CH245" s="145" t="str">
        <f t="shared" si="405"/>
        <v/>
      </c>
      <c r="CI245" s="145" t="str">
        <f t="shared" si="405"/>
        <v/>
      </c>
      <c r="CJ245" s="145" t="str">
        <f t="shared" si="405"/>
        <v/>
      </c>
      <c r="CK245" s="81" t="str">
        <f t="shared" si="405"/>
        <v/>
      </c>
      <c r="CL245" s="81" t="str">
        <f t="shared" si="405"/>
        <v/>
      </c>
      <c r="CM245" s="81" t="str">
        <f t="shared" si="405"/>
        <v/>
      </c>
      <c r="CN245" s="81" t="str">
        <f t="shared" si="405"/>
        <v/>
      </c>
      <c r="CO245" s="81" t="str">
        <f t="shared" si="405"/>
        <v/>
      </c>
      <c r="CP245" s="80" t="str">
        <f t="shared" si="405"/>
        <v/>
      </c>
      <c r="CQ245" s="509" t="str">
        <f t="shared" si="405"/>
        <v/>
      </c>
      <c r="CR245" s="533" t="str">
        <f t="shared" si="406"/>
        <v/>
      </c>
      <c r="CS245" s="534" t="str">
        <f t="shared" si="407"/>
        <v/>
      </c>
      <c r="CT245" s="535" t="str">
        <f t="shared" si="408"/>
        <v/>
      </c>
      <c r="CU245" s="535" t="str">
        <f t="shared" si="409"/>
        <v/>
      </c>
      <c r="CV245" s="535" t="str">
        <f t="shared" si="410"/>
        <v/>
      </c>
      <c r="CW245" s="535" t="str">
        <f t="shared" si="411"/>
        <v/>
      </c>
      <c r="CX245" s="535" t="str">
        <f t="shared" si="412"/>
        <v/>
      </c>
      <c r="CY245" s="536" t="str">
        <f t="shared" si="413"/>
        <v/>
      </c>
      <c r="CZ245" s="536" t="str">
        <f t="shared" si="414"/>
        <v/>
      </c>
      <c r="DA245" s="536" t="str">
        <f t="shared" si="415"/>
        <v/>
      </c>
      <c r="DB245" s="535" t="str">
        <f t="shared" si="416"/>
        <v/>
      </c>
      <c r="DC245" s="535" t="str">
        <f t="shared" si="417"/>
        <v/>
      </c>
      <c r="DD245" s="535" t="str">
        <f t="shared" si="418"/>
        <v/>
      </c>
      <c r="DE245" s="535" t="str">
        <f t="shared" si="419"/>
        <v/>
      </c>
      <c r="DF245" s="535" t="str">
        <f t="shared" si="420"/>
        <v/>
      </c>
      <c r="DG245" s="534" t="str">
        <f t="shared" si="421"/>
        <v/>
      </c>
      <c r="DH245" s="533" t="str">
        <f t="shared" si="422"/>
        <v/>
      </c>
      <c r="DI245" s="866">
        <f t="shared" si="423"/>
        <v>0</v>
      </c>
      <c r="DJ245" s="822">
        <f t="shared" si="424"/>
        <v>0</v>
      </c>
      <c r="DK245" s="822">
        <f t="shared" si="425"/>
        <v>0</v>
      </c>
      <c r="DL245" s="823">
        <f t="shared" si="426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0"/>
        <v/>
      </c>
      <c r="CA246" s="864" t="str">
        <f t="shared" si="401"/>
        <v/>
      </c>
      <c r="CB246" s="864" t="str">
        <f t="shared" si="402"/>
        <v/>
      </c>
      <c r="CC246" s="865" t="str">
        <f t="shared" si="403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5"/>
        <v/>
      </c>
      <c r="CF246" s="81" t="str">
        <f t="shared" si="405"/>
        <v/>
      </c>
      <c r="CG246" s="81" t="str">
        <f t="shared" si="405"/>
        <v/>
      </c>
      <c r="CH246" s="145" t="str">
        <f t="shared" si="405"/>
        <v/>
      </c>
      <c r="CI246" s="145" t="str">
        <f t="shared" si="405"/>
        <v/>
      </c>
      <c r="CJ246" s="145" t="str">
        <f t="shared" si="405"/>
        <v/>
      </c>
      <c r="CK246" s="81" t="str">
        <f t="shared" si="405"/>
        <v/>
      </c>
      <c r="CL246" s="81" t="str">
        <f t="shared" si="405"/>
        <v/>
      </c>
      <c r="CM246" s="81" t="str">
        <f t="shared" si="405"/>
        <v/>
      </c>
      <c r="CN246" s="81" t="str">
        <f t="shared" si="405"/>
        <v/>
      </c>
      <c r="CO246" s="81" t="str">
        <f t="shared" si="405"/>
        <v/>
      </c>
      <c r="CP246" s="80" t="str">
        <f t="shared" si="405"/>
        <v/>
      </c>
      <c r="CQ246" s="509" t="str">
        <f t="shared" si="405"/>
        <v/>
      </c>
      <c r="CR246" s="533" t="str">
        <f t="shared" si="406"/>
        <v/>
      </c>
      <c r="CS246" s="534" t="str">
        <f t="shared" si="407"/>
        <v/>
      </c>
      <c r="CT246" s="535" t="str">
        <f t="shared" si="408"/>
        <v/>
      </c>
      <c r="CU246" s="535" t="str">
        <f t="shared" si="409"/>
        <v/>
      </c>
      <c r="CV246" s="535" t="str">
        <f t="shared" si="410"/>
        <v/>
      </c>
      <c r="CW246" s="535" t="str">
        <f t="shared" si="411"/>
        <v/>
      </c>
      <c r="CX246" s="535" t="str">
        <f t="shared" si="412"/>
        <v/>
      </c>
      <c r="CY246" s="536" t="str">
        <f t="shared" si="413"/>
        <v/>
      </c>
      <c r="CZ246" s="536" t="str">
        <f t="shared" si="414"/>
        <v/>
      </c>
      <c r="DA246" s="536" t="str">
        <f t="shared" si="415"/>
        <v/>
      </c>
      <c r="DB246" s="535" t="str">
        <f t="shared" si="416"/>
        <v/>
      </c>
      <c r="DC246" s="535" t="str">
        <f t="shared" si="417"/>
        <v/>
      </c>
      <c r="DD246" s="535" t="str">
        <f t="shared" si="418"/>
        <v/>
      </c>
      <c r="DE246" s="535" t="str">
        <f t="shared" si="419"/>
        <v/>
      </c>
      <c r="DF246" s="535" t="str">
        <f t="shared" si="420"/>
        <v/>
      </c>
      <c r="DG246" s="534" t="str">
        <f t="shared" si="421"/>
        <v/>
      </c>
      <c r="DH246" s="533" t="str">
        <f t="shared" si="422"/>
        <v/>
      </c>
      <c r="DI246" s="866">
        <f t="shared" si="423"/>
        <v>0</v>
      </c>
      <c r="DJ246" s="822">
        <f t="shared" si="424"/>
        <v>0</v>
      </c>
      <c r="DK246" s="822">
        <f t="shared" si="425"/>
        <v>0</v>
      </c>
      <c r="DL246" s="823">
        <f t="shared" si="426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0"/>
        <v/>
      </c>
      <c r="CA247" s="864" t="str">
        <f t="shared" si="401"/>
        <v/>
      </c>
      <c r="CB247" s="864" t="str">
        <f t="shared" si="402"/>
        <v/>
      </c>
      <c r="CC247" s="865" t="str">
        <f t="shared" si="403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5"/>
        <v/>
      </c>
      <c r="CF247" s="81" t="str">
        <f t="shared" si="405"/>
        <v/>
      </c>
      <c r="CG247" s="81" t="str">
        <f t="shared" si="405"/>
        <v/>
      </c>
      <c r="CH247" s="145" t="str">
        <f t="shared" si="405"/>
        <v/>
      </c>
      <c r="CI247" s="145" t="str">
        <f t="shared" si="405"/>
        <v/>
      </c>
      <c r="CJ247" s="145" t="str">
        <f t="shared" si="405"/>
        <v/>
      </c>
      <c r="CK247" s="81" t="str">
        <f t="shared" si="405"/>
        <v/>
      </c>
      <c r="CL247" s="81" t="str">
        <f t="shared" si="405"/>
        <v/>
      </c>
      <c r="CM247" s="81" t="str">
        <f t="shared" si="405"/>
        <v/>
      </c>
      <c r="CN247" s="81" t="str">
        <f t="shared" si="405"/>
        <v/>
      </c>
      <c r="CO247" s="81" t="str">
        <f t="shared" si="405"/>
        <v/>
      </c>
      <c r="CP247" s="80" t="str">
        <f t="shared" si="405"/>
        <v/>
      </c>
      <c r="CQ247" s="509" t="str">
        <f t="shared" si="405"/>
        <v/>
      </c>
      <c r="CR247" s="533" t="str">
        <f t="shared" si="406"/>
        <v/>
      </c>
      <c r="CS247" s="534" t="str">
        <f t="shared" si="407"/>
        <v/>
      </c>
      <c r="CT247" s="535" t="str">
        <f t="shared" si="408"/>
        <v/>
      </c>
      <c r="CU247" s="535" t="str">
        <f t="shared" si="409"/>
        <v/>
      </c>
      <c r="CV247" s="535" t="str">
        <f t="shared" si="410"/>
        <v/>
      </c>
      <c r="CW247" s="535" t="str">
        <f t="shared" si="411"/>
        <v/>
      </c>
      <c r="CX247" s="535" t="str">
        <f t="shared" si="412"/>
        <v/>
      </c>
      <c r="CY247" s="536" t="str">
        <f t="shared" si="413"/>
        <v/>
      </c>
      <c r="CZ247" s="536" t="str">
        <f t="shared" si="414"/>
        <v/>
      </c>
      <c r="DA247" s="536" t="str">
        <f t="shared" si="415"/>
        <v/>
      </c>
      <c r="DB247" s="535" t="str">
        <f t="shared" si="416"/>
        <v/>
      </c>
      <c r="DC247" s="535" t="str">
        <f t="shared" si="417"/>
        <v/>
      </c>
      <c r="DD247" s="535" t="str">
        <f t="shared" si="418"/>
        <v/>
      </c>
      <c r="DE247" s="535" t="str">
        <f t="shared" si="419"/>
        <v/>
      </c>
      <c r="DF247" s="535" t="str">
        <f t="shared" si="420"/>
        <v/>
      </c>
      <c r="DG247" s="534" t="str">
        <f t="shared" si="421"/>
        <v/>
      </c>
      <c r="DH247" s="533" t="str">
        <f t="shared" si="422"/>
        <v/>
      </c>
      <c r="DI247" s="866">
        <f t="shared" si="423"/>
        <v>0</v>
      </c>
      <c r="DJ247" s="822">
        <f t="shared" si="424"/>
        <v>0</v>
      </c>
      <c r="DK247" s="822">
        <f t="shared" si="425"/>
        <v>0</v>
      </c>
      <c r="DL247" s="823">
        <f t="shared" si="426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27">IF(B245="","",B244*B245*B246*B247)</f>
        <v/>
      </c>
      <c r="C248" s="870" t="str">
        <f t="shared" si="427"/>
        <v/>
      </c>
      <c r="D248" s="870" t="str">
        <f t="shared" si="427"/>
        <v/>
      </c>
      <c r="E248" s="870" t="str">
        <f t="shared" si="427"/>
        <v/>
      </c>
      <c r="F248" s="870" t="str">
        <f t="shared" si="427"/>
        <v/>
      </c>
      <c r="G248" s="870" t="str">
        <f t="shared" si="427"/>
        <v/>
      </c>
      <c r="H248" s="870" t="str">
        <f t="shared" si="427"/>
        <v/>
      </c>
      <c r="I248" s="870" t="str">
        <f t="shared" si="427"/>
        <v/>
      </c>
      <c r="J248" s="870" t="str">
        <f t="shared" si="427"/>
        <v/>
      </c>
      <c r="K248" s="870" t="str">
        <f t="shared" si="427"/>
        <v/>
      </c>
      <c r="L248" s="870" t="str">
        <f t="shared" si="427"/>
        <v/>
      </c>
      <c r="M248" s="870" t="str">
        <f t="shared" si="427"/>
        <v/>
      </c>
      <c r="N248" s="870" t="str">
        <f t="shared" si="427"/>
        <v/>
      </c>
      <c r="O248" s="870" t="str">
        <f t="shared" si="427"/>
        <v/>
      </c>
      <c r="P248" s="870" t="str">
        <f t="shared" si="427"/>
        <v/>
      </c>
      <c r="Q248" s="870" t="str">
        <f t="shared" si="427"/>
        <v/>
      </c>
      <c r="R248" s="870" t="str">
        <f t="shared" si="427"/>
        <v/>
      </c>
      <c r="S248" s="858"/>
      <c r="T248" s="870" t="str">
        <f t="shared" ref="T248:AC248" si="428">IF(T245="","",T244*T245*T246*T247)</f>
        <v/>
      </c>
      <c r="U248" s="870" t="str">
        <f t="shared" si="428"/>
        <v/>
      </c>
      <c r="V248" s="870" t="str">
        <f t="shared" si="428"/>
        <v/>
      </c>
      <c r="W248" s="870" t="str">
        <f t="shared" si="428"/>
        <v/>
      </c>
      <c r="X248" s="870" t="str">
        <f t="shared" si="428"/>
        <v/>
      </c>
      <c r="Y248" s="870" t="str">
        <f t="shared" si="428"/>
        <v/>
      </c>
      <c r="Z248" s="870" t="str">
        <f t="shared" si="428"/>
        <v/>
      </c>
      <c r="AA248" s="870" t="str">
        <f t="shared" si="428"/>
        <v/>
      </c>
      <c r="AB248" s="870" t="str">
        <f t="shared" si="428"/>
        <v/>
      </c>
      <c r="AC248" s="870" t="str">
        <f t="shared" si="428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29">IF(AL245="","",AL244*AL245*AL246*AL247)</f>
        <v/>
      </c>
      <c r="AM248" s="870" t="str">
        <f t="shared" si="429"/>
        <v/>
      </c>
      <c r="AN248" s="870" t="str">
        <f t="shared" si="429"/>
        <v/>
      </c>
      <c r="AO248" s="870" t="str">
        <f t="shared" si="429"/>
        <v/>
      </c>
      <c r="AP248" s="870" t="str">
        <f t="shared" si="429"/>
        <v/>
      </c>
      <c r="AQ248" s="870" t="str">
        <f t="shared" si="429"/>
        <v/>
      </c>
      <c r="AR248" s="870" t="str">
        <f t="shared" si="429"/>
        <v/>
      </c>
      <c r="AS248" s="870" t="str">
        <f t="shared" si="429"/>
        <v/>
      </c>
      <c r="AT248" s="870" t="str">
        <f t="shared" si="429"/>
        <v/>
      </c>
      <c r="AU248" s="870" t="str">
        <f t="shared" si="429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0">IF(BD245="","",BD244*BD245*BD246*BD247)</f>
        <v/>
      </c>
      <c r="BE248" s="870" t="str">
        <f t="shared" si="430"/>
        <v/>
      </c>
      <c r="BF248" s="870" t="str">
        <f t="shared" si="430"/>
        <v/>
      </c>
      <c r="BG248" s="870" t="str">
        <f t="shared" si="430"/>
        <v/>
      </c>
      <c r="BH248" s="870" t="str">
        <f t="shared" si="430"/>
        <v/>
      </c>
      <c r="BI248" s="870" t="str">
        <f t="shared" si="430"/>
        <v/>
      </c>
      <c r="BJ248" s="870" t="str">
        <f t="shared" si="430"/>
        <v/>
      </c>
      <c r="BK248" s="870" t="str">
        <f t="shared" si="430"/>
        <v/>
      </c>
      <c r="BL248" s="870" t="str">
        <f t="shared" si="430"/>
        <v/>
      </c>
      <c r="BM248" s="870" t="str">
        <f t="shared" si="430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0"/>
        <v/>
      </c>
      <c r="CA248" s="864" t="str">
        <f t="shared" si="401"/>
        <v/>
      </c>
      <c r="CB248" s="864" t="str">
        <f t="shared" si="402"/>
        <v/>
      </c>
      <c r="CC248" s="865" t="str">
        <f t="shared" si="403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5"/>
        <v/>
      </c>
      <c r="CF248" s="81" t="str">
        <f t="shared" si="405"/>
        <v/>
      </c>
      <c r="CG248" s="81" t="str">
        <f t="shared" si="405"/>
        <v/>
      </c>
      <c r="CH248" s="145" t="str">
        <f t="shared" si="405"/>
        <v/>
      </c>
      <c r="CI248" s="145" t="str">
        <f t="shared" si="405"/>
        <v/>
      </c>
      <c r="CJ248" s="145" t="str">
        <f t="shared" si="405"/>
        <v/>
      </c>
      <c r="CK248" s="81" t="str">
        <f t="shared" si="405"/>
        <v/>
      </c>
      <c r="CL248" s="81" t="str">
        <f t="shared" si="405"/>
        <v/>
      </c>
      <c r="CM248" s="81" t="str">
        <f t="shared" si="405"/>
        <v/>
      </c>
      <c r="CN248" s="81" t="str">
        <f t="shared" si="405"/>
        <v/>
      </c>
      <c r="CO248" s="81" t="str">
        <f t="shared" si="405"/>
        <v/>
      </c>
      <c r="CP248" s="80" t="str">
        <f t="shared" si="405"/>
        <v/>
      </c>
      <c r="CQ248" s="509" t="str">
        <f t="shared" si="405"/>
        <v/>
      </c>
      <c r="CR248" s="533" t="str">
        <f t="shared" si="406"/>
        <v/>
      </c>
      <c r="CS248" s="534" t="str">
        <f t="shared" si="407"/>
        <v/>
      </c>
      <c r="CT248" s="535" t="str">
        <f t="shared" si="408"/>
        <v/>
      </c>
      <c r="CU248" s="535" t="str">
        <f t="shared" si="409"/>
        <v/>
      </c>
      <c r="CV248" s="535" t="str">
        <f t="shared" si="410"/>
        <v/>
      </c>
      <c r="CW248" s="535" t="str">
        <f t="shared" si="411"/>
        <v/>
      </c>
      <c r="CX248" s="535" t="str">
        <f t="shared" si="412"/>
        <v/>
      </c>
      <c r="CY248" s="536" t="str">
        <f t="shared" si="413"/>
        <v/>
      </c>
      <c r="CZ248" s="536" t="str">
        <f t="shared" si="414"/>
        <v/>
      </c>
      <c r="DA248" s="536" t="str">
        <f t="shared" si="415"/>
        <v/>
      </c>
      <c r="DB248" s="535" t="str">
        <f t="shared" si="416"/>
        <v/>
      </c>
      <c r="DC248" s="535" t="str">
        <f t="shared" si="417"/>
        <v/>
      </c>
      <c r="DD248" s="535" t="str">
        <f t="shared" si="418"/>
        <v/>
      </c>
      <c r="DE248" s="535" t="str">
        <f t="shared" si="419"/>
        <v/>
      </c>
      <c r="DF248" s="535" t="str">
        <f t="shared" si="420"/>
        <v/>
      </c>
      <c r="DG248" s="534" t="str">
        <f t="shared" si="421"/>
        <v/>
      </c>
      <c r="DH248" s="533" t="str">
        <f t="shared" si="422"/>
        <v/>
      </c>
      <c r="DI248" s="866">
        <f t="shared" si="423"/>
        <v>0</v>
      </c>
      <c r="DJ248" s="822">
        <f t="shared" si="424"/>
        <v>0</v>
      </c>
      <c r="DK248" s="822">
        <f t="shared" si="425"/>
        <v>0</v>
      </c>
      <c r="DL248" s="823">
        <f t="shared" si="426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1">SUM(C218,C224,C230,C236,C242,C248)</f>
        <v>0</v>
      </c>
      <c r="D249" s="877">
        <f t="shared" si="431"/>
        <v>0</v>
      </c>
      <c r="E249" s="877">
        <f t="shared" si="431"/>
        <v>0</v>
      </c>
      <c r="F249" s="877">
        <f t="shared" si="431"/>
        <v>0</v>
      </c>
      <c r="G249" s="877">
        <f t="shared" si="431"/>
        <v>0</v>
      </c>
      <c r="H249" s="877">
        <f t="shared" si="431"/>
        <v>0</v>
      </c>
      <c r="I249" s="877">
        <f t="shared" si="431"/>
        <v>0</v>
      </c>
      <c r="J249" s="877">
        <f t="shared" si="431"/>
        <v>0</v>
      </c>
      <c r="K249" s="877">
        <f t="shared" si="431"/>
        <v>0</v>
      </c>
      <c r="L249" s="877">
        <f t="shared" si="431"/>
        <v>0</v>
      </c>
      <c r="M249" s="877">
        <f t="shared" si="431"/>
        <v>0</v>
      </c>
      <c r="N249" s="877">
        <f t="shared" si="431"/>
        <v>0</v>
      </c>
      <c r="O249" s="877">
        <f t="shared" si="431"/>
        <v>0</v>
      </c>
      <c r="P249" s="877">
        <f t="shared" si="431"/>
        <v>0</v>
      </c>
      <c r="Q249" s="877">
        <f t="shared" si="431"/>
        <v>0</v>
      </c>
      <c r="R249" s="877">
        <f t="shared" si="431"/>
        <v>0</v>
      </c>
      <c r="S249" s="878"/>
      <c r="T249" s="877">
        <f t="shared" ref="T249:AC249" si="432">SUM(T218,T224,T230,T236,T242,T248)</f>
        <v>0</v>
      </c>
      <c r="U249" s="877">
        <f t="shared" si="432"/>
        <v>0</v>
      </c>
      <c r="V249" s="877">
        <f t="shared" si="432"/>
        <v>0</v>
      </c>
      <c r="W249" s="877">
        <f t="shared" si="432"/>
        <v>0</v>
      </c>
      <c r="X249" s="877">
        <f t="shared" si="432"/>
        <v>0</v>
      </c>
      <c r="Y249" s="877">
        <f t="shared" si="432"/>
        <v>0</v>
      </c>
      <c r="Z249" s="877">
        <f t="shared" si="432"/>
        <v>0</v>
      </c>
      <c r="AA249" s="877">
        <f t="shared" si="432"/>
        <v>0</v>
      </c>
      <c r="AB249" s="877">
        <f t="shared" si="432"/>
        <v>0</v>
      </c>
      <c r="AC249" s="877">
        <f t="shared" si="432"/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 t="shared" ref="AL249:AU249" si="433">SUM(AL218,AL224,AL230,AL236,AL242,AL248)</f>
        <v>0</v>
      </c>
      <c r="AM249" s="877">
        <f t="shared" si="433"/>
        <v>0</v>
      </c>
      <c r="AN249" s="877">
        <f t="shared" si="433"/>
        <v>0</v>
      </c>
      <c r="AO249" s="877">
        <f t="shared" si="433"/>
        <v>0</v>
      </c>
      <c r="AP249" s="877">
        <f t="shared" si="433"/>
        <v>0</v>
      </c>
      <c r="AQ249" s="877">
        <f t="shared" si="433"/>
        <v>0</v>
      </c>
      <c r="AR249" s="877">
        <f t="shared" si="433"/>
        <v>0</v>
      </c>
      <c r="AS249" s="877">
        <f t="shared" si="433"/>
        <v>0</v>
      </c>
      <c r="AT249" s="877">
        <f t="shared" si="433"/>
        <v>0</v>
      </c>
      <c r="AU249" s="877">
        <f t="shared" si="433"/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 t="shared" ref="BD249:BM249" si="434">SUM(BD218,BD224,BD230,BD236,BD242,BD248)</f>
        <v>0</v>
      </c>
      <c r="BE249" s="877">
        <f t="shared" si="434"/>
        <v>0</v>
      </c>
      <c r="BF249" s="877">
        <f t="shared" si="434"/>
        <v>0</v>
      </c>
      <c r="BG249" s="877">
        <f t="shared" si="434"/>
        <v>0</v>
      </c>
      <c r="BH249" s="877">
        <f t="shared" si="434"/>
        <v>0</v>
      </c>
      <c r="BI249" s="877">
        <f t="shared" si="434"/>
        <v>0</v>
      </c>
      <c r="BJ249" s="877">
        <f t="shared" si="434"/>
        <v>0</v>
      </c>
      <c r="BK249" s="877">
        <f t="shared" si="434"/>
        <v>0</v>
      </c>
      <c r="BL249" s="877">
        <f t="shared" si="434"/>
        <v>0</v>
      </c>
      <c r="BM249" s="877">
        <f t="shared" si="434"/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>SUM(BV218,BV224,BV230,BV236,BV242,BV248)</f>
        <v>0</v>
      </c>
      <c r="BW249" s="877">
        <f>SUM(BW218,BW224,BW230,BW236,BW242,BW248)</f>
        <v>4800</v>
      </c>
      <c r="BX249" s="877">
        <f>SUM(BX218,BX224,BX230,BX236,BX242,BX248)</f>
        <v>27600</v>
      </c>
      <c r="BY249" s="877">
        <f>SUM(BY218,BY224,BY230,BY236,BY242,BY248)</f>
        <v>0</v>
      </c>
      <c r="BZ249" s="864">
        <f t="shared" si="400"/>
        <v>0</v>
      </c>
      <c r="CA249" s="864">
        <f t="shared" si="401"/>
        <v>0</v>
      </c>
      <c r="CB249" s="864">
        <f t="shared" si="402"/>
        <v>0</v>
      </c>
      <c r="CC249" s="865">
        <f t="shared" si="403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5"/>
        <v>0</v>
      </c>
      <c r="CF249" s="81">
        <f t="shared" si="405"/>
        <v>0</v>
      </c>
      <c r="CG249" s="81">
        <f t="shared" si="405"/>
        <v>0</v>
      </c>
      <c r="CH249" s="145">
        <f t="shared" si="405"/>
        <v>0</v>
      </c>
      <c r="CI249" s="145">
        <f t="shared" si="405"/>
        <v>0</v>
      </c>
      <c r="CJ249" s="145">
        <f t="shared" si="405"/>
        <v>0</v>
      </c>
      <c r="CK249" s="81">
        <f t="shared" si="405"/>
        <v>0</v>
      </c>
      <c r="CL249" s="81">
        <f t="shared" si="405"/>
        <v>0</v>
      </c>
      <c r="CM249" s="81">
        <f t="shared" si="405"/>
        <v>0</v>
      </c>
      <c r="CN249" s="81">
        <f t="shared" si="405"/>
        <v>0</v>
      </c>
      <c r="CO249" s="81" t="str">
        <f t="shared" si="405"/>
        <v/>
      </c>
      <c r="CP249" s="80" t="str">
        <f t="shared" si="405"/>
        <v/>
      </c>
      <c r="CQ249" s="509" t="str">
        <f t="shared" si="405"/>
        <v/>
      </c>
      <c r="CR249" s="533" t="str">
        <f t="shared" si="406"/>
        <v/>
      </c>
      <c r="CS249" s="534" t="str">
        <f t="shared" si="407"/>
        <v/>
      </c>
      <c r="CT249" s="535" t="str">
        <f t="shared" si="408"/>
        <v/>
      </c>
      <c r="CU249" s="535" t="str">
        <f t="shared" si="409"/>
        <v/>
      </c>
      <c r="CV249" s="535">
        <f t="shared" si="410"/>
        <v>0</v>
      </c>
      <c r="CW249" s="535">
        <f t="shared" si="411"/>
        <v>0</v>
      </c>
      <c r="CX249" s="535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5">
        <f t="shared" si="416"/>
        <v>0</v>
      </c>
      <c r="DC249" s="535">
        <f t="shared" si="417"/>
        <v>0</v>
      </c>
      <c r="DD249" s="535">
        <f t="shared" si="418"/>
        <v>0</v>
      </c>
      <c r="DE249" s="535">
        <f t="shared" si="419"/>
        <v>0</v>
      </c>
      <c r="DF249" s="535" t="str">
        <f t="shared" si="420"/>
        <v/>
      </c>
      <c r="DG249" s="534" t="str">
        <f t="shared" si="421"/>
        <v/>
      </c>
      <c r="DH249" s="533" t="str">
        <f t="shared" si="422"/>
        <v/>
      </c>
      <c r="DI249" s="866">
        <f t="shared" si="423"/>
        <v>17</v>
      </c>
      <c r="DJ249" s="822">
        <f t="shared" si="424"/>
        <v>10</v>
      </c>
      <c r="DK249" s="822">
        <f t="shared" si="425"/>
        <v>10</v>
      </c>
      <c r="DL249" s="823">
        <f t="shared" si="426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3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5"/>
        <v/>
      </c>
      <c r="CF253" s="81" t="str">
        <f t="shared" si="435"/>
        <v/>
      </c>
      <c r="CG253" s="81" t="str">
        <f t="shared" si="435"/>
        <v/>
      </c>
      <c r="CH253" s="145" t="str">
        <f t="shared" si="435"/>
        <v/>
      </c>
      <c r="CI253" s="145" t="str">
        <f t="shared" si="435"/>
        <v/>
      </c>
      <c r="CJ253" s="145" t="str">
        <f t="shared" si="435"/>
        <v/>
      </c>
      <c r="CK253" s="81" t="str">
        <f t="shared" si="435"/>
        <v/>
      </c>
      <c r="CL253" s="81" t="str">
        <f t="shared" si="435"/>
        <v/>
      </c>
      <c r="CM253" s="81" t="str">
        <f t="shared" si="435"/>
        <v/>
      </c>
      <c r="CN253" s="81" t="str">
        <f t="shared" si="435"/>
        <v/>
      </c>
      <c r="CO253" s="81" t="str">
        <f t="shared" si="435"/>
        <v/>
      </c>
      <c r="CP253" s="80" t="str">
        <f t="shared" si="435"/>
        <v/>
      </c>
      <c r="CQ253" s="509" t="str">
        <f t="shared" ref="CE253:CQ257" si="436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37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37"/>
        <v/>
      </c>
      <c r="CT253" s="535" t="str">
        <f t="shared" si="437"/>
        <v/>
      </c>
      <c r="CU253" s="535" t="str">
        <f t="shared" si="437"/>
        <v/>
      </c>
      <c r="CV253" s="535" t="str">
        <f t="shared" si="437"/>
        <v/>
      </c>
      <c r="CW253" s="535" t="str">
        <f t="shared" si="437"/>
        <v/>
      </c>
      <c r="CX253" s="535" t="str">
        <f t="shared" si="437"/>
        <v/>
      </c>
      <c r="CY253" s="536" t="str">
        <f t="shared" si="437"/>
        <v/>
      </c>
      <c r="CZ253" s="536" t="str">
        <f t="shared" si="437"/>
        <v/>
      </c>
      <c r="DA253" s="536" t="str">
        <f t="shared" si="437"/>
        <v/>
      </c>
      <c r="DB253" s="535" t="str">
        <f t="shared" ref="DB253:DH257" si="438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38"/>
        <v/>
      </c>
      <c r="DD253" s="535" t="str">
        <f t="shared" si="438"/>
        <v/>
      </c>
      <c r="DE253" s="535" t="str">
        <f t="shared" si="438"/>
        <v/>
      </c>
      <c r="DF253" s="535" t="str">
        <f t="shared" si="438"/>
        <v/>
      </c>
      <c r="DG253" s="534" t="str">
        <f t="shared" si="438"/>
        <v/>
      </c>
      <c r="DH253" s="533" t="str">
        <f t="shared" si="438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6"/>
        <v/>
      </c>
      <c r="CF254" s="81" t="str">
        <f t="shared" si="436"/>
        <v/>
      </c>
      <c r="CG254" s="81" t="str">
        <f t="shared" si="436"/>
        <v/>
      </c>
      <c r="CH254" s="145" t="str">
        <f t="shared" si="436"/>
        <v/>
      </c>
      <c r="CI254" s="145" t="str">
        <f t="shared" si="436"/>
        <v/>
      </c>
      <c r="CJ254" s="145" t="str">
        <f t="shared" si="436"/>
        <v/>
      </c>
      <c r="CK254" s="81" t="str">
        <f t="shared" si="436"/>
        <v/>
      </c>
      <c r="CL254" s="81" t="str">
        <f t="shared" si="436"/>
        <v/>
      </c>
      <c r="CM254" s="81" t="str">
        <f t="shared" si="436"/>
        <v/>
      </c>
      <c r="CN254" s="81" t="str">
        <f t="shared" si="436"/>
        <v/>
      </c>
      <c r="CO254" s="81" t="str">
        <f t="shared" si="436"/>
        <v/>
      </c>
      <c r="CP254" s="80" t="str">
        <f t="shared" si="436"/>
        <v/>
      </c>
      <c r="CQ254" s="509" t="str">
        <f t="shared" si="436"/>
        <v/>
      </c>
      <c r="CR254" s="533" t="str">
        <f t="shared" si="437"/>
        <v/>
      </c>
      <c r="CS254" s="534" t="str">
        <f t="shared" si="437"/>
        <v/>
      </c>
      <c r="CT254" s="535" t="str">
        <f t="shared" si="437"/>
        <v/>
      </c>
      <c r="CU254" s="535" t="str">
        <f t="shared" si="437"/>
        <v/>
      </c>
      <c r="CV254" s="535" t="str">
        <f t="shared" si="437"/>
        <v/>
      </c>
      <c r="CW254" s="535" t="str">
        <f t="shared" si="437"/>
        <v/>
      </c>
      <c r="CX254" s="535" t="str">
        <f t="shared" si="437"/>
        <v/>
      </c>
      <c r="CY254" s="536" t="str">
        <f t="shared" si="437"/>
        <v/>
      </c>
      <c r="CZ254" s="536" t="str">
        <f t="shared" si="437"/>
        <v/>
      </c>
      <c r="DA254" s="536" t="str">
        <f t="shared" si="437"/>
        <v/>
      </c>
      <c r="DB254" s="535" t="str">
        <f t="shared" si="438"/>
        <v/>
      </c>
      <c r="DC254" s="535" t="str">
        <f t="shared" si="438"/>
        <v/>
      </c>
      <c r="DD254" s="535" t="str">
        <f t="shared" si="438"/>
        <v/>
      </c>
      <c r="DE254" s="535" t="str">
        <f t="shared" si="438"/>
        <v/>
      </c>
      <c r="DF254" s="535" t="str">
        <f t="shared" si="438"/>
        <v/>
      </c>
      <c r="DG254" s="534" t="str">
        <f t="shared" si="438"/>
        <v/>
      </c>
      <c r="DH254" s="533" t="str">
        <f t="shared" si="438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6"/>
        <v/>
      </c>
      <c r="CF255" s="81" t="str">
        <f t="shared" si="436"/>
        <v/>
      </c>
      <c r="CG255" s="81" t="str">
        <f t="shared" si="436"/>
        <v/>
      </c>
      <c r="CH255" s="145" t="str">
        <f t="shared" si="436"/>
        <v/>
      </c>
      <c r="CI255" s="145" t="str">
        <f t="shared" si="436"/>
        <v/>
      </c>
      <c r="CJ255" s="145" t="str">
        <f t="shared" si="436"/>
        <v/>
      </c>
      <c r="CK255" s="81" t="str">
        <f t="shared" si="436"/>
        <v/>
      </c>
      <c r="CL255" s="81" t="str">
        <f t="shared" si="436"/>
        <v/>
      </c>
      <c r="CM255" s="81" t="str">
        <f t="shared" si="436"/>
        <v/>
      </c>
      <c r="CN255" s="81" t="str">
        <f t="shared" si="436"/>
        <v/>
      </c>
      <c r="CO255" s="81" t="str">
        <f t="shared" si="436"/>
        <v/>
      </c>
      <c r="CP255" s="80" t="str">
        <f t="shared" si="436"/>
        <v/>
      </c>
      <c r="CQ255" s="509" t="str">
        <f t="shared" si="436"/>
        <v/>
      </c>
      <c r="CR255" s="533" t="str">
        <f t="shared" si="437"/>
        <v/>
      </c>
      <c r="CS255" s="534" t="str">
        <f t="shared" si="437"/>
        <v/>
      </c>
      <c r="CT255" s="535" t="str">
        <f t="shared" si="437"/>
        <v/>
      </c>
      <c r="CU255" s="535" t="str">
        <f t="shared" si="437"/>
        <v/>
      </c>
      <c r="CV255" s="535" t="str">
        <f t="shared" si="437"/>
        <v/>
      </c>
      <c r="CW255" s="535" t="str">
        <f t="shared" si="437"/>
        <v/>
      </c>
      <c r="CX255" s="535" t="str">
        <f t="shared" si="437"/>
        <v/>
      </c>
      <c r="CY255" s="536" t="str">
        <f t="shared" si="437"/>
        <v/>
      </c>
      <c r="CZ255" s="536" t="str">
        <f t="shared" si="437"/>
        <v/>
      </c>
      <c r="DA255" s="536" t="str">
        <f t="shared" si="437"/>
        <v/>
      </c>
      <c r="DB255" s="535" t="str">
        <f t="shared" si="438"/>
        <v/>
      </c>
      <c r="DC255" s="535" t="str">
        <f t="shared" si="438"/>
        <v/>
      </c>
      <c r="DD255" s="535" t="str">
        <f t="shared" si="438"/>
        <v/>
      </c>
      <c r="DE255" s="535" t="str">
        <f t="shared" si="438"/>
        <v/>
      </c>
      <c r="DF255" s="535" t="str">
        <f t="shared" si="438"/>
        <v/>
      </c>
      <c r="DG255" s="534" t="str">
        <f t="shared" si="438"/>
        <v/>
      </c>
      <c r="DH255" s="533" t="str">
        <f t="shared" si="438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6"/>
        <v/>
      </c>
      <c r="CF256" s="81" t="str">
        <f t="shared" si="436"/>
        <v/>
      </c>
      <c r="CG256" s="81" t="str">
        <f t="shared" si="436"/>
        <v/>
      </c>
      <c r="CH256" s="145" t="str">
        <f t="shared" si="436"/>
        <v/>
      </c>
      <c r="CI256" s="145" t="str">
        <f t="shared" si="436"/>
        <v/>
      </c>
      <c r="CJ256" s="145" t="str">
        <f t="shared" si="436"/>
        <v/>
      </c>
      <c r="CK256" s="81" t="str">
        <f t="shared" si="436"/>
        <v/>
      </c>
      <c r="CL256" s="81" t="str">
        <f t="shared" si="436"/>
        <v/>
      </c>
      <c r="CM256" s="81" t="str">
        <f t="shared" si="436"/>
        <v/>
      </c>
      <c r="CN256" s="81" t="str">
        <f t="shared" si="436"/>
        <v/>
      </c>
      <c r="CO256" s="81" t="str">
        <f t="shared" si="436"/>
        <v/>
      </c>
      <c r="CP256" s="80" t="str">
        <f t="shared" si="436"/>
        <v/>
      </c>
      <c r="CQ256" s="509" t="str">
        <f t="shared" si="436"/>
        <v/>
      </c>
      <c r="CR256" s="533" t="str">
        <f t="shared" si="437"/>
        <v/>
      </c>
      <c r="CS256" s="534" t="str">
        <f t="shared" si="437"/>
        <v/>
      </c>
      <c r="CT256" s="535" t="str">
        <f t="shared" si="437"/>
        <v/>
      </c>
      <c r="CU256" s="535" t="str">
        <f t="shared" si="437"/>
        <v/>
      </c>
      <c r="CV256" s="535" t="str">
        <f t="shared" si="437"/>
        <v/>
      </c>
      <c r="CW256" s="535" t="str">
        <f t="shared" si="437"/>
        <v/>
      </c>
      <c r="CX256" s="535" t="str">
        <f t="shared" si="437"/>
        <v/>
      </c>
      <c r="CY256" s="536" t="str">
        <f t="shared" si="437"/>
        <v/>
      </c>
      <c r="CZ256" s="536" t="str">
        <f t="shared" si="437"/>
        <v/>
      </c>
      <c r="DA256" s="536" t="str">
        <f t="shared" si="437"/>
        <v/>
      </c>
      <c r="DB256" s="535" t="str">
        <f t="shared" si="438"/>
        <v/>
      </c>
      <c r="DC256" s="535" t="str">
        <f t="shared" si="438"/>
        <v/>
      </c>
      <c r="DD256" s="535" t="str">
        <f t="shared" si="438"/>
        <v/>
      </c>
      <c r="DE256" s="535" t="str">
        <f t="shared" si="438"/>
        <v/>
      </c>
      <c r="DF256" s="535" t="str">
        <f t="shared" si="438"/>
        <v/>
      </c>
      <c r="DG256" s="534" t="str">
        <f t="shared" si="438"/>
        <v/>
      </c>
      <c r="DH256" s="533" t="str">
        <f t="shared" si="438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39">IF(B254="","",B253*B254*B255*B256)</f>
        <v/>
      </c>
      <c r="C257" s="870" t="str">
        <f t="shared" si="439"/>
        <v/>
      </c>
      <c r="D257" s="870" t="str">
        <f t="shared" si="439"/>
        <v/>
      </c>
      <c r="E257" s="870" t="str">
        <f t="shared" si="439"/>
        <v/>
      </c>
      <c r="F257" s="870" t="str">
        <f t="shared" si="439"/>
        <v/>
      </c>
      <c r="G257" s="870" t="str">
        <f t="shared" si="439"/>
        <v/>
      </c>
      <c r="H257" s="870" t="str">
        <f t="shared" si="439"/>
        <v/>
      </c>
      <c r="I257" s="870" t="str">
        <f t="shared" si="439"/>
        <v/>
      </c>
      <c r="J257" s="870" t="str">
        <f t="shared" si="439"/>
        <v/>
      </c>
      <c r="K257" s="870" t="str">
        <f t="shared" si="439"/>
        <v/>
      </c>
      <c r="L257" s="870" t="str">
        <f t="shared" si="439"/>
        <v/>
      </c>
      <c r="M257" s="870" t="str">
        <f t="shared" si="439"/>
        <v/>
      </c>
      <c r="N257" s="870" t="str">
        <f t="shared" si="439"/>
        <v/>
      </c>
      <c r="O257" s="870" t="str">
        <f t="shared" si="439"/>
        <v/>
      </c>
      <c r="P257" s="870" t="str">
        <f t="shared" si="439"/>
        <v/>
      </c>
      <c r="Q257" s="870" t="str">
        <f t="shared" si="439"/>
        <v/>
      </c>
      <c r="R257" s="870" t="str">
        <f t="shared" si="439"/>
        <v/>
      </c>
      <c r="S257" s="858"/>
      <c r="T257" s="870" t="str">
        <f t="shared" ref="T257:AC257" si="440">IF(T254="","",T253*T254*T255*T256)</f>
        <v/>
      </c>
      <c r="U257" s="870" t="str">
        <f t="shared" si="440"/>
        <v/>
      </c>
      <c r="V257" s="870" t="str">
        <f t="shared" si="440"/>
        <v/>
      </c>
      <c r="W257" s="870" t="str">
        <f t="shared" si="440"/>
        <v/>
      </c>
      <c r="X257" s="870" t="str">
        <f t="shared" si="440"/>
        <v/>
      </c>
      <c r="Y257" s="870" t="str">
        <f t="shared" si="440"/>
        <v/>
      </c>
      <c r="Z257" s="870" t="str">
        <f t="shared" si="440"/>
        <v/>
      </c>
      <c r="AA257" s="870" t="str">
        <f t="shared" si="440"/>
        <v/>
      </c>
      <c r="AB257" s="870" t="str">
        <f t="shared" si="440"/>
        <v/>
      </c>
      <c r="AC257" s="870" t="str">
        <f t="shared" si="440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41">IF(AL254="","",AL253*AL254*AL255*AL256)</f>
        <v/>
      </c>
      <c r="AM257" s="870" t="str">
        <f t="shared" si="441"/>
        <v/>
      </c>
      <c r="AN257" s="870" t="str">
        <f t="shared" si="441"/>
        <v/>
      </c>
      <c r="AO257" s="870" t="str">
        <f t="shared" si="441"/>
        <v/>
      </c>
      <c r="AP257" s="870" t="str">
        <f t="shared" si="441"/>
        <v/>
      </c>
      <c r="AQ257" s="870" t="str">
        <f t="shared" si="441"/>
        <v/>
      </c>
      <c r="AR257" s="870" t="str">
        <f t="shared" si="441"/>
        <v/>
      </c>
      <c r="AS257" s="870" t="str">
        <f t="shared" si="441"/>
        <v/>
      </c>
      <c r="AT257" s="870" t="str">
        <f t="shared" si="441"/>
        <v/>
      </c>
      <c r="AU257" s="870" t="str">
        <f t="shared" si="441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42">IF(BD254="","",BD253*BD254*BD255*BD256)</f>
        <v/>
      </c>
      <c r="BE257" s="870" t="str">
        <f t="shared" si="442"/>
        <v/>
      </c>
      <c r="BF257" s="870" t="str">
        <f t="shared" si="442"/>
        <v/>
      </c>
      <c r="BG257" s="870" t="str">
        <f t="shared" si="442"/>
        <v/>
      </c>
      <c r="BH257" s="870" t="str">
        <f t="shared" si="442"/>
        <v/>
      </c>
      <c r="BI257" s="870" t="str">
        <f t="shared" si="442"/>
        <v/>
      </c>
      <c r="BJ257" s="870" t="str">
        <f t="shared" si="442"/>
        <v/>
      </c>
      <c r="BK257" s="870" t="str">
        <f t="shared" si="442"/>
        <v/>
      </c>
      <c r="BL257" s="870" t="str">
        <f t="shared" si="442"/>
        <v/>
      </c>
      <c r="BM257" s="870" t="str">
        <f t="shared" si="442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6"/>
        <v/>
      </c>
      <c r="CF257" s="81" t="str">
        <f t="shared" si="436"/>
        <v/>
      </c>
      <c r="CG257" s="81" t="str">
        <f t="shared" si="436"/>
        <v/>
      </c>
      <c r="CH257" s="145" t="str">
        <f t="shared" si="436"/>
        <v/>
      </c>
      <c r="CI257" s="145" t="str">
        <f t="shared" si="436"/>
        <v/>
      </c>
      <c r="CJ257" s="145" t="str">
        <f t="shared" si="436"/>
        <v/>
      </c>
      <c r="CK257" s="81" t="str">
        <f t="shared" si="436"/>
        <v/>
      </c>
      <c r="CL257" s="81" t="str">
        <f t="shared" si="436"/>
        <v/>
      </c>
      <c r="CM257" s="81" t="str">
        <f t="shared" si="436"/>
        <v/>
      </c>
      <c r="CN257" s="81" t="str">
        <f t="shared" si="436"/>
        <v/>
      </c>
      <c r="CO257" s="81" t="str">
        <f t="shared" si="436"/>
        <v/>
      </c>
      <c r="CP257" s="80" t="str">
        <f t="shared" si="436"/>
        <v/>
      </c>
      <c r="CQ257" s="509" t="str">
        <f t="shared" si="436"/>
        <v/>
      </c>
      <c r="CR257" s="533" t="str">
        <f t="shared" si="437"/>
        <v/>
      </c>
      <c r="CS257" s="534" t="str">
        <f t="shared" si="437"/>
        <v/>
      </c>
      <c r="CT257" s="535" t="str">
        <f t="shared" si="437"/>
        <v/>
      </c>
      <c r="CU257" s="535" t="str">
        <f t="shared" si="437"/>
        <v/>
      </c>
      <c r="CV257" s="535" t="str">
        <f t="shared" si="437"/>
        <v/>
      </c>
      <c r="CW257" s="535" t="str">
        <f t="shared" si="437"/>
        <v/>
      </c>
      <c r="CX257" s="535" t="str">
        <f t="shared" si="437"/>
        <v/>
      </c>
      <c r="CY257" s="536" t="str">
        <f t="shared" si="437"/>
        <v/>
      </c>
      <c r="CZ257" s="536" t="str">
        <f t="shared" si="437"/>
        <v/>
      </c>
      <c r="DA257" s="536" t="str">
        <f t="shared" si="437"/>
        <v/>
      </c>
      <c r="DB257" s="535" t="str">
        <f t="shared" si="438"/>
        <v/>
      </c>
      <c r="DC257" s="535" t="str">
        <f t="shared" si="438"/>
        <v/>
      </c>
      <c r="DD257" s="535" t="str">
        <f t="shared" si="438"/>
        <v/>
      </c>
      <c r="DE257" s="535" t="str">
        <f t="shared" si="438"/>
        <v/>
      </c>
      <c r="DF257" s="535" t="str">
        <f t="shared" si="438"/>
        <v/>
      </c>
      <c r="DG257" s="534" t="str">
        <f t="shared" si="438"/>
        <v/>
      </c>
      <c r="DH257" s="533" t="str">
        <f t="shared" si="438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4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3"/>
        <v/>
      </c>
      <c r="CF259" s="81" t="str">
        <f t="shared" si="443"/>
        <v/>
      </c>
      <c r="CG259" s="81" t="str">
        <f t="shared" si="443"/>
        <v/>
      </c>
      <c r="CH259" s="145" t="str">
        <f t="shared" si="443"/>
        <v/>
      </c>
      <c r="CI259" s="145" t="str">
        <f t="shared" si="443"/>
        <v/>
      </c>
      <c r="CJ259" s="145" t="str">
        <f t="shared" si="443"/>
        <v/>
      </c>
      <c r="CK259" s="81" t="str">
        <f t="shared" si="443"/>
        <v/>
      </c>
      <c r="CL259" s="81" t="str">
        <f t="shared" si="443"/>
        <v/>
      </c>
      <c r="CM259" s="81" t="str">
        <f t="shared" si="443"/>
        <v/>
      </c>
      <c r="CN259" s="81" t="str">
        <f t="shared" si="443"/>
        <v/>
      </c>
      <c r="CO259" s="81" t="str">
        <f t="shared" si="443"/>
        <v/>
      </c>
      <c r="CP259" s="80" t="str">
        <f t="shared" si="443"/>
        <v/>
      </c>
      <c r="CQ259" s="509" t="str">
        <f t="shared" ref="CE259:CQ263" si="444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45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45"/>
        <v/>
      </c>
      <c r="CT259" s="535" t="str">
        <f t="shared" si="445"/>
        <v/>
      </c>
      <c r="CU259" s="535" t="str">
        <f t="shared" si="445"/>
        <v/>
      </c>
      <c r="CV259" s="535" t="str">
        <f t="shared" si="445"/>
        <v/>
      </c>
      <c r="CW259" s="535" t="str">
        <f t="shared" si="445"/>
        <v/>
      </c>
      <c r="CX259" s="535" t="str">
        <f t="shared" si="445"/>
        <v/>
      </c>
      <c r="CY259" s="536" t="str">
        <f t="shared" si="445"/>
        <v/>
      </c>
      <c r="CZ259" s="536" t="str">
        <f t="shared" si="445"/>
        <v/>
      </c>
      <c r="DA259" s="536" t="str">
        <f t="shared" si="445"/>
        <v/>
      </c>
      <c r="DB259" s="535" t="str">
        <f t="shared" ref="DB259:DH263" si="446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46"/>
        <v/>
      </c>
      <c r="DD259" s="535" t="str">
        <f t="shared" si="446"/>
        <v/>
      </c>
      <c r="DE259" s="535" t="str">
        <f t="shared" si="446"/>
        <v/>
      </c>
      <c r="DF259" s="535" t="str">
        <f t="shared" si="446"/>
        <v/>
      </c>
      <c r="DG259" s="534" t="str">
        <f t="shared" si="446"/>
        <v/>
      </c>
      <c r="DH259" s="533" t="str">
        <f t="shared" si="446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4"/>
        <v/>
      </c>
      <c r="CF260" s="81" t="str">
        <f t="shared" si="444"/>
        <v/>
      </c>
      <c r="CG260" s="81" t="str">
        <f t="shared" si="444"/>
        <v/>
      </c>
      <c r="CH260" s="145" t="str">
        <f t="shared" si="444"/>
        <v/>
      </c>
      <c r="CI260" s="145" t="str">
        <f t="shared" si="444"/>
        <v/>
      </c>
      <c r="CJ260" s="145" t="str">
        <f t="shared" si="444"/>
        <v/>
      </c>
      <c r="CK260" s="81" t="str">
        <f t="shared" si="444"/>
        <v/>
      </c>
      <c r="CL260" s="81" t="str">
        <f t="shared" si="444"/>
        <v/>
      </c>
      <c r="CM260" s="81" t="str">
        <f t="shared" si="444"/>
        <v/>
      </c>
      <c r="CN260" s="81" t="str">
        <f t="shared" si="444"/>
        <v/>
      </c>
      <c r="CO260" s="81" t="str">
        <f t="shared" si="444"/>
        <v/>
      </c>
      <c r="CP260" s="80" t="str">
        <f t="shared" si="444"/>
        <v/>
      </c>
      <c r="CQ260" s="509" t="str">
        <f t="shared" si="444"/>
        <v/>
      </c>
      <c r="CR260" s="533" t="str">
        <f t="shared" si="445"/>
        <v/>
      </c>
      <c r="CS260" s="534" t="str">
        <f t="shared" si="445"/>
        <v/>
      </c>
      <c r="CT260" s="535" t="str">
        <f t="shared" si="445"/>
        <v/>
      </c>
      <c r="CU260" s="535" t="str">
        <f t="shared" si="445"/>
        <v/>
      </c>
      <c r="CV260" s="535" t="str">
        <f t="shared" si="445"/>
        <v/>
      </c>
      <c r="CW260" s="535" t="str">
        <f t="shared" si="445"/>
        <v/>
      </c>
      <c r="CX260" s="535" t="str">
        <f t="shared" si="445"/>
        <v/>
      </c>
      <c r="CY260" s="536" t="str">
        <f t="shared" si="445"/>
        <v/>
      </c>
      <c r="CZ260" s="536" t="str">
        <f t="shared" si="445"/>
        <v/>
      </c>
      <c r="DA260" s="536" t="str">
        <f t="shared" si="445"/>
        <v/>
      </c>
      <c r="DB260" s="535" t="str">
        <f t="shared" si="446"/>
        <v/>
      </c>
      <c r="DC260" s="535" t="str">
        <f t="shared" si="446"/>
        <v/>
      </c>
      <c r="DD260" s="535" t="str">
        <f t="shared" si="446"/>
        <v/>
      </c>
      <c r="DE260" s="535" t="str">
        <f t="shared" si="446"/>
        <v/>
      </c>
      <c r="DF260" s="535" t="str">
        <f t="shared" si="446"/>
        <v/>
      </c>
      <c r="DG260" s="534" t="str">
        <f t="shared" si="446"/>
        <v/>
      </c>
      <c r="DH260" s="533" t="str">
        <f t="shared" si="446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4"/>
        <v/>
      </c>
      <c r="CF261" s="81" t="str">
        <f t="shared" si="444"/>
        <v/>
      </c>
      <c r="CG261" s="81" t="str">
        <f t="shared" si="444"/>
        <v/>
      </c>
      <c r="CH261" s="145" t="str">
        <f t="shared" si="444"/>
        <v/>
      </c>
      <c r="CI261" s="145" t="str">
        <f t="shared" si="444"/>
        <v/>
      </c>
      <c r="CJ261" s="145" t="str">
        <f t="shared" si="444"/>
        <v/>
      </c>
      <c r="CK261" s="81" t="str">
        <f t="shared" si="444"/>
        <v/>
      </c>
      <c r="CL261" s="81" t="str">
        <f t="shared" si="444"/>
        <v/>
      </c>
      <c r="CM261" s="81" t="str">
        <f t="shared" si="444"/>
        <v/>
      </c>
      <c r="CN261" s="81" t="str">
        <f t="shared" si="444"/>
        <v/>
      </c>
      <c r="CO261" s="81" t="str">
        <f t="shared" si="444"/>
        <v/>
      </c>
      <c r="CP261" s="80" t="str">
        <f t="shared" si="444"/>
        <v/>
      </c>
      <c r="CQ261" s="509" t="str">
        <f t="shared" si="444"/>
        <v/>
      </c>
      <c r="CR261" s="533" t="str">
        <f t="shared" si="445"/>
        <v/>
      </c>
      <c r="CS261" s="534" t="str">
        <f t="shared" si="445"/>
        <v/>
      </c>
      <c r="CT261" s="535" t="str">
        <f t="shared" si="445"/>
        <v/>
      </c>
      <c r="CU261" s="535" t="str">
        <f t="shared" si="445"/>
        <v/>
      </c>
      <c r="CV261" s="535" t="str">
        <f t="shared" si="445"/>
        <v/>
      </c>
      <c r="CW261" s="535" t="str">
        <f t="shared" si="445"/>
        <v/>
      </c>
      <c r="CX261" s="535" t="str">
        <f t="shared" si="445"/>
        <v/>
      </c>
      <c r="CY261" s="536" t="str">
        <f t="shared" si="445"/>
        <v/>
      </c>
      <c r="CZ261" s="536" t="str">
        <f t="shared" si="445"/>
        <v/>
      </c>
      <c r="DA261" s="536" t="str">
        <f t="shared" si="445"/>
        <v/>
      </c>
      <c r="DB261" s="535" t="str">
        <f t="shared" si="446"/>
        <v/>
      </c>
      <c r="DC261" s="535" t="str">
        <f t="shared" si="446"/>
        <v/>
      </c>
      <c r="DD261" s="535" t="str">
        <f t="shared" si="446"/>
        <v/>
      </c>
      <c r="DE261" s="535" t="str">
        <f t="shared" si="446"/>
        <v/>
      </c>
      <c r="DF261" s="535" t="str">
        <f t="shared" si="446"/>
        <v/>
      </c>
      <c r="DG261" s="534" t="str">
        <f t="shared" si="446"/>
        <v/>
      </c>
      <c r="DH261" s="533" t="str">
        <f t="shared" si="446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4"/>
        <v/>
      </c>
      <c r="CF262" s="81" t="str">
        <f t="shared" si="444"/>
        <v/>
      </c>
      <c r="CG262" s="81" t="str">
        <f t="shared" si="444"/>
        <v/>
      </c>
      <c r="CH262" s="145" t="str">
        <f t="shared" si="444"/>
        <v/>
      </c>
      <c r="CI262" s="145" t="str">
        <f t="shared" si="444"/>
        <v/>
      </c>
      <c r="CJ262" s="145" t="str">
        <f t="shared" si="444"/>
        <v/>
      </c>
      <c r="CK262" s="81" t="str">
        <f t="shared" si="444"/>
        <v/>
      </c>
      <c r="CL262" s="81" t="str">
        <f t="shared" si="444"/>
        <v/>
      </c>
      <c r="CM262" s="81" t="str">
        <f t="shared" si="444"/>
        <v/>
      </c>
      <c r="CN262" s="81" t="str">
        <f t="shared" si="444"/>
        <v/>
      </c>
      <c r="CO262" s="81" t="str">
        <f t="shared" si="444"/>
        <v/>
      </c>
      <c r="CP262" s="80" t="str">
        <f t="shared" si="444"/>
        <v/>
      </c>
      <c r="CQ262" s="509" t="str">
        <f t="shared" si="444"/>
        <v/>
      </c>
      <c r="CR262" s="533" t="str">
        <f t="shared" si="445"/>
        <v/>
      </c>
      <c r="CS262" s="534" t="str">
        <f t="shared" si="445"/>
        <v/>
      </c>
      <c r="CT262" s="535" t="str">
        <f t="shared" si="445"/>
        <v/>
      </c>
      <c r="CU262" s="535" t="str">
        <f t="shared" si="445"/>
        <v/>
      </c>
      <c r="CV262" s="535" t="str">
        <f t="shared" si="445"/>
        <v/>
      </c>
      <c r="CW262" s="535" t="str">
        <f t="shared" si="445"/>
        <v/>
      </c>
      <c r="CX262" s="535" t="str">
        <f t="shared" si="445"/>
        <v/>
      </c>
      <c r="CY262" s="536" t="str">
        <f t="shared" si="445"/>
        <v/>
      </c>
      <c r="CZ262" s="536" t="str">
        <f t="shared" si="445"/>
        <v/>
      </c>
      <c r="DA262" s="536" t="str">
        <f t="shared" si="445"/>
        <v/>
      </c>
      <c r="DB262" s="535" t="str">
        <f t="shared" si="446"/>
        <v/>
      </c>
      <c r="DC262" s="535" t="str">
        <f t="shared" si="446"/>
        <v/>
      </c>
      <c r="DD262" s="535" t="str">
        <f t="shared" si="446"/>
        <v/>
      </c>
      <c r="DE262" s="535" t="str">
        <f t="shared" si="446"/>
        <v/>
      </c>
      <c r="DF262" s="535" t="str">
        <f t="shared" si="446"/>
        <v/>
      </c>
      <c r="DG262" s="534" t="str">
        <f t="shared" si="446"/>
        <v/>
      </c>
      <c r="DH262" s="533" t="str">
        <f t="shared" si="446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47">IF(B260="","",B259*B260*B261*B262)</f>
        <v/>
      </c>
      <c r="C263" s="870" t="str">
        <f t="shared" si="447"/>
        <v/>
      </c>
      <c r="D263" s="870" t="str">
        <f t="shared" si="447"/>
        <v/>
      </c>
      <c r="E263" s="870" t="str">
        <f t="shared" si="447"/>
        <v/>
      </c>
      <c r="F263" s="870" t="str">
        <f t="shared" si="447"/>
        <v/>
      </c>
      <c r="G263" s="870" t="str">
        <f t="shared" si="447"/>
        <v/>
      </c>
      <c r="H263" s="870" t="str">
        <f t="shared" si="447"/>
        <v/>
      </c>
      <c r="I263" s="870" t="str">
        <f t="shared" si="447"/>
        <v/>
      </c>
      <c r="J263" s="870" t="str">
        <f t="shared" si="447"/>
        <v/>
      </c>
      <c r="K263" s="870" t="str">
        <f t="shared" si="447"/>
        <v/>
      </c>
      <c r="L263" s="870" t="str">
        <f t="shared" si="447"/>
        <v/>
      </c>
      <c r="M263" s="870" t="str">
        <f t="shared" si="447"/>
        <v/>
      </c>
      <c r="N263" s="870" t="str">
        <f t="shared" si="447"/>
        <v/>
      </c>
      <c r="O263" s="870" t="str">
        <f t="shared" si="447"/>
        <v/>
      </c>
      <c r="P263" s="870" t="str">
        <f t="shared" si="447"/>
        <v/>
      </c>
      <c r="Q263" s="870" t="str">
        <f t="shared" si="447"/>
        <v/>
      </c>
      <c r="R263" s="870" t="str">
        <f t="shared" si="447"/>
        <v/>
      </c>
      <c r="S263" s="858"/>
      <c r="T263" s="870" t="str">
        <f t="shared" ref="T263:AC263" si="448">IF(T260="","",T259*T260*T261*T262)</f>
        <v/>
      </c>
      <c r="U263" s="870" t="str">
        <f t="shared" si="448"/>
        <v/>
      </c>
      <c r="V263" s="870" t="str">
        <f t="shared" si="448"/>
        <v/>
      </c>
      <c r="W263" s="870" t="str">
        <f t="shared" si="448"/>
        <v/>
      </c>
      <c r="X263" s="870" t="str">
        <f t="shared" si="448"/>
        <v/>
      </c>
      <c r="Y263" s="870" t="str">
        <f t="shared" si="448"/>
        <v/>
      </c>
      <c r="Z263" s="870" t="str">
        <f t="shared" si="448"/>
        <v/>
      </c>
      <c r="AA263" s="870" t="str">
        <f t="shared" si="448"/>
        <v/>
      </c>
      <c r="AB263" s="870" t="str">
        <f t="shared" si="448"/>
        <v/>
      </c>
      <c r="AC263" s="870" t="str">
        <f t="shared" si="448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49">IF(AL260="","",AL259*AL260*AL261*AL262)</f>
        <v/>
      </c>
      <c r="AM263" s="870" t="str">
        <f t="shared" si="449"/>
        <v/>
      </c>
      <c r="AN263" s="870" t="str">
        <f t="shared" si="449"/>
        <v/>
      </c>
      <c r="AO263" s="870" t="str">
        <f t="shared" si="449"/>
        <v/>
      </c>
      <c r="AP263" s="870" t="str">
        <f t="shared" si="449"/>
        <v/>
      </c>
      <c r="AQ263" s="870" t="str">
        <f t="shared" si="449"/>
        <v/>
      </c>
      <c r="AR263" s="870" t="str">
        <f t="shared" si="449"/>
        <v/>
      </c>
      <c r="AS263" s="870" t="str">
        <f t="shared" si="449"/>
        <v/>
      </c>
      <c r="AT263" s="870" t="str">
        <f t="shared" si="449"/>
        <v/>
      </c>
      <c r="AU263" s="870" t="str">
        <f t="shared" si="449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50">IF(BD260="","",BD259*BD260*BD261*BD262)</f>
        <v/>
      </c>
      <c r="BE263" s="870" t="str">
        <f t="shared" si="450"/>
        <v/>
      </c>
      <c r="BF263" s="870" t="str">
        <f t="shared" si="450"/>
        <v/>
      </c>
      <c r="BG263" s="870" t="str">
        <f t="shared" si="450"/>
        <v/>
      </c>
      <c r="BH263" s="870" t="str">
        <f t="shared" si="450"/>
        <v/>
      </c>
      <c r="BI263" s="870" t="str">
        <f t="shared" si="450"/>
        <v/>
      </c>
      <c r="BJ263" s="870" t="str">
        <f t="shared" si="450"/>
        <v/>
      </c>
      <c r="BK263" s="870" t="str">
        <f t="shared" si="450"/>
        <v/>
      </c>
      <c r="BL263" s="870" t="str">
        <f t="shared" si="450"/>
        <v/>
      </c>
      <c r="BM263" s="870" t="str">
        <f t="shared" si="450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4"/>
        <v/>
      </c>
      <c r="CF263" s="81" t="str">
        <f t="shared" si="444"/>
        <v/>
      </c>
      <c r="CG263" s="81" t="str">
        <f t="shared" si="444"/>
        <v/>
      </c>
      <c r="CH263" s="145" t="str">
        <f t="shared" si="444"/>
        <v/>
      </c>
      <c r="CI263" s="145" t="str">
        <f t="shared" si="444"/>
        <v/>
      </c>
      <c r="CJ263" s="145" t="str">
        <f t="shared" si="444"/>
        <v/>
      </c>
      <c r="CK263" s="81" t="str">
        <f t="shared" si="444"/>
        <v/>
      </c>
      <c r="CL263" s="81" t="str">
        <f t="shared" si="444"/>
        <v/>
      </c>
      <c r="CM263" s="81" t="str">
        <f t="shared" si="444"/>
        <v/>
      </c>
      <c r="CN263" s="81" t="str">
        <f t="shared" si="444"/>
        <v/>
      </c>
      <c r="CO263" s="81" t="str">
        <f t="shared" si="444"/>
        <v/>
      </c>
      <c r="CP263" s="80" t="str">
        <f t="shared" si="444"/>
        <v/>
      </c>
      <c r="CQ263" s="509" t="str">
        <f t="shared" si="444"/>
        <v/>
      </c>
      <c r="CR263" s="533" t="str">
        <f t="shared" si="445"/>
        <v/>
      </c>
      <c r="CS263" s="534" t="str">
        <f t="shared" si="445"/>
        <v/>
      </c>
      <c r="CT263" s="535" t="str">
        <f t="shared" si="445"/>
        <v/>
      </c>
      <c r="CU263" s="535" t="str">
        <f t="shared" si="445"/>
        <v/>
      </c>
      <c r="CV263" s="535" t="str">
        <f t="shared" si="445"/>
        <v/>
      </c>
      <c r="CW263" s="535" t="str">
        <f t="shared" si="445"/>
        <v/>
      </c>
      <c r="CX263" s="535" t="str">
        <f t="shared" si="445"/>
        <v/>
      </c>
      <c r="CY263" s="536" t="str">
        <f t="shared" si="445"/>
        <v/>
      </c>
      <c r="CZ263" s="536" t="str">
        <f t="shared" si="445"/>
        <v/>
      </c>
      <c r="DA263" s="536" t="str">
        <f t="shared" si="445"/>
        <v/>
      </c>
      <c r="DB263" s="535" t="str">
        <f t="shared" si="446"/>
        <v/>
      </c>
      <c r="DC263" s="535" t="str">
        <f t="shared" si="446"/>
        <v/>
      </c>
      <c r="DD263" s="535" t="str">
        <f t="shared" si="446"/>
        <v/>
      </c>
      <c r="DE263" s="535" t="str">
        <f t="shared" si="446"/>
        <v/>
      </c>
      <c r="DF263" s="535" t="str">
        <f t="shared" si="446"/>
        <v/>
      </c>
      <c r="DG263" s="534" t="str">
        <f t="shared" si="446"/>
        <v/>
      </c>
      <c r="DH263" s="533" t="str">
        <f t="shared" si="446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5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1"/>
        <v/>
      </c>
      <c r="CF265" s="81" t="str">
        <f t="shared" si="451"/>
        <v/>
      </c>
      <c r="CG265" s="81" t="str">
        <f t="shared" si="451"/>
        <v/>
      </c>
      <c r="CH265" s="145" t="str">
        <f t="shared" si="451"/>
        <v/>
      </c>
      <c r="CI265" s="145" t="str">
        <f t="shared" si="451"/>
        <v/>
      </c>
      <c r="CJ265" s="145" t="str">
        <f t="shared" si="451"/>
        <v/>
      </c>
      <c r="CK265" s="81" t="str">
        <f t="shared" si="451"/>
        <v/>
      </c>
      <c r="CL265" s="81" t="str">
        <f t="shared" si="451"/>
        <v/>
      </c>
      <c r="CM265" s="81" t="str">
        <f t="shared" si="451"/>
        <v/>
      </c>
      <c r="CN265" s="81" t="str">
        <f t="shared" si="451"/>
        <v/>
      </c>
      <c r="CO265" s="81" t="str">
        <f t="shared" si="451"/>
        <v/>
      </c>
      <c r="CP265" s="80" t="str">
        <f t="shared" si="451"/>
        <v/>
      </c>
      <c r="CQ265" s="509" t="str">
        <f t="shared" ref="CE265:CQ269" si="452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53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53"/>
        <v/>
      </c>
      <c r="CT265" s="535" t="str">
        <f t="shared" si="453"/>
        <v/>
      </c>
      <c r="CU265" s="535" t="str">
        <f t="shared" si="453"/>
        <v/>
      </c>
      <c r="CV265" s="535" t="str">
        <f t="shared" si="453"/>
        <v/>
      </c>
      <c r="CW265" s="535" t="str">
        <f t="shared" si="453"/>
        <v/>
      </c>
      <c r="CX265" s="535" t="str">
        <f t="shared" si="453"/>
        <v/>
      </c>
      <c r="CY265" s="536" t="str">
        <f t="shared" si="453"/>
        <v/>
      </c>
      <c r="CZ265" s="536" t="str">
        <f t="shared" si="453"/>
        <v/>
      </c>
      <c r="DA265" s="536" t="str">
        <f t="shared" si="453"/>
        <v/>
      </c>
      <c r="DB265" s="535" t="str">
        <f t="shared" ref="DB265:DH269" si="454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54"/>
        <v/>
      </c>
      <c r="DD265" s="535" t="str">
        <f t="shared" si="454"/>
        <v/>
      </c>
      <c r="DE265" s="535" t="str">
        <f t="shared" si="454"/>
        <v/>
      </c>
      <c r="DF265" s="535" t="str">
        <f t="shared" si="454"/>
        <v/>
      </c>
      <c r="DG265" s="534" t="str">
        <f t="shared" si="454"/>
        <v/>
      </c>
      <c r="DH265" s="533" t="str">
        <f t="shared" si="454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2"/>
        <v/>
      </c>
      <c r="CF266" s="81" t="str">
        <f t="shared" si="452"/>
        <v/>
      </c>
      <c r="CG266" s="81" t="str">
        <f t="shared" si="452"/>
        <v/>
      </c>
      <c r="CH266" s="145" t="str">
        <f t="shared" si="452"/>
        <v/>
      </c>
      <c r="CI266" s="145" t="str">
        <f t="shared" si="452"/>
        <v/>
      </c>
      <c r="CJ266" s="145" t="str">
        <f t="shared" si="452"/>
        <v/>
      </c>
      <c r="CK266" s="81" t="str">
        <f t="shared" si="452"/>
        <v/>
      </c>
      <c r="CL266" s="81" t="str">
        <f t="shared" si="452"/>
        <v/>
      </c>
      <c r="CM266" s="81" t="str">
        <f t="shared" si="452"/>
        <v/>
      </c>
      <c r="CN266" s="81" t="str">
        <f t="shared" si="452"/>
        <v/>
      </c>
      <c r="CO266" s="81" t="str">
        <f t="shared" si="452"/>
        <v/>
      </c>
      <c r="CP266" s="80" t="str">
        <f t="shared" si="452"/>
        <v/>
      </c>
      <c r="CQ266" s="509" t="str">
        <f t="shared" si="452"/>
        <v/>
      </c>
      <c r="CR266" s="533" t="str">
        <f t="shared" si="453"/>
        <v/>
      </c>
      <c r="CS266" s="534" t="str">
        <f t="shared" si="453"/>
        <v/>
      </c>
      <c r="CT266" s="535" t="str">
        <f t="shared" si="453"/>
        <v/>
      </c>
      <c r="CU266" s="535" t="str">
        <f t="shared" si="453"/>
        <v/>
      </c>
      <c r="CV266" s="535" t="str">
        <f t="shared" si="453"/>
        <v/>
      </c>
      <c r="CW266" s="535" t="str">
        <f t="shared" si="453"/>
        <v/>
      </c>
      <c r="CX266" s="535" t="str">
        <f t="shared" si="453"/>
        <v/>
      </c>
      <c r="CY266" s="536" t="str">
        <f t="shared" si="453"/>
        <v/>
      </c>
      <c r="CZ266" s="536" t="str">
        <f t="shared" si="453"/>
        <v/>
      </c>
      <c r="DA266" s="536" t="str">
        <f t="shared" si="453"/>
        <v/>
      </c>
      <c r="DB266" s="535" t="str">
        <f t="shared" si="454"/>
        <v/>
      </c>
      <c r="DC266" s="535" t="str">
        <f t="shared" si="454"/>
        <v/>
      </c>
      <c r="DD266" s="535" t="str">
        <f t="shared" si="454"/>
        <v/>
      </c>
      <c r="DE266" s="535" t="str">
        <f t="shared" si="454"/>
        <v/>
      </c>
      <c r="DF266" s="535" t="str">
        <f t="shared" si="454"/>
        <v/>
      </c>
      <c r="DG266" s="534" t="str">
        <f t="shared" si="454"/>
        <v/>
      </c>
      <c r="DH266" s="533" t="str">
        <f t="shared" si="454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2"/>
        <v/>
      </c>
      <c r="CF267" s="81" t="str">
        <f t="shared" si="452"/>
        <v/>
      </c>
      <c r="CG267" s="81" t="str">
        <f t="shared" si="452"/>
        <v/>
      </c>
      <c r="CH267" s="145" t="str">
        <f t="shared" si="452"/>
        <v/>
      </c>
      <c r="CI267" s="145" t="str">
        <f t="shared" si="452"/>
        <v/>
      </c>
      <c r="CJ267" s="145" t="str">
        <f t="shared" si="452"/>
        <v/>
      </c>
      <c r="CK267" s="81" t="str">
        <f t="shared" si="452"/>
        <v/>
      </c>
      <c r="CL267" s="81" t="str">
        <f t="shared" si="452"/>
        <v/>
      </c>
      <c r="CM267" s="81" t="str">
        <f t="shared" si="452"/>
        <v/>
      </c>
      <c r="CN267" s="81" t="str">
        <f t="shared" si="452"/>
        <v/>
      </c>
      <c r="CO267" s="81" t="str">
        <f t="shared" si="452"/>
        <v/>
      </c>
      <c r="CP267" s="80" t="str">
        <f t="shared" si="452"/>
        <v/>
      </c>
      <c r="CQ267" s="509" t="str">
        <f t="shared" si="452"/>
        <v/>
      </c>
      <c r="CR267" s="533" t="str">
        <f t="shared" si="453"/>
        <v/>
      </c>
      <c r="CS267" s="534" t="str">
        <f t="shared" si="453"/>
        <v/>
      </c>
      <c r="CT267" s="535" t="str">
        <f t="shared" si="453"/>
        <v/>
      </c>
      <c r="CU267" s="535" t="str">
        <f t="shared" si="453"/>
        <v/>
      </c>
      <c r="CV267" s="535" t="str">
        <f t="shared" si="453"/>
        <v/>
      </c>
      <c r="CW267" s="535" t="str">
        <f t="shared" si="453"/>
        <v/>
      </c>
      <c r="CX267" s="535" t="str">
        <f t="shared" si="453"/>
        <v/>
      </c>
      <c r="CY267" s="536" t="str">
        <f t="shared" si="453"/>
        <v/>
      </c>
      <c r="CZ267" s="536" t="str">
        <f t="shared" si="453"/>
        <v/>
      </c>
      <c r="DA267" s="536" t="str">
        <f t="shared" si="453"/>
        <v/>
      </c>
      <c r="DB267" s="535" t="str">
        <f t="shared" si="454"/>
        <v/>
      </c>
      <c r="DC267" s="535" t="str">
        <f t="shared" si="454"/>
        <v/>
      </c>
      <c r="DD267" s="535" t="str">
        <f t="shared" si="454"/>
        <v/>
      </c>
      <c r="DE267" s="535" t="str">
        <f t="shared" si="454"/>
        <v/>
      </c>
      <c r="DF267" s="535" t="str">
        <f t="shared" si="454"/>
        <v/>
      </c>
      <c r="DG267" s="534" t="str">
        <f t="shared" si="454"/>
        <v/>
      </c>
      <c r="DH267" s="533" t="str">
        <f t="shared" si="454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2"/>
        <v/>
      </c>
      <c r="CF268" s="81" t="str">
        <f t="shared" si="452"/>
        <v/>
      </c>
      <c r="CG268" s="81" t="str">
        <f t="shared" si="452"/>
        <v/>
      </c>
      <c r="CH268" s="145" t="str">
        <f t="shared" si="452"/>
        <v/>
      </c>
      <c r="CI268" s="145" t="str">
        <f t="shared" si="452"/>
        <v/>
      </c>
      <c r="CJ268" s="145" t="str">
        <f t="shared" si="452"/>
        <v/>
      </c>
      <c r="CK268" s="81" t="str">
        <f t="shared" si="452"/>
        <v/>
      </c>
      <c r="CL268" s="81" t="str">
        <f t="shared" si="452"/>
        <v/>
      </c>
      <c r="CM268" s="81" t="str">
        <f t="shared" si="452"/>
        <v/>
      </c>
      <c r="CN268" s="81" t="str">
        <f t="shared" si="452"/>
        <v/>
      </c>
      <c r="CO268" s="81" t="str">
        <f t="shared" si="452"/>
        <v/>
      </c>
      <c r="CP268" s="80" t="str">
        <f t="shared" si="452"/>
        <v/>
      </c>
      <c r="CQ268" s="509" t="str">
        <f t="shared" si="452"/>
        <v/>
      </c>
      <c r="CR268" s="533" t="str">
        <f t="shared" si="453"/>
        <v/>
      </c>
      <c r="CS268" s="534" t="str">
        <f t="shared" si="453"/>
        <v/>
      </c>
      <c r="CT268" s="535" t="str">
        <f t="shared" si="453"/>
        <v/>
      </c>
      <c r="CU268" s="535" t="str">
        <f t="shared" si="453"/>
        <v/>
      </c>
      <c r="CV268" s="535" t="str">
        <f t="shared" si="453"/>
        <v/>
      </c>
      <c r="CW268" s="535" t="str">
        <f t="shared" si="453"/>
        <v/>
      </c>
      <c r="CX268" s="535" t="str">
        <f t="shared" si="453"/>
        <v/>
      </c>
      <c r="CY268" s="536" t="str">
        <f t="shared" si="453"/>
        <v/>
      </c>
      <c r="CZ268" s="536" t="str">
        <f t="shared" si="453"/>
        <v/>
      </c>
      <c r="DA268" s="536" t="str">
        <f t="shared" si="453"/>
        <v/>
      </c>
      <c r="DB268" s="535" t="str">
        <f t="shared" si="454"/>
        <v/>
      </c>
      <c r="DC268" s="535" t="str">
        <f t="shared" si="454"/>
        <v/>
      </c>
      <c r="DD268" s="535" t="str">
        <f t="shared" si="454"/>
        <v/>
      </c>
      <c r="DE268" s="535" t="str">
        <f t="shared" si="454"/>
        <v/>
      </c>
      <c r="DF268" s="535" t="str">
        <f t="shared" si="454"/>
        <v/>
      </c>
      <c r="DG268" s="534" t="str">
        <f t="shared" si="454"/>
        <v/>
      </c>
      <c r="DH268" s="533" t="str">
        <f t="shared" si="454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55">IF(B266="","",B265*B266*B267*B268)</f>
        <v/>
      </c>
      <c r="C269" s="870" t="str">
        <f t="shared" si="455"/>
        <v/>
      </c>
      <c r="D269" s="870" t="str">
        <f t="shared" si="455"/>
        <v/>
      </c>
      <c r="E269" s="870" t="str">
        <f t="shared" si="455"/>
        <v/>
      </c>
      <c r="F269" s="870" t="str">
        <f t="shared" si="455"/>
        <v/>
      </c>
      <c r="G269" s="870" t="str">
        <f t="shared" si="455"/>
        <v/>
      </c>
      <c r="H269" s="870" t="str">
        <f t="shared" si="455"/>
        <v/>
      </c>
      <c r="I269" s="870" t="str">
        <f t="shared" si="455"/>
        <v/>
      </c>
      <c r="J269" s="870" t="str">
        <f t="shared" si="455"/>
        <v/>
      </c>
      <c r="K269" s="870" t="str">
        <f t="shared" si="455"/>
        <v/>
      </c>
      <c r="L269" s="870" t="str">
        <f t="shared" si="455"/>
        <v/>
      </c>
      <c r="M269" s="870" t="str">
        <f t="shared" si="455"/>
        <v/>
      </c>
      <c r="N269" s="870" t="str">
        <f t="shared" si="455"/>
        <v/>
      </c>
      <c r="O269" s="870" t="str">
        <f t="shared" si="455"/>
        <v/>
      </c>
      <c r="P269" s="870" t="str">
        <f t="shared" si="455"/>
        <v/>
      </c>
      <c r="Q269" s="870" t="str">
        <f t="shared" si="455"/>
        <v/>
      </c>
      <c r="R269" s="870" t="str">
        <f t="shared" si="455"/>
        <v/>
      </c>
      <c r="S269" s="858"/>
      <c r="T269" s="870" t="str">
        <f t="shared" ref="T269:AC269" si="456">IF(T266="","",T265*T266*T267*T268)</f>
        <v/>
      </c>
      <c r="U269" s="870" t="str">
        <f t="shared" si="456"/>
        <v/>
      </c>
      <c r="V269" s="870" t="str">
        <f t="shared" si="456"/>
        <v/>
      </c>
      <c r="W269" s="870" t="str">
        <f t="shared" si="456"/>
        <v/>
      </c>
      <c r="X269" s="870" t="str">
        <f t="shared" si="456"/>
        <v/>
      </c>
      <c r="Y269" s="870" t="str">
        <f t="shared" si="456"/>
        <v/>
      </c>
      <c r="Z269" s="870" t="str">
        <f t="shared" si="456"/>
        <v/>
      </c>
      <c r="AA269" s="870" t="str">
        <f t="shared" si="456"/>
        <v/>
      </c>
      <c r="AB269" s="870" t="str">
        <f t="shared" si="456"/>
        <v/>
      </c>
      <c r="AC269" s="870" t="str">
        <f t="shared" si="456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57">IF(AL266="","",AL265*AL266*AL267*AL268)</f>
        <v/>
      </c>
      <c r="AM269" s="870" t="str">
        <f t="shared" si="457"/>
        <v/>
      </c>
      <c r="AN269" s="870" t="str">
        <f t="shared" si="457"/>
        <v/>
      </c>
      <c r="AO269" s="870" t="str">
        <f t="shared" si="457"/>
        <v/>
      </c>
      <c r="AP269" s="870" t="str">
        <f t="shared" si="457"/>
        <v/>
      </c>
      <c r="AQ269" s="870" t="str">
        <f t="shared" si="457"/>
        <v/>
      </c>
      <c r="AR269" s="870" t="str">
        <f t="shared" si="457"/>
        <v/>
      </c>
      <c r="AS269" s="870" t="str">
        <f t="shared" si="457"/>
        <v/>
      </c>
      <c r="AT269" s="870" t="str">
        <f t="shared" si="457"/>
        <v/>
      </c>
      <c r="AU269" s="870" t="str">
        <f t="shared" si="457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58">IF(BD266="","",BD265*BD266*BD267*BD268)</f>
        <v/>
      </c>
      <c r="BE269" s="870" t="str">
        <f t="shared" si="458"/>
        <v/>
      </c>
      <c r="BF269" s="870" t="str">
        <f t="shared" si="458"/>
        <v/>
      </c>
      <c r="BG269" s="870" t="str">
        <f t="shared" si="458"/>
        <v/>
      </c>
      <c r="BH269" s="870" t="str">
        <f t="shared" si="458"/>
        <v/>
      </c>
      <c r="BI269" s="870" t="str">
        <f t="shared" si="458"/>
        <v/>
      </c>
      <c r="BJ269" s="870" t="str">
        <f t="shared" si="458"/>
        <v/>
      </c>
      <c r="BK269" s="870" t="str">
        <f t="shared" si="458"/>
        <v/>
      </c>
      <c r="BL269" s="870" t="str">
        <f t="shared" si="458"/>
        <v/>
      </c>
      <c r="BM269" s="870" t="str">
        <f t="shared" si="458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2"/>
        <v/>
      </c>
      <c r="CF269" s="81" t="str">
        <f t="shared" si="452"/>
        <v/>
      </c>
      <c r="CG269" s="81" t="str">
        <f t="shared" si="452"/>
        <v/>
      </c>
      <c r="CH269" s="145" t="str">
        <f t="shared" si="452"/>
        <v/>
      </c>
      <c r="CI269" s="145" t="str">
        <f t="shared" si="452"/>
        <v/>
      </c>
      <c r="CJ269" s="145" t="str">
        <f t="shared" si="452"/>
        <v/>
      </c>
      <c r="CK269" s="81" t="str">
        <f t="shared" si="452"/>
        <v/>
      </c>
      <c r="CL269" s="81" t="str">
        <f t="shared" si="452"/>
        <v/>
      </c>
      <c r="CM269" s="81" t="str">
        <f t="shared" si="452"/>
        <v/>
      </c>
      <c r="CN269" s="81" t="str">
        <f t="shared" si="452"/>
        <v/>
      </c>
      <c r="CO269" s="81" t="str">
        <f t="shared" si="452"/>
        <v/>
      </c>
      <c r="CP269" s="80" t="str">
        <f t="shared" si="452"/>
        <v/>
      </c>
      <c r="CQ269" s="509" t="str">
        <f t="shared" si="452"/>
        <v/>
      </c>
      <c r="CR269" s="533" t="str">
        <f t="shared" si="453"/>
        <v/>
      </c>
      <c r="CS269" s="534" t="str">
        <f t="shared" si="453"/>
        <v/>
      </c>
      <c r="CT269" s="535" t="str">
        <f t="shared" si="453"/>
        <v/>
      </c>
      <c r="CU269" s="535" t="str">
        <f t="shared" si="453"/>
        <v/>
      </c>
      <c r="CV269" s="535" t="str">
        <f t="shared" si="453"/>
        <v/>
      </c>
      <c r="CW269" s="535" t="str">
        <f t="shared" si="453"/>
        <v/>
      </c>
      <c r="CX269" s="535" t="str">
        <f t="shared" si="453"/>
        <v/>
      </c>
      <c r="CY269" s="536" t="str">
        <f t="shared" si="453"/>
        <v/>
      </c>
      <c r="CZ269" s="536" t="str">
        <f t="shared" si="453"/>
        <v/>
      </c>
      <c r="DA269" s="536" t="str">
        <f t="shared" si="453"/>
        <v/>
      </c>
      <c r="DB269" s="535" t="str">
        <f t="shared" si="454"/>
        <v/>
      </c>
      <c r="DC269" s="535" t="str">
        <f t="shared" si="454"/>
        <v/>
      </c>
      <c r="DD269" s="535" t="str">
        <f t="shared" si="454"/>
        <v/>
      </c>
      <c r="DE269" s="535" t="str">
        <f t="shared" si="454"/>
        <v/>
      </c>
      <c r="DF269" s="535" t="str">
        <f t="shared" si="454"/>
        <v/>
      </c>
      <c r="DG269" s="534" t="str">
        <f t="shared" si="454"/>
        <v/>
      </c>
      <c r="DH269" s="533" t="str">
        <f t="shared" si="454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5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59"/>
        <v/>
      </c>
      <c r="CF271" s="81" t="str">
        <f t="shared" si="459"/>
        <v/>
      </c>
      <c r="CG271" s="81" t="str">
        <f t="shared" si="459"/>
        <v/>
      </c>
      <c r="CH271" s="145" t="str">
        <f t="shared" si="459"/>
        <v/>
      </c>
      <c r="CI271" s="145" t="str">
        <f t="shared" si="459"/>
        <v/>
      </c>
      <c r="CJ271" s="145" t="str">
        <f t="shared" si="459"/>
        <v/>
      </c>
      <c r="CK271" s="81" t="str">
        <f t="shared" si="459"/>
        <v/>
      </c>
      <c r="CL271" s="81" t="str">
        <f t="shared" si="459"/>
        <v/>
      </c>
      <c r="CM271" s="81" t="str">
        <f t="shared" si="459"/>
        <v/>
      </c>
      <c r="CN271" s="81" t="str">
        <f t="shared" si="459"/>
        <v/>
      </c>
      <c r="CO271" s="81" t="str">
        <f t="shared" si="459"/>
        <v/>
      </c>
      <c r="CP271" s="80" t="str">
        <f t="shared" si="459"/>
        <v/>
      </c>
      <c r="CQ271" s="509" t="str">
        <f t="shared" ref="CE271:CQ275" si="460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61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61"/>
        <v/>
      </c>
      <c r="CT271" s="535" t="str">
        <f t="shared" si="461"/>
        <v/>
      </c>
      <c r="CU271" s="535" t="str">
        <f t="shared" si="461"/>
        <v/>
      </c>
      <c r="CV271" s="535" t="str">
        <f t="shared" si="461"/>
        <v/>
      </c>
      <c r="CW271" s="535" t="str">
        <f t="shared" si="461"/>
        <v/>
      </c>
      <c r="CX271" s="535" t="str">
        <f t="shared" si="461"/>
        <v/>
      </c>
      <c r="CY271" s="536" t="str">
        <f t="shared" si="461"/>
        <v/>
      </c>
      <c r="CZ271" s="536" t="str">
        <f t="shared" si="461"/>
        <v/>
      </c>
      <c r="DA271" s="536" t="str">
        <f t="shared" si="461"/>
        <v/>
      </c>
      <c r="DB271" s="535" t="str">
        <f t="shared" ref="DB271:DH275" si="462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62"/>
        <v/>
      </c>
      <c r="DD271" s="535" t="str">
        <f t="shared" si="462"/>
        <v/>
      </c>
      <c r="DE271" s="535" t="str">
        <f t="shared" si="462"/>
        <v/>
      </c>
      <c r="DF271" s="535" t="str">
        <f t="shared" si="462"/>
        <v/>
      </c>
      <c r="DG271" s="534" t="str">
        <f t="shared" si="462"/>
        <v/>
      </c>
      <c r="DH271" s="533" t="str">
        <f t="shared" si="462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0"/>
        <v/>
      </c>
      <c r="CF272" s="81" t="str">
        <f t="shared" si="460"/>
        <v/>
      </c>
      <c r="CG272" s="81" t="str">
        <f t="shared" si="460"/>
        <v/>
      </c>
      <c r="CH272" s="145" t="str">
        <f t="shared" si="460"/>
        <v/>
      </c>
      <c r="CI272" s="145" t="str">
        <f t="shared" si="460"/>
        <v/>
      </c>
      <c r="CJ272" s="145" t="str">
        <f t="shared" si="460"/>
        <v/>
      </c>
      <c r="CK272" s="81" t="str">
        <f t="shared" si="460"/>
        <v/>
      </c>
      <c r="CL272" s="81" t="str">
        <f t="shared" si="460"/>
        <v/>
      </c>
      <c r="CM272" s="81" t="str">
        <f t="shared" si="460"/>
        <v/>
      </c>
      <c r="CN272" s="81" t="str">
        <f t="shared" si="460"/>
        <v/>
      </c>
      <c r="CO272" s="81" t="str">
        <f t="shared" si="460"/>
        <v/>
      </c>
      <c r="CP272" s="80" t="str">
        <f t="shared" si="460"/>
        <v/>
      </c>
      <c r="CQ272" s="509" t="str">
        <f t="shared" si="460"/>
        <v/>
      </c>
      <c r="CR272" s="533" t="str">
        <f t="shared" si="461"/>
        <v/>
      </c>
      <c r="CS272" s="534" t="str">
        <f t="shared" si="461"/>
        <v/>
      </c>
      <c r="CT272" s="535" t="str">
        <f t="shared" si="461"/>
        <v/>
      </c>
      <c r="CU272" s="535" t="str">
        <f t="shared" si="461"/>
        <v/>
      </c>
      <c r="CV272" s="535" t="str">
        <f t="shared" si="461"/>
        <v/>
      </c>
      <c r="CW272" s="535" t="str">
        <f t="shared" si="461"/>
        <v/>
      </c>
      <c r="CX272" s="535" t="str">
        <f t="shared" si="461"/>
        <v/>
      </c>
      <c r="CY272" s="536" t="str">
        <f t="shared" si="461"/>
        <v/>
      </c>
      <c r="CZ272" s="536" t="str">
        <f t="shared" si="461"/>
        <v/>
      </c>
      <c r="DA272" s="536" t="str">
        <f t="shared" si="461"/>
        <v/>
      </c>
      <c r="DB272" s="535" t="str">
        <f t="shared" si="462"/>
        <v/>
      </c>
      <c r="DC272" s="535" t="str">
        <f t="shared" si="462"/>
        <v/>
      </c>
      <c r="DD272" s="535" t="str">
        <f t="shared" si="462"/>
        <v/>
      </c>
      <c r="DE272" s="535" t="str">
        <f t="shared" si="462"/>
        <v/>
      </c>
      <c r="DF272" s="535" t="str">
        <f t="shared" si="462"/>
        <v/>
      </c>
      <c r="DG272" s="534" t="str">
        <f t="shared" si="462"/>
        <v/>
      </c>
      <c r="DH272" s="533" t="str">
        <f t="shared" si="462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0"/>
        <v/>
      </c>
      <c r="CF273" s="81" t="str">
        <f t="shared" si="460"/>
        <v/>
      </c>
      <c r="CG273" s="81" t="str">
        <f t="shared" si="460"/>
        <v/>
      </c>
      <c r="CH273" s="145" t="str">
        <f t="shared" si="460"/>
        <v/>
      </c>
      <c r="CI273" s="145" t="str">
        <f t="shared" si="460"/>
        <v/>
      </c>
      <c r="CJ273" s="145" t="str">
        <f t="shared" si="460"/>
        <v/>
      </c>
      <c r="CK273" s="81" t="str">
        <f t="shared" si="460"/>
        <v/>
      </c>
      <c r="CL273" s="81" t="str">
        <f t="shared" si="460"/>
        <v/>
      </c>
      <c r="CM273" s="81" t="str">
        <f t="shared" si="460"/>
        <v/>
      </c>
      <c r="CN273" s="81" t="str">
        <f t="shared" si="460"/>
        <v/>
      </c>
      <c r="CO273" s="81" t="str">
        <f t="shared" si="460"/>
        <v/>
      </c>
      <c r="CP273" s="80" t="str">
        <f t="shared" si="460"/>
        <v/>
      </c>
      <c r="CQ273" s="509" t="str">
        <f t="shared" si="460"/>
        <v/>
      </c>
      <c r="CR273" s="533" t="str">
        <f t="shared" si="461"/>
        <v/>
      </c>
      <c r="CS273" s="534" t="str">
        <f t="shared" si="461"/>
        <v/>
      </c>
      <c r="CT273" s="535" t="str">
        <f t="shared" si="461"/>
        <v/>
      </c>
      <c r="CU273" s="535" t="str">
        <f t="shared" si="461"/>
        <v/>
      </c>
      <c r="CV273" s="535" t="str">
        <f t="shared" si="461"/>
        <v/>
      </c>
      <c r="CW273" s="535" t="str">
        <f t="shared" si="461"/>
        <v/>
      </c>
      <c r="CX273" s="535" t="str">
        <f t="shared" si="461"/>
        <v/>
      </c>
      <c r="CY273" s="536" t="str">
        <f t="shared" si="461"/>
        <v/>
      </c>
      <c r="CZ273" s="536" t="str">
        <f t="shared" si="461"/>
        <v/>
      </c>
      <c r="DA273" s="536" t="str">
        <f t="shared" si="461"/>
        <v/>
      </c>
      <c r="DB273" s="535" t="str">
        <f t="shared" si="462"/>
        <v/>
      </c>
      <c r="DC273" s="535" t="str">
        <f t="shared" si="462"/>
        <v/>
      </c>
      <c r="DD273" s="535" t="str">
        <f t="shared" si="462"/>
        <v/>
      </c>
      <c r="DE273" s="535" t="str">
        <f t="shared" si="462"/>
        <v/>
      </c>
      <c r="DF273" s="535" t="str">
        <f t="shared" si="462"/>
        <v/>
      </c>
      <c r="DG273" s="534" t="str">
        <f t="shared" si="462"/>
        <v/>
      </c>
      <c r="DH273" s="533" t="str">
        <f t="shared" si="462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0"/>
        <v/>
      </c>
      <c r="CF274" s="81" t="str">
        <f t="shared" si="460"/>
        <v/>
      </c>
      <c r="CG274" s="81" t="str">
        <f t="shared" si="460"/>
        <v/>
      </c>
      <c r="CH274" s="145" t="str">
        <f t="shared" si="460"/>
        <v/>
      </c>
      <c r="CI274" s="145" t="str">
        <f t="shared" si="460"/>
        <v/>
      </c>
      <c r="CJ274" s="145" t="str">
        <f t="shared" si="460"/>
        <v/>
      </c>
      <c r="CK274" s="81" t="str">
        <f t="shared" si="460"/>
        <v/>
      </c>
      <c r="CL274" s="81" t="str">
        <f t="shared" si="460"/>
        <v/>
      </c>
      <c r="CM274" s="81" t="str">
        <f t="shared" si="460"/>
        <v/>
      </c>
      <c r="CN274" s="81" t="str">
        <f t="shared" si="460"/>
        <v/>
      </c>
      <c r="CO274" s="81" t="str">
        <f t="shared" si="460"/>
        <v/>
      </c>
      <c r="CP274" s="80" t="str">
        <f t="shared" si="460"/>
        <v/>
      </c>
      <c r="CQ274" s="509" t="str">
        <f t="shared" si="460"/>
        <v/>
      </c>
      <c r="CR274" s="533" t="str">
        <f t="shared" si="461"/>
        <v/>
      </c>
      <c r="CS274" s="534" t="str">
        <f t="shared" si="461"/>
        <v/>
      </c>
      <c r="CT274" s="535" t="str">
        <f t="shared" si="461"/>
        <v/>
      </c>
      <c r="CU274" s="535" t="str">
        <f t="shared" si="461"/>
        <v/>
      </c>
      <c r="CV274" s="535" t="str">
        <f t="shared" si="461"/>
        <v/>
      </c>
      <c r="CW274" s="535" t="str">
        <f t="shared" si="461"/>
        <v/>
      </c>
      <c r="CX274" s="535" t="str">
        <f t="shared" si="461"/>
        <v/>
      </c>
      <c r="CY274" s="536" t="str">
        <f t="shared" si="461"/>
        <v/>
      </c>
      <c r="CZ274" s="536" t="str">
        <f t="shared" si="461"/>
        <v/>
      </c>
      <c r="DA274" s="536" t="str">
        <f t="shared" si="461"/>
        <v/>
      </c>
      <c r="DB274" s="535" t="str">
        <f t="shared" si="462"/>
        <v/>
      </c>
      <c r="DC274" s="535" t="str">
        <f t="shared" si="462"/>
        <v/>
      </c>
      <c r="DD274" s="535" t="str">
        <f t="shared" si="462"/>
        <v/>
      </c>
      <c r="DE274" s="535" t="str">
        <f t="shared" si="462"/>
        <v/>
      </c>
      <c r="DF274" s="535" t="str">
        <f t="shared" si="462"/>
        <v/>
      </c>
      <c r="DG274" s="534" t="str">
        <f t="shared" si="462"/>
        <v/>
      </c>
      <c r="DH274" s="533" t="str">
        <f t="shared" si="462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63">IF(B272="","",B271*B272*B273*B274)</f>
        <v/>
      </c>
      <c r="C275" s="870" t="str">
        <f t="shared" si="463"/>
        <v/>
      </c>
      <c r="D275" s="870" t="str">
        <f t="shared" si="463"/>
        <v/>
      </c>
      <c r="E275" s="870" t="str">
        <f t="shared" si="463"/>
        <v/>
      </c>
      <c r="F275" s="870" t="str">
        <f t="shared" si="463"/>
        <v/>
      </c>
      <c r="G275" s="870" t="str">
        <f t="shared" si="463"/>
        <v/>
      </c>
      <c r="H275" s="870" t="str">
        <f t="shared" si="463"/>
        <v/>
      </c>
      <c r="I275" s="870" t="str">
        <f t="shared" si="463"/>
        <v/>
      </c>
      <c r="J275" s="870" t="str">
        <f t="shared" si="463"/>
        <v/>
      </c>
      <c r="K275" s="870" t="str">
        <f t="shared" si="463"/>
        <v/>
      </c>
      <c r="L275" s="870" t="str">
        <f t="shared" si="463"/>
        <v/>
      </c>
      <c r="M275" s="870" t="str">
        <f t="shared" si="463"/>
        <v/>
      </c>
      <c r="N275" s="870" t="str">
        <f t="shared" si="463"/>
        <v/>
      </c>
      <c r="O275" s="870" t="str">
        <f t="shared" si="463"/>
        <v/>
      </c>
      <c r="P275" s="870" t="str">
        <f t="shared" si="463"/>
        <v/>
      </c>
      <c r="Q275" s="870" t="str">
        <f t="shared" si="463"/>
        <v/>
      </c>
      <c r="R275" s="870" t="str">
        <f t="shared" si="463"/>
        <v/>
      </c>
      <c r="S275" s="858"/>
      <c r="T275" s="870" t="str">
        <f t="shared" ref="T275:AC275" si="464">IF(T272="","",T271*T272*T273*T274)</f>
        <v/>
      </c>
      <c r="U275" s="870" t="str">
        <f t="shared" si="464"/>
        <v/>
      </c>
      <c r="V275" s="870" t="str">
        <f t="shared" si="464"/>
        <v/>
      </c>
      <c r="W275" s="870" t="str">
        <f t="shared" si="464"/>
        <v/>
      </c>
      <c r="X275" s="870" t="str">
        <f t="shared" si="464"/>
        <v/>
      </c>
      <c r="Y275" s="870" t="str">
        <f t="shared" si="464"/>
        <v/>
      </c>
      <c r="Z275" s="870" t="str">
        <f t="shared" si="464"/>
        <v/>
      </c>
      <c r="AA275" s="870" t="str">
        <f t="shared" si="464"/>
        <v/>
      </c>
      <c r="AB275" s="870" t="str">
        <f t="shared" si="464"/>
        <v/>
      </c>
      <c r="AC275" s="870" t="str">
        <f t="shared" si="464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65">IF(AL272="","",AL271*AL272*AL273*AL274)</f>
        <v/>
      </c>
      <c r="AM275" s="870" t="str">
        <f t="shared" si="465"/>
        <v/>
      </c>
      <c r="AN275" s="870" t="str">
        <f t="shared" si="465"/>
        <v/>
      </c>
      <c r="AO275" s="870" t="str">
        <f t="shared" si="465"/>
        <v/>
      </c>
      <c r="AP275" s="870" t="str">
        <f t="shared" si="465"/>
        <v/>
      </c>
      <c r="AQ275" s="870" t="str">
        <f t="shared" si="465"/>
        <v/>
      </c>
      <c r="AR275" s="870" t="str">
        <f t="shared" si="465"/>
        <v/>
      </c>
      <c r="AS275" s="870" t="str">
        <f t="shared" si="465"/>
        <v/>
      </c>
      <c r="AT275" s="870" t="str">
        <f t="shared" si="465"/>
        <v/>
      </c>
      <c r="AU275" s="870" t="str">
        <f t="shared" si="465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66">IF(BD272="","",BD271*BD272*BD273*BD274)</f>
        <v/>
      </c>
      <c r="BE275" s="870" t="str">
        <f t="shared" si="466"/>
        <v/>
      </c>
      <c r="BF275" s="870" t="str">
        <f t="shared" si="466"/>
        <v/>
      </c>
      <c r="BG275" s="870" t="str">
        <f t="shared" si="466"/>
        <v/>
      </c>
      <c r="BH275" s="870" t="str">
        <f t="shared" si="466"/>
        <v/>
      </c>
      <c r="BI275" s="870" t="str">
        <f t="shared" si="466"/>
        <v/>
      </c>
      <c r="BJ275" s="870" t="str">
        <f t="shared" si="466"/>
        <v/>
      </c>
      <c r="BK275" s="870" t="str">
        <f t="shared" si="466"/>
        <v/>
      </c>
      <c r="BL275" s="870" t="str">
        <f t="shared" si="466"/>
        <v/>
      </c>
      <c r="BM275" s="870" t="str">
        <f t="shared" si="466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0"/>
        <v/>
      </c>
      <c r="CF275" s="81" t="str">
        <f t="shared" si="460"/>
        <v/>
      </c>
      <c r="CG275" s="81" t="str">
        <f t="shared" si="460"/>
        <v/>
      </c>
      <c r="CH275" s="145" t="str">
        <f t="shared" si="460"/>
        <v/>
      </c>
      <c r="CI275" s="145" t="str">
        <f t="shared" si="460"/>
        <v/>
      </c>
      <c r="CJ275" s="145" t="str">
        <f t="shared" si="460"/>
        <v/>
      </c>
      <c r="CK275" s="81" t="str">
        <f t="shared" si="460"/>
        <v/>
      </c>
      <c r="CL275" s="81" t="str">
        <f t="shared" si="460"/>
        <v/>
      </c>
      <c r="CM275" s="81" t="str">
        <f t="shared" si="460"/>
        <v/>
      </c>
      <c r="CN275" s="81" t="str">
        <f t="shared" si="460"/>
        <v/>
      </c>
      <c r="CO275" s="81" t="str">
        <f t="shared" si="460"/>
        <v/>
      </c>
      <c r="CP275" s="80" t="str">
        <f t="shared" si="460"/>
        <v/>
      </c>
      <c r="CQ275" s="509" t="str">
        <f t="shared" si="460"/>
        <v/>
      </c>
      <c r="CR275" s="533" t="str">
        <f t="shared" si="461"/>
        <v/>
      </c>
      <c r="CS275" s="534" t="str">
        <f t="shared" si="461"/>
        <v/>
      </c>
      <c r="CT275" s="535" t="str">
        <f t="shared" si="461"/>
        <v/>
      </c>
      <c r="CU275" s="535" t="str">
        <f t="shared" si="461"/>
        <v/>
      </c>
      <c r="CV275" s="535" t="str">
        <f t="shared" si="461"/>
        <v/>
      </c>
      <c r="CW275" s="535" t="str">
        <f t="shared" si="461"/>
        <v/>
      </c>
      <c r="CX275" s="535" t="str">
        <f t="shared" si="461"/>
        <v/>
      </c>
      <c r="CY275" s="536" t="str">
        <f t="shared" si="461"/>
        <v/>
      </c>
      <c r="CZ275" s="536" t="str">
        <f t="shared" si="461"/>
        <v/>
      </c>
      <c r="DA275" s="536" t="str">
        <f t="shared" si="461"/>
        <v/>
      </c>
      <c r="DB275" s="535" t="str">
        <f t="shared" si="462"/>
        <v/>
      </c>
      <c r="DC275" s="535" t="str">
        <f t="shared" si="462"/>
        <v/>
      </c>
      <c r="DD275" s="535" t="str">
        <f t="shared" si="462"/>
        <v/>
      </c>
      <c r="DE275" s="535" t="str">
        <f t="shared" si="462"/>
        <v/>
      </c>
      <c r="DF275" s="535" t="str">
        <f t="shared" si="462"/>
        <v/>
      </c>
      <c r="DG275" s="534" t="str">
        <f t="shared" si="462"/>
        <v/>
      </c>
      <c r="DH275" s="533" t="str">
        <f t="shared" si="462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6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7"/>
        <v/>
      </c>
      <c r="CF277" s="81" t="str">
        <f t="shared" si="467"/>
        <v/>
      </c>
      <c r="CG277" s="81" t="str">
        <f t="shared" si="467"/>
        <v/>
      </c>
      <c r="CH277" s="145" t="str">
        <f t="shared" si="467"/>
        <v/>
      </c>
      <c r="CI277" s="145" t="str">
        <f t="shared" si="467"/>
        <v/>
      </c>
      <c r="CJ277" s="145" t="str">
        <f t="shared" si="467"/>
        <v/>
      </c>
      <c r="CK277" s="81" t="str">
        <f t="shared" si="467"/>
        <v/>
      </c>
      <c r="CL277" s="81" t="str">
        <f t="shared" si="467"/>
        <v/>
      </c>
      <c r="CM277" s="81" t="str">
        <f t="shared" si="467"/>
        <v/>
      </c>
      <c r="CN277" s="81" t="str">
        <f t="shared" si="467"/>
        <v/>
      </c>
      <c r="CO277" s="81" t="str">
        <f t="shared" si="467"/>
        <v/>
      </c>
      <c r="CP277" s="80" t="str">
        <f t="shared" si="467"/>
        <v/>
      </c>
      <c r="CQ277" s="509" t="str">
        <f t="shared" ref="CE277:CQ281" si="468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469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469"/>
        <v/>
      </c>
      <c r="CT277" s="535" t="str">
        <f t="shared" si="469"/>
        <v/>
      </c>
      <c r="CU277" s="535" t="str">
        <f t="shared" si="469"/>
        <v/>
      </c>
      <c r="CV277" s="535" t="str">
        <f t="shared" si="469"/>
        <v/>
      </c>
      <c r="CW277" s="535" t="str">
        <f t="shared" si="469"/>
        <v/>
      </c>
      <c r="CX277" s="535" t="str">
        <f t="shared" si="469"/>
        <v/>
      </c>
      <c r="CY277" s="536" t="str">
        <f t="shared" si="469"/>
        <v/>
      </c>
      <c r="CZ277" s="536" t="str">
        <f t="shared" si="469"/>
        <v/>
      </c>
      <c r="DA277" s="536" t="str">
        <f t="shared" si="469"/>
        <v/>
      </c>
      <c r="DB277" s="535" t="str">
        <f t="shared" ref="DB277:DH281" si="470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470"/>
        <v/>
      </c>
      <c r="DD277" s="535" t="str">
        <f t="shared" si="470"/>
        <v/>
      </c>
      <c r="DE277" s="535" t="str">
        <f t="shared" si="470"/>
        <v/>
      </c>
      <c r="DF277" s="535" t="str">
        <f t="shared" si="470"/>
        <v/>
      </c>
      <c r="DG277" s="534" t="str">
        <f t="shared" si="470"/>
        <v/>
      </c>
      <c r="DH277" s="533" t="str">
        <f t="shared" si="470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68"/>
        <v/>
      </c>
      <c r="CF278" s="81" t="str">
        <f t="shared" si="468"/>
        <v/>
      </c>
      <c r="CG278" s="81" t="str">
        <f t="shared" si="468"/>
        <v/>
      </c>
      <c r="CH278" s="145" t="str">
        <f t="shared" si="468"/>
        <v/>
      </c>
      <c r="CI278" s="145" t="str">
        <f t="shared" si="468"/>
        <v/>
      </c>
      <c r="CJ278" s="145" t="str">
        <f t="shared" si="468"/>
        <v/>
      </c>
      <c r="CK278" s="81" t="str">
        <f t="shared" si="468"/>
        <v/>
      </c>
      <c r="CL278" s="81" t="str">
        <f t="shared" si="468"/>
        <v/>
      </c>
      <c r="CM278" s="81" t="str">
        <f t="shared" si="468"/>
        <v/>
      </c>
      <c r="CN278" s="81" t="str">
        <f t="shared" si="468"/>
        <v/>
      </c>
      <c r="CO278" s="81" t="str">
        <f t="shared" si="468"/>
        <v/>
      </c>
      <c r="CP278" s="80" t="str">
        <f t="shared" si="468"/>
        <v/>
      </c>
      <c r="CQ278" s="509" t="str">
        <f t="shared" si="468"/>
        <v/>
      </c>
      <c r="CR278" s="533" t="str">
        <f t="shared" si="469"/>
        <v/>
      </c>
      <c r="CS278" s="534" t="str">
        <f t="shared" si="469"/>
        <v/>
      </c>
      <c r="CT278" s="535" t="str">
        <f t="shared" si="469"/>
        <v/>
      </c>
      <c r="CU278" s="535" t="str">
        <f t="shared" si="469"/>
        <v/>
      </c>
      <c r="CV278" s="535" t="str">
        <f t="shared" si="469"/>
        <v/>
      </c>
      <c r="CW278" s="535" t="str">
        <f t="shared" si="469"/>
        <v/>
      </c>
      <c r="CX278" s="535" t="str">
        <f t="shared" si="469"/>
        <v/>
      </c>
      <c r="CY278" s="536" t="str">
        <f t="shared" si="469"/>
        <v/>
      </c>
      <c r="CZ278" s="536" t="str">
        <f t="shared" si="469"/>
        <v/>
      </c>
      <c r="DA278" s="536" t="str">
        <f t="shared" si="469"/>
        <v/>
      </c>
      <c r="DB278" s="535" t="str">
        <f t="shared" si="470"/>
        <v/>
      </c>
      <c r="DC278" s="535" t="str">
        <f t="shared" si="470"/>
        <v/>
      </c>
      <c r="DD278" s="535" t="str">
        <f t="shared" si="470"/>
        <v/>
      </c>
      <c r="DE278" s="535" t="str">
        <f t="shared" si="470"/>
        <v/>
      </c>
      <c r="DF278" s="535" t="str">
        <f t="shared" si="470"/>
        <v/>
      </c>
      <c r="DG278" s="534" t="str">
        <f t="shared" si="470"/>
        <v/>
      </c>
      <c r="DH278" s="533" t="str">
        <f t="shared" si="470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68"/>
        <v/>
      </c>
      <c r="CF279" s="81" t="str">
        <f t="shared" si="468"/>
        <v/>
      </c>
      <c r="CG279" s="81" t="str">
        <f t="shared" si="468"/>
        <v/>
      </c>
      <c r="CH279" s="145" t="str">
        <f t="shared" si="468"/>
        <v/>
      </c>
      <c r="CI279" s="145" t="str">
        <f t="shared" si="468"/>
        <v/>
      </c>
      <c r="CJ279" s="145" t="str">
        <f t="shared" si="468"/>
        <v/>
      </c>
      <c r="CK279" s="81" t="str">
        <f t="shared" si="468"/>
        <v/>
      </c>
      <c r="CL279" s="81" t="str">
        <f t="shared" si="468"/>
        <v/>
      </c>
      <c r="CM279" s="81" t="str">
        <f t="shared" si="468"/>
        <v/>
      </c>
      <c r="CN279" s="81" t="str">
        <f t="shared" si="468"/>
        <v/>
      </c>
      <c r="CO279" s="81" t="str">
        <f t="shared" si="468"/>
        <v/>
      </c>
      <c r="CP279" s="80" t="str">
        <f t="shared" si="468"/>
        <v/>
      </c>
      <c r="CQ279" s="509" t="str">
        <f t="shared" si="468"/>
        <v/>
      </c>
      <c r="CR279" s="533" t="str">
        <f t="shared" si="469"/>
        <v/>
      </c>
      <c r="CS279" s="534" t="str">
        <f t="shared" si="469"/>
        <v/>
      </c>
      <c r="CT279" s="535" t="str">
        <f t="shared" si="469"/>
        <v/>
      </c>
      <c r="CU279" s="535" t="str">
        <f t="shared" si="469"/>
        <v/>
      </c>
      <c r="CV279" s="535" t="str">
        <f t="shared" si="469"/>
        <v/>
      </c>
      <c r="CW279" s="535" t="str">
        <f t="shared" si="469"/>
        <v/>
      </c>
      <c r="CX279" s="535" t="str">
        <f t="shared" si="469"/>
        <v/>
      </c>
      <c r="CY279" s="536" t="str">
        <f t="shared" si="469"/>
        <v/>
      </c>
      <c r="CZ279" s="536" t="str">
        <f t="shared" si="469"/>
        <v/>
      </c>
      <c r="DA279" s="536" t="str">
        <f t="shared" si="469"/>
        <v/>
      </c>
      <c r="DB279" s="535" t="str">
        <f t="shared" si="470"/>
        <v/>
      </c>
      <c r="DC279" s="535" t="str">
        <f t="shared" si="470"/>
        <v/>
      </c>
      <c r="DD279" s="535" t="str">
        <f t="shared" si="470"/>
        <v/>
      </c>
      <c r="DE279" s="535" t="str">
        <f t="shared" si="470"/>
        <v/>
      </c>
      <c r="DF279" s="535" t="str">
        <f t="shared" si="470"/>
        <v/>
      </c>
      <c r="DG279" s="534" t="str">
        <f t="shared" si="470"/>
        <v/>
      </c>
      <c r="DH279" s="533" t="str">
        <f t="shared" si="470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68"/>
        <v/>
      </c>
      <c r="CF280" s="81" t="str">
        <f t="shared" si="468"/>
        <v/>
      </c>
      <c r="CG280" s="81" t="str">
        <f t="shared" si="468"/>
        <v/>
      </c>
      <c r="CH280" s="145" t="str">
        <f t="shared" si="468"/>
        <v/>
      </c>
      <c r="CI280" s="145" t="str">
        <f t="shared" si="468"/>
        <v/>
      </c>
      <c r="CJ280" s="145" t="str">
        <f t="shared" si="468"/>
        <v/>
      </c>
      <c r="CK280" s="81" t="str">
        <f t="shared" si="468"/>
        <v/>
      </c>
      <c r="CL280" s="81" t="str">
        <f t="shared" si="468"/>
        <v/>
      </c>
      <c r="CM280" s="81" t="str">
        <f t="shared" si="468"/>
        <v/>
      </c>
      <c r="CN280" s="81" t="str">
        <f t="shared" si="468"/>
        <v/>
      </c>
      <c r="CO280" s="81" t="str">
        <f t="shared" si="468"/>
        <v/>
      </c>
      <c r="CP280" s="80" t="str">
        <f t="shared" si="468"/>
        <v/>
      </c>
      <c r="CQ280" s="509" t="str">
        <f t="shared" si="468"/>
        <v/>
      </c>
      <c r="CR280" s="533" t="str">
        <f t="shared" si="469"/>
        <v/>
      </c>
      <c r="CS280" s="534" t="str">
        <f t="shared" si="469"/>
        <v/>
      </c>
      <c r="CT280" s="535" t="str">
        <f t="shared" si="469"/>
        <v/>
      </c>
      <c r="CU280" s="535" t="str">
        <f t="shared" si="469"/>
        <v/>
      </c>
      <c r="CV280" s="535" t="str">
        <f t="shared" si="469"/>
        <v/>
      </c>
      <c r="CW280" s="535" t="str">
        <f t="shared" si="469"/>
        <v/>
      </c>
      <c r="CX280" s="535" t="str">
        <f t="shared" si="469"/>
        <v/>
      </c>
      <c r="CY280" s="536" t="str">
        <f t="shared" si="469"/>
        <v/>
      </c>
      <c r="CZ280" s="536" t="str">
        <f t="shared" si="469"/>
        <v/>
      </c>
      <c r="DA280" s="536" t="str">
        <f t="shared" si="469"/>
        <v/>
      </c>
      <c r="DB280" s="535" t="str">
        <f t="shared" si="470"/>
        <v/>
      </c>
      <c r="DC280" s="535" t="str">
        <f t="shared" si="470"/>
        <v/>
      </c>
      <c r="DD280" s="535" t="str">
        <f t="shared" si="470"/>
        <v/>
      </c>
      <c r="DE280" s="535" t="str">
        <f t="shared" si="470"/>
        <v/>
      </c>
      <c r="DF280" s="535" t="str">
        <f t="shared" si="470"/>
        <v/>
      </c>
      <c r="DG280" s="534" t="str">
        <f t="shared" si="470"/>
        <v/>
      </c>
      <c r="DH280" s="533" t="str">
        <f t="shared" si="470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471">IF(B278="","",B277*B278*B279*B280)</f>
        <v/>
      </c>
      <c r="C281" s="870" t="str">
        <f t="shared" si="471"/>
        <v/>
      </c>
      <c r="D281" s="870" t="str">
        <f t="shared" si="471"/>
        <v/>
      </c>
      <c r="E281" s="870" t="str">
        <f t="shared" si="471"/>
        <v/>
      </c>
      <c r="F281" s="870" t="str">
        <f t="shared" si="471"/>
        <v/>
      </c>
      <c r="G281" s="870" t="str">
        <f t="shared" si="471"/>
        <v/>
      </c>
      <c r="H281" s="870" t="str">
        <f t="shared" si="471"/>
        <v/>
      </c>
      <c r="I281" s="870" t="str">
        <f t="shared" si="471"/>
        <v/>
      </c>
      <c r="J281" s="870" t="str">
        <f t="shared" si="471"/>
        <v/>
      </c>
      <c r="K281" s="870" t="str">
        <f t="shared" si="471"/>
        <v/>
      </c>
      <c r="L281" s="870" t="str">
        <f t="shared" si="471"/>
        <v/>
      </c>
      <c r="M281" s="870" t="str">
        <f t="shared" si="471"/>
        <v/>
      </c>
      <c r="N281" s="870" t="str">
        <f t="shared" si="471"/>
        <v/>
      </c>
      <c r="O281" s="870" t="str">
        <f t="shared" si="471"/>
        <v/>
      </c>
      <c r="P281" s="870" t="str">
        <f t="shared" si="471"/>
        <v/>
      </c>
      <c r="Q281" s="870" t="str">
        <f t="shared" si="471"/>
        <v/>
      </c>
      <c r="R281" s="870" t="str">
        <f t="shared" si="471"/>
        <v/>
      </c>
      <c r="S281" s="858"/>
      <c r="T281" s="870" t="str">
        <f t="shared" ref="T281:AC281" si="472">IF(T278="","",T277*T278*T279*T280)</f>
        <v/>
      </c>
      <c r="U281" s="870" t="str">
        <f t="shared" si="472"/>
        <v/>
      </c>
      <c r="V281" s="870" t="str">
        <f t="shared" si="472"/>
        <v/>
      </c>
      <c r="W281" s="870" t="str">
        <f t="shared" si="472"/>
        <v/>
      </c>
      <c r="X281" s="870" t="str">
        <f t="shared" si="472"/>
        <v/>
      </c>
      <c r="Y281" s="870" t="str">
        <f t="shared" si="472"/>
        <v/>
      </c>
      <c r="Z281" s="870" t="str">
        <f t="shared" si="472"/>
        <v/>
      </c>
      <c r="AA281" s="870" t="str">
        <f t="shared" si="472"/>
        <v/>
      </c>
      <c r="AB281" s="870" t="str">
        <f t="shared" si="472"/>
        <v/>
      </c>
      <c r="AC281" s="870" t="str">
        <f t="shared" si="472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473">IF(AL278="","",AL277*AL278*AL279*AL280)</f>
        <v/>
      </c>
      <c r="AM281" s="870" t="str">
        <f t="shared" si="473"/>
        <v/>
      </c>
      <c r="AN281" s="870" t="str">
        <f t="shared" si="473"/>
        <v/>
      </c>
      <c r="AO281" s="870" t="str">
        <f t="shared" si="473"/>
        <v/>
      </c>
      <c r="AP281" s="870" t="str">
        <f t="shared" si="473"/>
        <v/>
      </c>
      <c r="AQ281" s="870" t="str">
        <f t="shared" si="473"/>
        <v/>
      </c>
      <c r="AR281" s="870" t="str">
        <f t="shared" si="473"/>
        <v/>
      </c>
      <c r="AS281" s="870" t="str">
        <f t="shared" si="473"/>
        <v/>
      </c>
      <c r="AT281" s="870" t="str">
        <f t="shared" si="473"/>
        <v/>
      </c>
      <c r="AU281" s="870" t="str">
        <f t="shared" si="473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474">IF(BD278="","",BD277*BD278*BD279*BD280)</f>
        <v/>
      </c>
      <c r="BE281" s="870" t="str">
        <f t="shared" si="474"/>
        <v/>
      </c>
      <c r="BF281" s="870" t="str">
        <f t="shared" si="474"/>
        <v/>
      </c>
      <c r="BG281" s="870" t="str">
        <f t="shared" si="474"/>
        <v/>
      </c>
      <c r="BH281" s="870" t="str">
        <f t="shared" si="474"/>
        <v/>
      </c>
      <c r="BI281" s="870" t="str">
        <f t="shared" si="474"/>
        <v/>
      </c>
      <c r="BJ281" s="870" t="str">
        <f t="shared" si="474"/>
        <v/>
      </c>
      <c r="BK281" s="870" t="str">
        <f t="shared" si="474"/>
        <v/>
      </c>
      <c r="BL281" s="870" t="str">
        <f t="shared" si="474"/>
        <v/>
      </c>
      <c r="BM281" s="870" t="str">
        <f t="shared" si="474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68"/>
        <v/>
      </c>
      <c r="CF281" s="81" t="str">
        <f t="shared" si="468"/>
        <v/>
      </c>
      <c r="CG281" s="81" t="str">
        <f t="shared" si="468"/>
        <v/>
      </c>
      <c r="CH281" s="145" t="str">
        <f t="shared" si="468"/>
        <v/>
      </c>
      <c r="CI281" s="145" t="str">
        <f t="shared" si="468"/>
        <v/>
      </c>
      <c r="CJ281" s="145" t="str">
        <f t="shared" si="468"/>
        <v/>
      </c>
      <c r="CK281" s="81" t="str">
        <f t="shared" si="468"/>
        <v/>
      </c>
      <c r="CL281" s="81" t="str">
        <f t="shared" si="468"/>
        <v/>
      </c>
      <c r="CM281" s="81" t="str">
        <f t="shared" si="468"/>
        <v/>
      </c>
      <c r="CN281" s="81" t="str">
        <f t="shared" si="468"/>
        <v/>
      </c>
      <c r="CO281" s="81" t="str">
        <f t="shared" si="468"/>
        <v/>
      </c>
      <c r="CP281" s="80" t="str">
        <f t="shared" si="468"/>
        <v/>
      </c>
      <c r="CQ281" s="509" t="str">
        <f t="shared" si="468"/>
        <v/>
      </c>
      <c r="CR281" s="533" t="str">
        <f t="shared" si="469"/>
        <v/>
      </c>
      <c r="CS281" s="534" t="str">
        <f t="shared" si="469"/>
        <v/>
      </c>
      <c r="CT281" s="535" t="str">
        <f t="shared" si="469"/>
        <v/>
      </c>
      <c r="CU281" s="535" t="str">
        <f t="shared" si="469"/>
        <v/>
      </c>
      <c r="CV281" s="535" t="str">
        <f t="shared" si="469"/>
        <v/>
      </c>
      <c r="CW281" s="535" t="str">
        <f t="shared" si="469"/>
        <v/>
      </c>
      <c r="CX281" s="535" t="str">
        <f t="shared" si="469"/>
        <v/>
      </c>
      <c r="CY281" s="536" t="str">
        <f t="shared" si="469"/>
        <v/>
      </c>
      <c r="CZ281" s="536" t="str">
        <f t="shared" si="469"/>
        <v/>
      </c>
      <c r="DA281" s="536" t="str">
        <f t="shared" si="469"/>
        <v/>
      </c>
      <c r="DB281" s="535" t="str">
        <f t="shared" si="470"/>
        <v/>
      </c>
      <c r="DC281" s="535" t="str">
        <f t="shared" si="470"/>
        <v/>
      </c>
      <c r="DD281" s="535" t="str">
        <f t="shared" si="470"/>
        <v/>
      </c>
      <c r="DE281" s="535" t="str">
        <f t="shared" si="470"/>
        <v/>
      </c>
      <c r="DF281" s="535" t="str">
        <f t="shared" si="470"/>
        <v/>
      </c>
      <c r="DG281" s="534" t="str">
        <f t="shared" si="470"/>
        <v/>
      </c>
      <c r="DH281" s="533" t="str">
        <f t="shared" si="470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47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5"/>
        <v/>
      </c>
      <c r="CF283" s="81" t="str">
        <f t="shared" si="475"/>
        <v/>
      </c>
      <c r="CG283" s="81" t="str">
        <f t="shared" si="475"/>
        <v/>
      </c>
      <c r="CH283" s="145" t="str">
        <f t="shared" si="475"/>
        <v/>
      </c>
      <c r="CI283" s="145" t="str">
        <f t="shared" si="475"/>
        <v/>
      </c>
      <c r="CJ283" s="145" t="str">
        <f t="shared" si="475"/>
        <v/>
      </c>
      <c r="CK283" s="81" t="str">
        <f t="shared" si="475"/>
        <v/>
      </c>
      <c r="CL283" s="81" t="str">
        <f t="shared" si="475"/>
        <v/>
      </c>
      <c r="CM283" s="81" t="str">
        <f t="shared" si="475"/>
        <v/>
      </c>
      <c r="CN283" s="81" t="str">
        <f t="shared" si="475"/>
        <v/>
      </c>
      <c r="CO283" s="81" t="str">
        <f t="shared" si="475"/>
        <v/>
      </c>
      <c r="CP283" s="80" t="str">
        <f t="shared" si="475"/>
        <v/>
      </c>
      <c r="CQ283" s="509" t="str">
        <f t="shared" ref="CE283:CQ287" si="476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477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477"/>
        <v/>
      </c>
      <c r="CT283" s="535" t="str">
        <f t="shared" si="477"/>
        <v/>
      </c>
      <c r="CU283" s="535" t="str">
        <f t="shared" si="477"/>
        <v/>
      </c>
      <c r="CV283" s="535" t="str">
        <f t="shared" si="477"/>
        <v/>
      </c>
      <c r="CW283" s="535" t="str">
        <f t="shared" si="477"/>
        <v/>
      </c>
      <c r="CX283" s="535" t="str">
        <f t="shared" si="477"/>
        <v/>
      </c>
      <c r="CY283" s="536" t="str">
        <f t="shared" si="477"/>
        <v/>
      </c>
      <c r="CZ283" s="536" t="str">
        <f t="shared" si="477"/>
        <v/>
      </c>
      <c r="DA283" s="536" t="str">
        <f t="shared" si="477"/>
        <v/>
      </c>
      <c r="DB283" s="535" t="str">
        <f t="shared" ref="DB283:DH287" si="478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478"/>
        <v/>
      </c>
      <c r="DD283" s="535" t="str">
        <f t="shared" si="478"/>
        <v/>
      </c>
      <c r="DE283" s="535" t="str">
        <f t="shared" si="478"/>
        <v/>
      </c>
      <c r="DF283" s="535" t="str">
        <f t="shared" si="478"/>
        <v/>
      </c>
      <c r="DG283" s="534" t="str">
        <f t="shared" si="478"/>
        <v/>
      </c>
      <c r="DH283" s="533" t="str">
        <f t="shared" si="478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6"/>
        <v/>
      </c>
      <c r="CF284" s="81" t="str">
        <f t="shared" si="476"/>
        <v/>
      </c>
      <c r="CG284" s="81" t="str">
        <f t="shared" si="476"/>
        <v/>
      </c>
      <c r="CH284" s="145" t="str">
        <f t="shared" si="476"/>
        <v/>
      </c>
      <c r="CI284" s="145" t="str">
        <f t="shared" si="476"/>
        <v/>
      </c>
      <c r="CJ284" s="145" t="str">
        <f t="shared" si="476"/>
        <v/>
      </c>
      <c r="CK284" s="81" t="str">
        <f t="shared" si="476"/>
        <v/>
      </c>
      <c r="CL284" s="81" t="str">
        <f t="shared" si="476"/>
        <v/>
      </c>
      <c r="CM284" s="81" t="str">
        <f t="shared" si="476"/>
        <v/>
      </c>
      <c r="CN284" s="81" t="str">
        <f t="shared" si="476"/>
        <v/>
      </c>
      <c r="CO284" s="81" t="str">
        <f t="shared" si="476"/>
        <v/>
      </c>
      <c r="CP284" s="80" t="str">
        <f t="shared" si="476"/>
        <v/>
      </c>
      <c r="CQ284" s="509" t="str">
        <f t="shared" si="476"/>
        <v/>
      </c>
      <c r="CR284" s="533" t="str">
        <f t="shared" si="477"/>
        <v/>
      </c>
      <c r="CS284" s="534" t="str">
        <f t="shared" si="477"/>
        <v/>
      </c>
      <c r="CT284" s="535" t="str">
        <f t="shared" si="477"/>
        <v/>
      </c>
      <c r="CU284" s="535" t="str">
        <f t="shared" si="477"/>
        <v/>
      </c>
      <c r="CV284" s="535" t="str">
        <f t="shared" si="477"/>
        <v/>
      </c>
      <c r="CW284" s="535" t="str">
        <f t="shared" si="477"/>
        <v/>
      </c>
      <c r="CX284" s="535" t="str">
        <f t="shared" si="477"/>
        <v/>
      </c>
      <c r="CY284" s="536" t="str">
        <f t="shared" si="477"/>
        <v/>
      </c>
      <c r="CZ284" s="536" t="str">
        <f t="shared" si="477"/>
        <v/>
      </c>
      <c r="DA284" s="536" t="str">
        <f t="shared" si="477"/>
        <v/>
      </c>
      <c r="DB284" s="535" t="str">
        <f t="shared" si="478"/>
        <v/>
      </c>
      <c r="DC284" s="535" t="str">
        <f t="shared" si="478"/>
        <v/>
      </c>
      <c r="DD284" s="535" t="str">
        <f t="shared" si="478"/>
        <v/>
      </c>
      <c r="DE284" s="535" t="str">
        <f t="shared" si="478"/>
        <v/>
      </c>
      <c r="DF284" s="535" t="str">
        <f t="shared" si="478"/>
        <v/>
      </c>
      <c r="DG284" s="534" t="str">
        <f t="shared" si="478"/>
        <v/>
      </c>
      <c r="DH284" s="533" t="str">
        <f t="shared" si="478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6"/>
        <v/>
      </c>
      <c r="CF285" s="81" t="str">
        <f t="shared" si="476"/>
        <v/>
      </c>
      <c r="CG285" s="81" t="str">
        <f t="shared" si="476"/>
        <v/>
      </c>
      <c r="CH285" s="145" t="str">
        <f t="shared" si="476"/>
        <v/>
      </c>
      <c r="CI285" s="145" t="str">
        <f t="shared" si="476"/>
        <v/>
      </c>
      <c r="CJ285" s="145" t="str">
        <f t="shared" si="476"/>
        <v/>
      </c>
      <c r="CK285" s="81" t="str">
        <f t="shared" si="476"/>
        <v/>
      </c>
      <c r="CL285" s="81" t="str">
        <f t="shared" si="476"/>
        <v/>
      </c>
      <c r="CM285" s="81" t="str">
        <f t="shared" si="476"/>
        <v/>
      </c>
      <c r="CN285" s="81" t="str">
        <f t="shared" si="476"/>
        <v/>
      </c>
      <c r="CO285" s="81" t="str">
        <f t="shared" si="476"/>
        <v/>
      </c>
      <c r="CP285" s="80" t="str">
        <f t="shared" si="476"/>
        <v/>
      </c>
      <c r="CQ285" s="509" t="str">
        <f t="shared" si="476"/>
        <v/>
      </c>
      <c r="CR285" s="533" t="str">
        <f t="shared" si="477"/>
        <v/>
      </c>
      <c r="CS285" s="534" t="str">
        <f t="shared" si="477"/>
        <v/>
      </c>
      <c r="CT285" s="535" t="str">
        <f t="shared" si="477"/>
        <v/>
      </c>
      <c r="CU285" s="535" t="str">
        <f t="shared" si="477"/>
        <v/>
      </c>
      <c r="CV285" s="535" t="str">
        <f t="shared" si="477"/>
        <v/>
      </c>
      <c r="CW285" s="535" t="str">
        <f t="shared" si="477"/>
        <v/>
      </c>
      <c r="CX285" s="535" t="str">
        <f t="shared" si="477"/>
        <v/>
      </c>
      <c r="CY285" s="536" t="str">
        <f t="shared" si="477"/>
        <v/>
      </c>
      <c r="CZ285" s="536" t="str">
        <f t="shared" si="477"/>
        <v/>
      </c>
      <c r="DA285" s="536" t="str">
        <f t="shared" si="477"/>
        <v/>
      </c>
      <c r="DB285" s="535" t="str">
        <f t="shared" si="478"/>
        <v/>
      </c>
      <c r="DC285" s="535" t="str">
        <f t="shared" si="478"/>
        <v/>
      </c>
      <c r="DD285" s="535" t="str">
        <f t="shared" si="478"/>
        <v/>
      </c>
      <c r="DE285" s="535" t="str">
        <f t="shared" si="478"/>
        <v/>
      </c>
      <c r="DF285" s="535" t="str">
        <f t="shared" si="478"/>
        <v/>
      </c>
      <c r="DG285" s="534" t="str">
        <f t="shared" si="478"/>
        <v/>
      </c>
      <c r="DH285" s="533" t="str">
        <f t="shared" si="478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6"/>
        <v/>
      </c>
      <c r="CF286" s="81" t="str">
        <f t="shared" si="476"/>
        <v/>
      </c>
      <c r="CG286" s="81" t="str">
        <f t="shared" si="476"/>
        <v/>
      </c>
      <c r="CH286" s="145" t="str">
        <f t="shared" si="476"/>
        <v/>
      </c>
      <c r="CI286" s="145" t="str">
        <f t="shared" si="476"/>
        <v/>
      </c>
      <c r="CJ286" s="145" t="str">
        <f t="shared" si="476"/>
        <v/>
      </c>
      <c r="CK286" s="81" t="str">
        <f t="shared" si="476"/>
        <v/>
      </c>
      <c r="CL286" s="81" t="str">
        <f t="shared" si="476"/>
        <v/>
      </c>
      <c r="CM286" s="81" t="str">
        <f t="shared" si="476"/>
        <v/>
      </c>
      <c r="CN286" s="81" t="str">
        <f t="shared" si="476"/>
        <v/>
      </c>
      <c r="CO286" s="81" t="str">
        <f t="shared" si="476"/>
        <v/>
      </c>
      <c r="CP286" s="80" t="str">
        <f t="shared" si="476"/>
        <v/>
      </c>
      <c r="CQ286" s="509" t="str">
        <f t="shared" si="476"/>
        <v/>
      </c>
      <c r="CR286" s="533" t="str">
        <f t="shared" si="477"/>
        <v/>
      </c>
      <c r="CS286" s="534" t="str">
        <f t="shared" si="477"/>
        <v/>
      </c>
      <c r="CT286" s="535" t="str">
        <f t="shared" si="477"/>
        <v/>
      </c>
      <c r="CU286" s="535" t="str">
        <f t="shared" si="477"/>
        <v/>
      </c>
      <c r="CV286" s="535" t="str">
        <f t="shared" si="477"/>
        <v/>
      </c>
      <c r="CW286" s="535" t="str">
        <f t="shared" si="477"/>
        <v/>
      </c>
      <c r="CX286" s="535" t="str">
        <f t="shared" si="477"/>
        <v/>
      </c>
      <c r="CY286" s="536" t="str">
        <f t="shared" si="477"/>
        <v/>
      </c>
      <c r="CZ286" s="536" t="str">
        <f t="shared" si="477"/>
        <v/>
      </c>
      <c r="DA286" s="536" t="str">
        <f t="shared" si="477"/>
        <v/>
      </c>
      <c r="DB286" s="535" t="str">
        <f t="shared" si="478"/>
        <v/>
      </c>
      <c r="DC286" s="535" t="str">
        <f t="shared" si="478"/>
        <v/>
      </c>
      <c r="DD286" s="535" t="str">
        <f t="shared" si="478"/>
        <v/>
      </c>
      <c r="DE286" s="535" t="str">
        <f t="shared" si="478"/>
        <v/>
      </c>
      <c r="DF286" s="535" t="str">
        <f t="shared" si="478"/>
        <v/>
      </c>
      <c r="DG286" s="534" t="str">
        <f t="shared" si="478"/>
        <v/>
      </c>
      <c r="DH286" s="533" t="str">
        <f t="shared" si="478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479">IF(B284="","",B283*B284*B285*B286)</f>
        <v/>
      </c>
      <c r="C287" s="870" t="str">
        <f t="shared" si="479"/>
        <v/>
      </c>
      <c r="D287" s="870" t="str">
        <f t="shared" si="479"/>
        <v/>
      </c>
      <c r="E287" s="870" t="str">
        <f t="shared" si="479"/>
        <v/>
      </c>
      <c r="F287" s="870" t="str">
        <f t="shared" si="479"/>
        <v/>
      </c>
      <c r="G287" s="870" t="str">
        <f t="shared" si="479"/>
        <v/>
      </c>
      <c r="H287" s="870" t="str">
        <f t="shared" si="479"/>
        <v/>
      </c>
      <c r="I287" s="870" t="str">
        <f t="shared" si="479"/>
        <v/>
      </c>
      <c r="J287" s="870" t="str">
        <f t="shared" si="479"/>
        <v/>
      </c>
      <c r="K287" s="870" t="str">
        <f t="shared" si="479"/>
        <v/>
      </c>
      <c r="L287" s="870" t="str">
        <f t="shared" si="479"/>
        <v/>
      </c>
      <c r="M287" s="870" t="str">
        <f t="shared" si="479"/>
        <v/>
      </c>
      <c r="N287" s="870" t="str">
        <f t="shared" si="479"/>
        <v/>
      </c>
      <c r="O287" s="870" t="str">
        <f t="shared" si="479"/>
        <v/>
      </c>
      <c r="P287" s="870" t="str">
        <f t="shared" si="479"/>
        <v/>
      </c>
      <c r="Q287" s="870" t="str">
        <f t="shared" si="479"/>
        <v/>
      </c>
      <c r="R287" s="870" t="str">
        <f t="shared" si="479"/>
        <v/>
      </c>
      <c r="S287" s="858"/>
      <c r="T287" s="870" t="str">
        <f t="shared" ref="T287:AC287" si="480">IF(T284="","",T283*T284*T285*T286)</f>
        <v/>
      </c>
      <c r="U287" s="870" t="str">
        <f t="shared" si="480"/>
        <v/>
      </c>
      <c r="V287" s="870" t="str">
        <f t="shared" si="480"/>
        <v/>
      </c>
      <c r="W287" s="870" t="str">
        <f t="shared" si="480"/>
        <v/>
      </c>
      <c r="X287" s="870" t="str">
        <f t="shared" si="480"/>
        <v/>
      </c>
      <c r="Y287" s="870" t="str">
        <f t="shared" si="480"/>
        <v/>
      </c>
      <c r="Z287" s="870" t="str">
        <f t="shared" si="480"/>
        <v/>
      </c>
      <c r="AA287" s="870" t="str">
        <f t="shared" si="480"/>
        <v/>
      </c>
      <c r="AB287" s="870" t="str">
        <f t="shared" si="480"/>
        <v/>
      </c>
      <c r="AC287" s="870" t="str">
        <f t="shared" si="480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481">IF(AL284="","",AL283*AL284*AL285*AL286)</f>
        <v/>
      </c>
      <c r="AM287" s="870" t="str">
        <f t="shared" si="481"/>
        <v/>
      </c>
      <c r="AN287" s="870" t="str">
        <f t="shared" si="481"/>
        <v/>
      </c>
      <c r="AO287" s="870" t="str">
        <f t="shared" si="481"/>
        <v/>
      </c>
      <c r="AP287" s="870" t="str">
        <f t="shared" si="481"/>
        <v/>
      </c>
      <c r="AQ287" s="870" t="str">
        <f t="shared" si="481"/>
        <v/>
      </c>
      <c r="AR287" s="870" t="str">
        <f t="shared" si="481"/>
        <v/>
      </c>
      <c r="AS287" s="870" t="str">
        <f t="shared" si="481"/>
        <v/>
      </c>
      <c r="AT287" s="870" t="str">
        <f t="shared" si="481"/>
        <v/>
      </c>
      <c r="AU287" s="870" t="str">
        <f t="shared" si="481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482">IF(BD284="","",BD283*BD284*BD285*BD286)</f>
        <v/>
      </c>
      <c r="BE287" s="870" t="str">
        <f t="shared" si="482"/>
        <v/>
      </c>
      <c r="BF287" s="870" t="str">
        <f t="shared" si="482"/>
        <v/>
      </c>
      <c r="BG287" s="870" t="str">
        <f t="shared" si="482"/>
        <v/>
      </c>
      <c r="BH287" s="870" t="str">
        <f t="shared" si="482"/>
        <v/>
      </c>
      <c r="BI287" s="870" t="str">
        <f t="shared" si="482"/>
        <v/>
      </c>
      <c r="BJ287" s="870" t="str">
        <f t="shared" si="482"/>
        <v/>
      </c>
      <c r="BK287" s="870" t="str">
        <f t="shared" si="482"/>
        <v/>
      </c>
      <c r="BL287" s="870" t="str">
        <f t="shared" si="482"/>
        <v/>
      </c>
      <c r="BM287" s="870" t="str">
        <f t="shared" si="482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6"/>
        <v/>
      </c>
      <c r="CF287" s="81" t="str">
        <f t="shared" si="476"/>
        <v/>
      </c>
      <c r="CG287" s="81" t="str">
        <f t="shared" si="476"/>
        <v/>
      </c>
      <c r="CH287" s="145" t="str">
        <f t="shared" si="476"/>
        <v/>
      </c>
      <c r="CI287" s="145" t="str">
        <f t="shared" si="476"/>
        <v/>
      </c>
      <c r="CJ287" s="145" t="str">
        <f t="shared" si="476"/>
        <v/>
      </c>
      <c r="CK287" s="81" t="str">
        <f t="shared" si="476"/>
        <v/>
      </c>
      <c r="CL287" s="81" t="str">
        <f t="shared" si="476"/>
        <v/>
      </c>
      <c r="CM287" s="81" t="str">
        <f t="shared" si="476"/>
        <v/>
      </c>
      <c r="CN287" s="81" t="str">
        <f t="shared" si="476"/>
        <v/>
      </c>
      <c r="CO287" s="81" t="str">
        <f t="shared" si="476"/>
        <v/>
      </c>
      <c r="CP287" s="80" t="str">
        <f t="shared" si="476"/>
        <v/>
      </c>
      <c r="CQ287" s="509" t="str">
        <f t="shared" si="476"/>
        <v/>
      </c>
      <c r="CR287" s="533" t="str">
        <f t="shared" si="477"/>
        <v/>
      </c>
      <c r="CS287" s="534" t="str">
        <f t="shared" si="477"/>
        <v/>
      </c>
      <c r="CT287" s="535" t="str">
        <f t="shared" si="477"/>
        <v/>
      </c>
      <c r="CU287" s="535" t="str">
        <f t="shared" si="477"/>
        <v/>
      </c>
      <c r="CV287" s="535" t="str">
        <f t="shared" si="477"/>
        <v/>
      </c>
      <c r="CW287" s="535" t="str">
        <f t="shared" si="477"/>
        <v/>
      </c>
      <c r="CX287" s="535" t="str">
        <f t="shared" si="477"/>
        <v/>
      </c>
      <c r="CY287" s="536" t="str">
        <f t="shared" si="477"/>
        <v/>
      </c>
      <c r="CZ287" s="536" t="str">
        <f t="shared" si="477"/>
        <v/>
      </c>
      <c r="DA287" s="536" t="str">
        <f t="shared" si="477"/>
        <v/>
      </c>
      <c r="DB287" s="535" t="str">
        <f t="shared" si="478"/>
        <v/>
      </c>
      <c r="DC287" s="535" t="str">
        <f t="shared" si="478"/>
        <v/>
      </c>
      <c r="DD287" s="535" t="str">
        <f t="shared" si="478"/>
        <v/>
      </c>
      <c r="DE287" s="535" t="str">
        <f t="shared" si="478"/>
        <v/>
      </c>
      <c r="DF287" s="535" t="str">
        <f t="shared" si="478"/>
        <v/>
      </c>
      <c r="DG287" s="534" t="str">
        <f t="shared" si="478"/>
        <v/>
      </c>
      <c r="DH287" s="533" t="str">
        <f t="shared" si="478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48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3"/>
        <v/>
      </c>
      <c r="CF289" s="81" t="str">
        <f t="shared" si="483"/>
        <v/>
      </c>
      <c r="CG289" s="81" t="str">
        <f t="shared" si="483"/>
        <v/>
      </c>
      <c r="CH289" s="145" t="str">
        <f t="shared" si="483"/>
        <v/>
      </c>
      <c r="CI289" s="145" t="str">
        <f t="shared" si="483"/>
        <v/>
      </c>
      <c r="CJ289" s="145" t="str">
        <f t="shared" si="483"/>
        <v/>
      </c>
      <c r="CK289" s="81" t="str">
        <f t="shared" si="483"/>
        <v/>
      </c>
      <c r="CL289" s="81" t="str">
        <f t="shared" si="483"/>
        <v/>
      </c>
      <c r="CM289" s="81" t="str">
        <f t="shared" si="483"/>
        <v/>
      </c>
      <c r="CN289" s="81" t="str">
        <f t="shared" si="483"/>
        <v/>
      </c>
      <c r="CO289" s="81" t="str">
        <f t="shared" si="483"/>
        <v/>
      </c>
      <c r="CP289" s="80" t="str">
        <f t="shared" si="483"/>
        <v/>
      </c>
      <c r="CQ289" s="509" t="str">
        <f t="shared" ref="CE289:CQ293" si="484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485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485"/>
        <v/>
      </c>
      <c r="CT289" s="535" t="str">
        <f t="shared" si="485"/>
        <v/>
      </c>
      <c r="CU289" s="535" t="str">
        <f t="shared" si="485"/>
        <v/>
      </c>
      <c r="CV289" s="535" t="str">
        <f t="shared" si="485"/>
        <v/>
      </c>
      <c r="CW289" s="535" t="str">
        <f t="shared" si="485"/>
        <v/>
      </c>
      <c r="CX289" s="535" t="str">
        <f t="shared" si="485"/>
        <v/>
      </c>
      <c r="CY289" s="536" t="str">
        <f t="shared" si="485"/>
        <v/>
      </c>
      <c r="CZ289" s="536" t="str">
        <f t="shared" si="485"/>
        <v/>
      </c>
      <c r="DA289" s="536" t="str">
        <f t="shared" si="485"/>
        <v/>
      </c>
      <c r="DB289" s="535" t="str">
        <f t="shared" ref="DB289:DH293" si="486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486"/>
        <v/>
      </c>
      <c r="DD289" s="535" t="str">
        <f t="shared" si="486"/>
        <v/>
      </c>
      <c r="DE289" s="535" t="str">
        <f t="shared" si="486"/>
        <v/>
      </c>
      <c r="DF289" s="535" t="str">
        <f t="shared" si="486"/>
        <v/>
      </c>
      <c r="DG289" s="534" t="str">
        <f t="shared" si="486"/>
        <v/>
      </c>
      <c r="DH289" s="533" t="str">
        <f t="shared" si="486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4"/>
        <v/>
      </c>
      <c r="CF290" s="81" t="str">
        <f t="shared" si="484"/>
        <v/>
      </c>
      <c r="CG290" s="81" t="str">
        <f t="shared" si="484"/>
        <v/>
      </c>
      <c r="CH290" s="145" t="str">
        <f t="shared" si="484"/>
        <v/>
      </c>
      <c r="CI290" s="145" t="str">
        <f t="shared" si="484"/>
        <v/>
      </c>
      <c r="CJ290" s="145" t="str">
        <f t="shared" si="484"/>
        <v/>
      </c>
      <c r="CK290" s="81" t="str">
        <f t="shared" si="484"/>
        <v/>
      </c>
      <c r="CL290" s="81" t="str">
        <f t="shared" si="484"/>
        <v/>
      </c>
      <c r="CM290" s="81" t="str">
        <f t="shared" si="484"/>
        <v/>
      </c>
      <c r="CN290" s="81" t="str">
        <f t="shared" si="484"/>
        <v/>
      </c>
      <c r="CO290" s="81" t="str">
        <f t="shared" si="484"/>
        <v/>
      </c>
      <c r="CP290" s="80" t="str">
        <f t="shared" si="484"/>
        <v/>
      </c>
      <c r="CQ290" s="509" t="str">
        <f t="shared" si="484"/>
        <v/>
      </c>
      <c r="CR290" s="533" t="str">
        <f t="shared" si="485"/>
        <v/>
      </c>
      <c r="CS290" s="534" t="str">
        <f t="shared" si="485"/>
        <v/>
      </c>
      <c r="CT290" s="535" t="str">
        <f t="shared" si="485"/>
        <v/>
      </c>
      <c r="CU290" s="535" t="str">
        <f t="shared" si="485"/>
        <v/>
      </c>
      <c r="CV290" s="535" t="str">
        <f t="shared" si="485"/>
        <v/>
      </c>
      <c r="CW290" s="535" t="str">
        <f t="shared" si="485"/>
        <v/>
      </c>
      <c r="CX290" s="535" t="str">
        <f t="shared" si="485"/>
        <v/>
      </c>
      <c r="CY290" s="536" t="str">
        <f t="shared" si="485"/>
        <v/>
      </c>
      <c r="CZ290" s="536" t="str">
        <f t="shared" si="485"/>
        <v/>
      </c>
      <c r="DA290" s="536" t="str">
        <f t="shared" si="485"/>
        <v/>
      </c>
      <c r="DB290" s="535" t="str">
        <f t="shared" si="486"/>
        <v/>
      </c>
      <c r="DC290" s="535" t="str">
        <f t="shared" si="486"/>
        <v/>
      </c>
      <c r="DD290" s="535" t="str">
        <f t="shared" si="486"/>
        <v/>
      </c>
      <c r="DE290" s="535" t="str">
        <f t="shared" si="486"/>
        <v/>
      </c>
      <c r="DF290" s="535" t="str">
        <f t="shared" si="486"/>
        <v/>
      </c>
      <c r="DG290" s="534" t="str">
        <f t="shared" si="486"/>
        <v/>
      </c>
      <c r="DH290" s="533" t="str">
        <f t="shared" si="486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4"/>
        <v/>
      </c>
      <c r="CF291" s="81" t="str">
        <f t="shared" si="484"/>
        <v/>
      </c>
      <c r="CG291" s="81" t="str">
        <f t="shared" si="484"/>
        <v/>
      </c>
      <c r="CH291" s="145" t="str">
        <f t="shared" si="484"/>
        <v/>
      </c>
      <c r="CI291" s="145" t="str">
        <f t="shared" si="484"/>
        <v/>
      </c>
      <c r="CJ291" s="145" t="str">
        <f t="shared" si="484"/>
        <v/>
      </c>
      <c r="CK291" s="81" t="str">
        <f t="shared" si="484"/>
        <v/>
      </c>
      <c r="CL291" s="81" t="str">
        <f t="shared" si="484"/>
        <v/>
      </c>
      <c r="CM291" s="81" t="str">
        <f t="shared" si="484"/>
        <v/>
      </c>
      <c r="CN291" s="81" t="str">
        <f t="shared" si="484"/>
        <v/>
      </c>
      <c r="CO291" s="81" t="str">
        <f t="shared" si="484"/>
        <v/>
      </c>
      <c r="CP291" s="80" t="str">
        <f t="shared" si="484"/>
        <v/>
      </c>
      <c r="CQ291" s="509" t="str">
        <f t="shared" si="484"/>
        <v/>
      </c>
      <c r="CR291" s="533" t="str">
        <f t="shared" si="485"/>
        <v/>
      </c>
      <c r="CS291" s="534" t="str">
        <f t="shared" si="485"/>
        <v/>
      </c>
      <c r="CT291" s="535" t="str">
        <f t="shared" si="485"/>
        <v/>
      </c>
      <c r="CU291" s="535" t="str">
        <f t="shared" si="485"/>
        <v/>
      </c>
      <c r="CV291" s="535" t="str">
        <f t="shared" si="485"/>
        <v/>
      </c>
      <c r="CW291" s="535" t="str">
        <f t="shared" si="485"/>
        <v/>
      </c>
      <c r="CX291" s="535" t="str">
        <f t="shared" si="485"/>
        <v/>
      </c>
      <c r="CY291" s="536" t="str">
        <f t="shared" si="485"/>
        <v/>
      </c>
      <c r="CZ291" s="536" t="str">
        <f t="shared" si="485"/>
        <v/>
      </c>
      <c r="DA291" s="536" t="str">
        <f t="shared" si="485"/>
        <v/>
      </c>
      <c r="DB291" s="535" t="str">
        <f t="shared" si="486"/>
        <v/>
      </c>
      <c r="DC291" s="535" t="str">
        <f t="shared" si="486"/>
        <v/>
      </c>
      <c r="DD291" s="535" t="str">
        <f t="shared" si="486"/>
        <v/>
      </c>
      <c r="DE291" s="535" t="str">
        <f t="shared" si="486"/>
        <v/>
      </c>
      <c r="DF291" s="535" t="str">
        <f t="shared" si="486"/>
        <v/>
      </c>
      <c r="DG291" s="534" t="str">
        <f t="shared" si="486"/>
        <v/>
      </c>
      <c r="DH291" s="533" t="str">
        <f t="shared" si="486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4"/>
        <v/>
      </c>
      <c r="CF292" s="81" t="str">
        <f t="shared" si="484"/>
        <v/>
      </c>
      <c r="CG292" s="81" t="str">
        <f t="shared" si="484"/>
        <v/>
      </c>
      <c r="CH292" s="145" t="str">
        <f t="shared" si="484"/>
        <v/>
      </c>
      <c r="CI292" s="145" t="str">
        <f t="shared" si="484"/>
        <v/>
      </c>
      <c r="CJ292" s="145" t="str">
        <f t="shared" si="484"/>
        <v/>
      </c>
      <c r="CK292" s="81" t="str">
        <f t="shared" si="484"/>
        <v/>
      </c>
      <c r="CL292" s="81" t="str">
        <f t="shared" si="484"/>
        <v/>
      </c>
      <c r="CM292" s="81" t="str">
        <f t="shared" si="484"/>
        <v/>
      </c>
      <c r="CN292" s="81" t="str">
        <f t="shared" si="484"/>
        <v/>
      </c>
      <c r="CO292" s="81" t="str">
        <f t="shared" si="484"/>
        <v/>
      </c>
      <c r="CP292" s="80" t="str">
        <f t="shared" si="484"/>
        <v/>
      </c>
      <c r="CQ292" s="509" t="str">
        <f t="shared" si="484"/>
        <v/>
      </c>
      <c r="CR292" s="533" t="str">
        <f t="shared" si="485"/>
        <v/>
      </c>
      <c r="CS292" s="534" t="str">
        <f t="shared" si="485"/>
        <v/>
      </c>
      <c r="CT292" s="535" t="str">
        <f t="shared" si="485"/>
        <v/>
      </c>
      <c r="CU292" s="535" t="str">
        <f t="shared" si="485"/>
        <v/>
      </c>
      <c r="CV292" s="535" t="str">
        <f t="shared" si="485"/>
        <v/>
      </c>
      <c r="CW292" s="535" t="str">
        <f t="shared" si="485"/>
        <v/>
      </c>
      <c r="CX292" s="535" t="str">
        <f t="shared" si="485"/>
        <v/>
      </c>
      <c r="CY292" s="536" t="str">
        <f t="shared" si="485"/>
        <v/>
      </c>
      <c r="CZ292" s="536" t="str">
        <f t="shared" si="485"/>
        <v/>
      </c>
      <c r="DA292" s="536" t="str">
        <f t="shared" si="485"/>
        <v/>
      </c>
      <c r="DB292" s="535" t="str">
        <f t="shared" si="486"/>
        <v/>
      </c>
      <c r="DC292" s="535" t="str">
        <f t="shared" si="486"/>
        <v/>
      </c>
      <c r="DD292" s="535" t="str">
        <f t="shared" si="486"/>
        <v/>
      </c>
      <c r="DE292" s="535" t="str">
        <f t="shared" si="486"/>
        <v/>
      </c>
      <c r="DF292" s="535" t="str">
        <f t="shared" si="486"/>
        <v/>
      </c>
      <c r="DG292" s="534" t="str">
        <f t="shared" si="486"/>
        <v/>
      </c>
      <c r="DH292" s="533" t="str">
        <f t="shared" si="486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487">IF(B290="","",B289*B290*B291*B292)</f>
        <v/>
      </c>
      <c r="C293" s="870" t="str">
        <f t="shared" si="487"/>
        <v/>
      </c>
      <c r="D293" s="870" t="str">
        <f t="shared" si="487"/>
        <v/>
      </c>
      <c r="E293" s="870" t="str">
        <f t="shared" si="487"/>
        <v/>
      </c>
      <c r="F293" s="870" t="str">
        <f t="shared" si="487"/>
        <v/>
      </c>
      <c r="G293" s="870" t="str">
        <f t="shared" si="487"/>
        <v/>
      </c>
      <c r="H293" s="870" t="str">
        <f t="shared" si="487"/>
        <v/>
      </c>
      <c r="I293" s="870" t="str">
        <f t="shared" si="487"/>
        <v/>
      </c>
      <c r="J293" s="870" t="str">
        <f t="shared" si="487"/>
        <v/>
      </c>
      <c r="K293" s="870" t="str">
        <f t="shared" si="487"/>
        <v/>
      </c>
      <c r="L293" s="870" t="str">
        <f t="shared" si="487"/>
        <v/>
      </c>
      <c r="M293" s="870" t="str">
        <f t="shared" si="487"/>
        <v/>
      </c>
      <c r="N293" s="870" t="str">
        <f t="shared" si="487"/>
        <v/>
      </c>
      <c r="O293" s="870" t="str">
        <f t="shared" si="487"/>
        <v/>
      </c>
      <c r="P293" s="870" t="str">
        <f t="shared" si="487"/>
        <v/>
      </c>
      <c r="Q293" s="870" t="str">
        <f t="shared" si="487"/>
        <v/>
      </c>
      <c r="R293" s="870" t="str">
        <f t="shared" si="487"/>
        <v/>
      </c>
      <c r="S293" s="858"/>
      <c r="T293" s="870" t="str">
        <f t="shared" ref="T293:AC293" si="488">IF(T290="","",T289*T290*T291*T292)</f>
        <v/>
      </c>
      <c r="U293" s="870" t="str">
        <f t="shared" si="488"/>
        <v/>
      </c>
      <c r="V293" s="870" t="str">
        <f t="shared" si="488"/>
        <v/>
      </c>
      <c r="W293" s="870" t="str">
        <f t="shared" si="488"/>
        <v/>
      </c>
      <c r="X293" s="870" t="str">
        <f t="shared" si="488"/>
        <v/>
      </c>
      <c r="Y293" s="870" t="str">
        <f t="shared" si="488"/>
        <v/>
      </c>
      <c r="Z293" s="870" t="str">
        <f t="shared" si="488"/>
        <v/>
      </c>
      <c r="AA293" s="870" t="str">
        <f t="shared" si="488"/>
        <v/>
      </c>
      <c r="AB293" s="870" t="str">
        <f t="shared" si="488"/>
        <v/>
      </c>
      <c r="AC293" s="870" t="str">
        <f t="shared" si="488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489">IF(AL290="","",AL289*AL290*AL291*AL292)</f>
        <v/>
      </c>
      <c r="AM293" s="870" t="str">
        <f t="shared" si="489"/>
        <v/>
      </c>
      <c r="AN293" s="870" t="str">
        <f t="shared" si="489"/>
        <v/>
      </c>
      <c r="AO293" s="870" t="str">
        <f t="shared" si="489"/>
        <v/>
      </c>
      <c r="AP293" s="870" t="str">
        <f t="shared" si="489"/>
        <v/>
      </c>
      <c r="AQ293" s="870" t="str">
        <f t="shared" si="489"/>
        <v/>
      </c>
      <c r="AR293" s="870" t="str">
        <f t="shared" si="489"/>
        <v/>
      </c>
      <c r="AS293" s="870" t="str">
        <f t="shared" si="489"/>
        <v/>
      </c>
      <c r="AT293" s="870" t="str">
        <f t="shared" si="489"/>
        <v/>
      </c>
      <c r="AU293" s="870" t="str">
        <f t="shared" si="489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490">IF(BD290="","",BD289*BD290*BD291*BD292)</f>
        <v/>
      </c>
      <c r="BE293" s="870" t="str">
        <f t="shared" si="490"/>
        <v/>
      </c>
      <c r="BF293" s="870" t="str">
        <f t="shared" si="490"/>
        <v/>
      </c>
      <c r="BG293" s="870" t="str">
        <f t="shared" si="490"/>
        <v/>
      </c>
      <c r="BH293" s="870" t="str">
        <f t="shared" si="490"/>
        <v/>
      </c>
      <c r="BI293" s="870" t="str">
        <f t="shared" si="490"/>
        <v/>
      </c>
      <c r="BJ293" s="870" t="str">
        <f t="shared" si="490"/>
        <v/>
      </c>
      <c r="BK293" s="870" t="str">
        <f t="shared" si="490"/>
        <v/>
      </c>
      <c r="BL293" s="870" t="str">
        <f t="shared" si="490"/>
        <v/>
      </c>
      <c r="BM293" s="870" t="str">
        <f t="shared" si="490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4"/>
        <v/>
      </c>
      <c r="CF293" s="81" t="str">
        <f t="shared" si="484"/>
        <v/>
      </c>
      <c r="CG293" s="81" t="str">
        <f t="shared" si="484"/>
        <v/>
      </c>
      <c r="CH293" s="145" t="str">
        <f t="shared" si="484"/>
        <v/>
      </c>
      <c r="CI293" s="145" t="str">
        <f t="shared" si="484"/>
        <v/>
      </c>
      <c r="CJ293" s="145" t="str">
        <f t="shared" si="484"/>
        <v/>
      </c>
      <c r="CK293" s="81" t="str">
        <f t="shared" si="484"/>
        <v/>
      </c>
      <c r="CL293" s="81" t="str">
        <f t="shared" si="484"/>
        <v/>
      </c>
      <c r="CM293" s="81" t="str">
        <f t="shared" si="484"/>
        <v/>
      </c>
      <c r="CN293" s="81" t="str">
        <f t="shared" si="484"/>
        <v/>
      </c>
      <c r="CO293" s="81" t="str">
        <f t="shared" si="484"/>
        <v/>
      </c>
      <c r="CP293" s="80" t="str">
        <f t="shared" si="484"/>
        <v/>
      </c>
      <c r="CQ293" s="509" t="str">
        <f t="shared" si="484"/>
        <v/>
      </c>
      <c r="CR293" s="533" t="str">
        <f t="shared" si="485"/>
        <v/>
      </c>
      <c r="CS293" s="534" t="str">
        <f t="shared" si="485"/>
        <v/>
      </c>
      <c r="CT293" s="535" t="str">
        <f t="shared" si="485"/>
        <v/>
      </c>
      <c r="CU293" s="535" t="str">
        <f t="shared" si="485"/>
        <v/>
      </c>
      <c r="CV293" s="535" t="str">
        <f t="shared" si="485"/>
        <v/>
      </c>
      <c r="CW293" s="535" t="str">
        <f t="shared" si="485"/>
        <v/>
      </c>
      <c r="CX293" s="535" t="str">
        <f t="shared" si="485"/>
        <v/>
      </c>
      <c r="CY293" s="536" t="str">
        <f t="shared" si="485"/>
        <v/>
      </c>
      <c r="CZ293" s="536" t="str">
        <f t="shared" si="485"/>
        <v/>
      </c>
      <c r="DA293" s="536" t="str">
        <f t="shared" si="485"/>
        <v/>
      </c>
      <c r="DB293" s="535" t="str">
        <f t="shared" si="486"/>
        <v/>
      </c>
      <c r="DC293" s="535" t="str">
        <f t="shared" si="486"/>
        <v/>
      </c>
      <c r="DD293" s="535" t="str">
        <f t="shared" si="486"/>
        <v/>
      </c>
      <c r="DE293" s="535" t="str">
        <f t="shared" si="486"/>
        <v/>
      </c>
      <c r="DF293" s="535" t="str">
        <f t="shared" si="486"/>
        <v/>
      </c>
      <c r="DG293" s="534" t="str">
        <f t="shared" si="486"/>
        <v/>
      </c>
      <c r="DH293" s="533" t="str">
        <f t="shared" si="486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491">IF(DI295&lt;3,"",(SUM(B295:R295)-MIN(B295:R295)-MAX(B295:R295))/(DI295-2))</f>
        <v/>
      </c>
      <c r="CA295" s="864" t="str">
        <f t="shared" ref="CA295:CA300" si="492">IF(DJ295&lt;3,"",(SUM(T295:AJ295)-MIN(T295:AJ295)-MAX(T295:AJ295))/(DJ295-2))</f>
        <v/>
      </c>
      <c r="CB295" s="864" t="str">
        <f t="shared" ref="CB295:CB300" si="493">IF(DK295&lt;3,"",(SUM(AL295:BB295)-MIN(AL295:BB295)-MAX(AL295:BB295))/(DK295-2))</f>
        <v/>
      </c>
      <c r="CC295" s="865" t="str">
        <f t="shared" ref="CC295:CC300" si="494">IF(DL295&lt;3,"",(SUM(BD295:BT295)-MIN(BD295:BT295)-MAX(BD295:BT295))/(DL295-2))</f>
        <v/>
      </c>
      <c r="CD295" s="508" t="str">
        <f t="shared" ref="CD295:CP295" si="49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5"/>
        <v/>
      </c>
      <c r="CF295" s="81" t="str">
        <f t="shared" si="495"/>
        <v/>
      </c>
      <c r="CG295" s="81" t="str">
        <f t="shared" si="495"/>
        <v/>
      </c>
      <c r="CH295" s="145" t="str">
        <f t="shared" si="495"/>
        <v/>
      </c>
      <c r="CI295" s="145" t="str">
        <f t="shared" si="495"/>
        <v/>
      </c>
      <c r="CJ295" s="145" t="str">
        <f t="shared" si="495"/>
        <v/>
      </c>
      <c r="CK295" s="81" t="str">
        <f t="shared" si="495"/>
        <v/>
      </c>
      <c r="CL295" s="81" t="str">
        <f t="shared" si="495"/>
        <v/>
      </c>
      <c r="CM295" s="81" t="str">
        <f t="shared" si="495"/>
        <v/>
      </c>
      <c r="CN295" s="81" t="str">
        <f t="shared" si="495"/>
        <v/>
      </c>
      <c r="CO295" s="81" t="str">
        <f t="shared" si="495"/>
        <v/>
      </c>
      <c r="CP295" s="80" t="str">
        <f t="shared" si="495"/>
        <v/>
      </c>
      <c r="CQ295" s="509" t="str">
        <f t="shared" ref="CE295:CQ300" si="496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497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498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499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14">COUNT(B295:R295)</f>
        <v>0</v>
      </c>
      <c r="DJ295" s="822">
        <f t="shared" ref="DJ295:DJ300" si="515">COUNT(T295:AJ295)</f>
        <v>0</v>
      </c>
      <c r="DK295" s="822">
        <f t="shared" ref="DK295:DK300" si="516">COUNT(AL295:BB295)</f>
        <v>0</v>
      </c>
      <c r="DL295" s="823">
        <f t="shared" ref="DL295:DL300" si="517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491"/>
        <v/>
      </c>
      <c r="CA296" s="864" t="str">
        <f t="shared" si="492"/>
        <v/>
      </c>
      <c r="CB296" s="864" t="str">
        <f t="shared" si="493"/>
        <v/>
      </c>
      <c r="CC296" s="865" t="str">
        <f t="shared" si="494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6"/>
        <v/>
      </c>
      <c r="CF296" s="81" t="str">
        <f t="shared" si="496"/>
        <v/>
      </c>
      <c r="CG296" s="81" t="str">
        <f t="shared" si="496"/>
        <v/>
      </c>
      <c r="CH296" s="145" t="str">
        <f t="shared" si="496"/>
        <v/>
      </c>
      <c r="CI296" s="145" t="str">
        <f t="shared" si="496"/>
        <v/>
      </c>
      <c r="CJ296" s="145" t="str">
        <f t="shared" si="496"/>
        <v/>
      </c>
      <c r="CK296" s="81" t="str">
        <f t="shared" si="496"/>
        <v/>
      </c>
      <c r="CL296" s="81" t="str">
        <f t="shared" si="496"/>
        <v/>
      </c>
      <c r="CM296" s="81" t="str">
        <f t="shared" si="496"/>
        <v/>
      </c>
      <c r="CN296" s="81" t="str">
        <f t="shared" si="496"/>
        <v/>
      </c>
      <c r="CO296" s="81" t="str">
        <f t="shared" si="496"/>
        <v/>
      </c>
      <c r="CP296" s="80" t="str">
        <f t="shared" si="496"/>
        <v/>
      </c>
      <c r="CQ296" s="509" t="str">
        <f t="shared" si="496"/>
        <v/>
      </c>
      <c r="CR296" s="533" t="str">
        <f t="shared" si="497"/>
        <v/>
      </c>
      <c r="CS296" s="534" t="str">
        <f t="shared" si="498"/>
        <v/>
      </c>
      <c r="CT296" s="535" t="str">
        <f t="shared" si="499"/>
        <v/>
      </c>
      <c r="CU296" s="535" t="str">
        <f t="shared" si="500"/>
        <v/>
      </c>
      <c r="CV296" s="535" t="str">
        <f t="shared" si="501"/>
        <v/>
      </c>
      <c r="CW296" s="535" t="str">
        <f t="shared" si="502"/>
        <v/>
      </c>
      <c r="CX296" s="535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5" t="str">
        <f t="shared" si="507"/>
        <v/>
      </c>
      <c r="DC296" s="535" t="str">
        <f t="shared" si="508"/>
        <v/>
      </c>
      <c r="DD296" s="535" t="str">
        <f t="shared" si="509"/>
        <v/>
      </c>
      <c r="DE296" s="535" t="str">
        <f t="shared" si="510"/>
        <v/>
      </c>
      <c r="DF296" s="535" t="str">
        <f t="shared" si="511"/>
        <v/>
      </c>
      <c r="DG296" s="534" t="str">
        <f t="shared" si="512"/>
        <v/>
      </c>
      <c r="DH296" s="533" t="str">
        <f t="shared" si="513"/>
        <v/>
      </c>
      <c r="DI296" s="866">
        <f t="shared" si="514"/>
        <v>0</v>
      </c>
      <c r="DJ296" s="822">
        <f t="shared" si="515"/>
        <v>0</v>
      </c>
      <c r="DK296" s="822">
        <f t="shared" si="516"/>
        <v>0</v>
      </c>
      <c r="DL296" s="823">
        <f t="shared" si="517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491"/>
        <v/>
      </c>
      <c r="CA297" s="864" t="str">
        <f t="shared" si="492"/>
        <v/>
      </c>
      <c r="CB297" s="864" t="str">
        <f t="shared" si="493"/>
        <v/>
      </c>
      <c r="CC297" s="865" t="str">
        <f t="shared" si="494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6"/>
        <v/>
      </c>
      <c r="CF297" s="81" t="str">
        <f t="shared" si="496"/>
        <v/>
      </c>
      <c r="CG297" s="81" t="str">
        <f t="shared" si="496"/>
        <v/>
      </c>
      <c r="CH297" s="145" t="str">
        <f t="shared" si="496"/>
        <v/>
      </c>
      <c r="CI297" s="145" t="str">
        <f t="shared" si="496"/>
        <v/>
      </c>
      <c r="CJ297" s="145" t="str">
        <f t="shared" si="496"/>
        <v/>
      </c>
      <c r="CK297" s="81" t="str">
        <f t="shared" si="496"/>
        <v/>
      </c>
      <c r="CL297" s="81" t="str">
        <f t="shared" si="496"/>
        <v/>
      </c>
      <c r="CM297" s="81" t="str">
        <f t="shared" si="496"/>
        <v/>
      </c>
      <c r="CN297" s="81" t="str">
        <f t="shared" si="496"/>
        <v/>
      </c>
      <c r="CO297" s="81" t="str">
        <f t="shared" si="496"/>
        <v/>
      </c>
      <c r="CP297" s="80" t="str">
        <f t="shared" si="496"/>
        <v/>
      </c>
      <c r="CQ297" s="509" t="str">
        <f t="shared" si="496"/>
        <v/>
      </c>
      <c r="CR297" s="533" t="str">
        <f t="shared" si="497"/>
        <v/>
      </c>
      <c r="CS297" s="534" t="str">
        <f t="shared" si="498"/>
        <v/>
      </c>
      <c r="CT297" s="535" t="str">
        <f t="shared" si="499"/>
        <v/>
      </c>
      <c r="CU297" s="535" t="str">
        <f t="shared" si="500"/>
        <v/>
      </c>
      <c r="CV297" s="535" t="str">
        <f t="shared" si="501"/>
        <v/>
      </c>
      <c r="CW297" s="535" t="str">
        <f t="shared" si="502"/>
        <v/>
      </c>
      <c r="CX297" s="535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5" t="str">
        <f t="shared" si="507"/>
        <v/>
      </c>
      <c r="DC297" s="535" t="str">
        <f t="shared" si="508"/>
        <v/>
      </c>
      <c r="DD297" s="535" t="str">
        <f t="shared" si="509"/>
        <v/>
      </c>
      <c r="DE297" s="535" t="str">
        <f t="shared" si="510"/>
        <v/>
      </c>
      <c r="DF297" s="535" t="str">
        <f t="shared" si="511"/>
        <v/>
      </c>
      <c r="DG297" s="534" t="str">
        <f t="shared" si="512"/>
        <v/>
      </c>
      <c r="DH297" s="533" t="str">
        <f t="shared" si="513"/>
        <v/>
      </c>
      <c r="DI297" s="866">
        <f t="shared" si="514"/>
        <v>0</v>
      </c>
      <c r="DJ297" s="822">
        <f t="shared" si="515"/>
        <v>0</v>
      </c>
      <c r="DK297" s="822">
        <f t="shared" si="516"/>
        <v>0</v>
      </c>
      <c r="DL297" s="823">
        <f t="shared" si="517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491"/>
        <v/>
      </c>
      <c r="CA298" s="864" t="str">
        <f t="shared" si="492"/>
        <v/>
      </c>
      <c r="CB298" s="864" t="str">
        <f t="shared" si="493"/>
        <v/>
      </c>
      <c r="CC298" s="865" t="str">
        <f t="shared" si="494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6"/>
        <v/>
      </c>
      <c r="CF298" s="81" t="str">
        <f t="shared" si="496"/>
        <v/>
      </c>
      <c r="CG298" s="81" t="str">
        <f t="shared" si="496"/>
        <v/>
      </c>
      <c r="CH298" s="145" t="str">
        <f t="shared" si="496"/>
        <v/>
      </c>
      <c r="CI298" s="145" t="str">
        <f t="shared" si="496"/>
        <v/>
      </c>
      <c r="CJ298" s="145" t="str">
        <f t="shared" si="496"/>
        <v/>
      </c>
      <c r="CK298" s="81" t="str">
        <f t="shared" si="496"/>
        <v/>
      </c>
      <c r="CL298" s="81" t="str">
        <f t="shared" si="496"/>
        <v/>
      </c>
      <c r="CM298" s="81" t="str">
        <f t="shared" si="496"/>
        <v/>
      </c>
      <c r="CN298" s="81" t="str">
        <f t="shared" si="496"/>
        <v/>
      </c>
      <c r="CO298" s="81" t="str">
        <f t="shared" si="496"/>
        <v/>
      </c>
      <c r="CP298" s="80" t="str">
        <f t="shared" si="496"/>
        <v/>
      </c>
      <c r="CQ298" s="509" t="str">
        <f t="shared" si="496"/>
        <v/>
      </c>
      <c r="CR298" s="533" t="str">
        <f t="shared" si="497"/>
        <v/>
      </c>
      <c r="CS298" s="534" t="str">
        <f t="shared" si="498"/>
        <v/>
      </c>
      <c r="CT298" s="535" t="str">
        <f t="shared" si="499"/>
        <v/>
      </c>
      <c r="CU298" s="535" t="str">
        <f t="shared" si="500"/>
        <v/>
      </c>
      <c r="CV298" s="535" t="str">
        <f t="shared" si="501"/>
        <v/>
      </c>
      <c r="CW298" s="535" t="str">
        <f t="shared" si="502"/>
        <v/>
      </c>
      <c r="CX298" s="535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5" t="str">
        <f t="shared" si="507"/>
        <v/>
      </c>
      <c r="DC298" s="535" t="str">
        <f t="shared" si="508"/>
        <v/>
      </c>
      <c r="DD298" s="535" t="str">
        <f t="shared" si="509"/>
        <v/>
      </c>
      <c r="DE298" s="535" t="str">
        <f t="shared" si="510"/>
        <v/>
      </c>
      <c r="DF298" s="535" t="str">
        <f t="shared" si="511"/>
        <v/>
      </c>
      <c r="DG298" s="534" t="str">
        <f t="shared" si="512"/>
        <v/>
      </c>
      <c r="DH298" s="533" t="str">
        <f t="shared" si="513"/>
        <v/>
      </c>
      <c r="DI298" s="866">
        <f t="shared" si="514"/>
        <v>0</v>
      </c>
      <c r="DJ298" s="822">
        <f t="shared" si="515"/>
        <v>0</v>
      </c>
      <c r="DK298" s="822">
        <f t="shared" si="516"/>
        <v>0</v>
      </c>
      <c r="DL298" s="823">
        <f t="shared" si="517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18">IF(B296="","",B295*B296*B297*B298)</f>
        <v/>
      </c>
      <c r="C299" s="870" t="str">
        <f t="shared" si="518"/>
        <v/>
      </c>
      <c r="D299" s="870" t="str">
        <f t="shared" si="518"/>
        <v/>
      </c>
      <c r="E299" s="870" t="str">
        <f t="shared" si="518"/>
        <v/>
      </c>
      <c r="F299" s="870" t="str">
        <f t="shared" si="518"/>
        <v/>
      </c>
      <c r="G299" s="870" t="str">
        <f t="shared" si="518"/>
        <v/>
      </c>
      <c r="H299" s="870" t="str">
        <f t="shared" si="518"/>
        <v/>
      </c>
      <c r="I299" s="870" t="str">
        <f t="shared" si="518"/>
        <v/>
      </c>
      <c r="J299" s="870" t="str">
        <f t="shared" si="518"/>
        <v/>
      </c>
      <c r="K299" s="870" t="str">
        <f t="shared" si="518"/>
        <v/>
      </c>
      <c r="L299" s="870" t="str">
        <f t="shared" si="518"/>
        <v/>
      </c>
      <c r="M299" s="870" t="str">
        <f t="shared" si="518"/>
        <v/>
      </c>
      <c r="N299" s="870" t="str">
        <f t="shared" si="518"/>
        <v/>
      </c>
      <c r="O299" s="870" t="str">
        <f t="shared" si="518"/>
        <v/>
      </c>
      <c r="P299" s="870" t="str">
        <f t="shared" si="518"/>
        <v/>
      </c>
      <c r="Q299" s="870" t="str">
        <f t="shared" si="518"/>
        <v/>
      </c>
      <c r="R299" s="870" t="str">
        <f t="shared" si="518"/>
        <v/>
      </c>
      <c r="S299" s="858"/>
      <c r="T299" s="870" t="str">
        <f t="shared" ref="T299:AC299" si="519">IF(T296="","",T295*T296*T297*T298)</f>
        <v/>
      </c>
      <c r="U299" s="870" t="str">
        <f t="shared" si="519"/>
        <v/>
      </c>
      <c r="V299" s="870" t="str">
        <f t="shared" si="519"/>
        <v/>
      </c>
      <c r="W299" s="870" t="str">
        <f t="shared" si="519"/>
        <v/>
      </c>
      <c r="X299" s="870" t="str">
        <f t="shared" si="519"/>
        <v/>
      </c>
      <c r="Y299" s="870" t="str">
        <f t="shared" si="519"/>
        <v/>
      </c>
      <c r="Z299" s="870" t="str">
        <f t="shared" si="519"/>
        <v/>
      </c>
      <c r="AA299" s="870" t="str">
        <f t="shared" si="519"/>
        <v/>
      </c>
      <c r="AB299" s="870" t="str">
        <f t="shared" si="519"/>
        <v/>
      </c>
      <c r="AC299" s="870" t="str">
        <f t="shared" si="519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20">IF(AL296="","",AL295*AL296*AL297*AL298)</f>
        <v/>
      </c>
      <c r="AM299" s="870" t="str">
        <f t="shared" si="520"/>
        <v/>
      </c>
      <c r="AN299" s="870" t="str">
        <f t="shared" si="520"/>
        <v/>
      </c>
      <c r="AO299" s="870" t="str">
        <f t="shared" si="520"/>
        <v/>
      </c>
      <c r="AP299" s="870" t="str">
        <f t="shared" si="520"/>
        <v/>
      </c>
      <c r="AQ299" s="870" t="str">
        <f t="shared" si="520"/>
        <v/>
      </c>
      <c r="AR299" s="870" t="str">
        <f t="shared" si="520"/>
        <v/>
      </c>
      <c r="AS299" s="870" t="str">
        <f t="shared" si="520"/>
        <v/>
      </c>
      <c r="AT299" s="870" t="str">
        <f t="shared" si="520"/>
        <v/>
      </c>
      <c r="AU299" s="870" t="str">
        <f t="shared" si="520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21">IF(BD296="","",BD295*BD296*BD297*BD298)</f>
        <v/>
      </c>
      <c r="BE299" s="870" t="str">
        <f t="shared" si="521"/>
        <v/>
      </c>
      <c r="BF299" s="870" t="str">
        <f t="shared" si="521"/>
        <v/>
      </c>
      <c r="BG299" s="870" t="str">
        <f t="shared" si="521"/>
        <v/>
      </c>
      <c r="BH299" s="870" t="str">
        <f t="shared" si="521"/>
        <v/>
      </c>
      <c r="BI299" s="870" t="str">
        <f t="shared" si="521"/>
        <v/>
      </c>
      <c r="BJ299" s="870" t="str">
        <f t="shared" si="521"/>
        <v/>
      </c>
      <c r="BK299" s="870" t="str">
        <f t="shared" si="521"/>
        <v/>
      </c>
      <c r="BL299" s="870" t="str">
        <f t="shared" si="521"/>
        <v/>
      </c>
      <c r="BM299" s="870" t="str">
        <f t="shared" si="521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491"/>
        <v/>
      </c>
      <c r="CA299" s="864" t="str">
        <f t="shared" si="492"/>
        <v/>
      </c>
      <c r="CB299" s="864" t="str">
        <f t="shared" si="493"/>
        <v/>
      </c>
      <c r="CC299" s="865" t="str">
        <f t="shared" si="494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6"/>
        <v/>
      </c>
      <c r="CF299" s="81" t="str">
        <f t="shared" si="496"/>
        <v/>
      </c>
      <c r="CG299" s="81" t="str">
        <f t="shared" si="496"/>
        <v/>
      </c>
      <c r="CH299" s="145" t="str">
        <f t="shared" si="496"/>
        <v/>
      </c>
      <c r="CI299" s="145" t="str">
        <f t="shared" si="496"/>
        <v/>
      </c>
      <c r="CJ299" s="145" t="str">
        <f t="shared" si="496"/>
        <v/>
      </c>
      <c r="CK299" s="81" t="str">
        <f t="shared" si="496"/>
        <v/>
      </c>
      <c r="CL299" s="81" t="str">
        <f t="shared" si="496"/>
        <v/>
      </c>
      <c r="CM299" s="81" t="str">
        <f t="shared" si="496"/>
        <v/>
      </c>
      <c r="CN299" s="81" t="str">
        <f t="shared" si="496"/>
        <v/>
      </c>
      <c r="CO299" s="81" t="str">
        <f t="shared" si="496"/>
        <v/>
      </c>
      <c r="CP299" s="80" t="str">
        <f t="shared" si="496"/>
        <v/>
      </c>
      <c r="CQ299" s="509" t="str">
        <f t="shared" si="496"/>
        <v/>
      </c>
      <c r="CR299" s="533" t="str">
        <f t="shared" si="497"/>
        <v/>
      </c>
      <c r="CS299" s="534" t="str">
        <f t="shared" si="498"/>
        <v/>
      </c>
      <c r="CT299" s="535" t="str">
        <f t="shared" si="499"/>
        <v/>
      </c>
      <c r="CU299" s="535" t="str">
        <f t="shared" si="500"/>
        <v/>
      </c>
      <c r="CV299" s="535" t="str">
        <f t="shared" si="501"/>
        <v/>
      </c>
      <c r="CW299" s="535" t="str">
        <f t="shared" si="502"/>
        <v/>
      </c>
      <c r="CX299" s="535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5" t="str">
        <f t="shared" si="507"/>
        <v/>
      </c>
      <c r="DC299" s="535" t="str">
        <f t="shared" si="508"/>
        <v/>
      </c>
      <c r="DD299" s="535" t="str">
        <f t="shared" si="509"/>
        <v/>
      </c>
      <c r="DE299" s="535" t="str">
        <f t="shared" si="510"/>
        <v/>
      </c>
      <c r="DF299" s="535" t="str">
        <f t="shared" si="511"/>
        <v/>
      </c>
      <c r="DG299" s="534" t="str">
        <f t="shared" si="512"/>
        <v/>
      </c>
      <c r="DH299" s="533" t="str">
        <f t="shared" si="513"/>
        <v/>
      </c>
      <c r="DI299" s="866">
        <f t="shared" si="514"/>
        <v>0</v>
      </c>
      <c r="DJ299" s="822">
        <f t="shared" si="515"/>
        <v>0</v>
      </c>
      <c r="DK299" s="822">
        <f t="shared" si="516"/>
        <v>0</v>
      </c>
      <c r="DL299" s="823">
        <f t="shared" si="517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22">SUM(C257,C263,C269,C275,C281,C287,C293,C299)</f>
        <v>0</v>
      </c>
      <c r="D300" s="877">
        <f t="shared" si="522"/>
        <v>0</v>
      </c>
      <c r="E300" s="877">
        <f t="shared" si="522"/>
        <v>0</v>
      </c>
      <c r="F300" s="877">
        <f t="shared" si="522"/>
        <v>0</v>
      </c>
      <c r="G300" s="877">
        <f t="shared" si="522"/>
        <v>0</v>
      </c>
      <c r="H300" s="877">
        <f t="shared" si="522"/>
        <v>0</v>
      </c>
      <c r="I300" s="877">
        <f t="shared" si="522"/>
        <v>0</v>
      </c>
      <c r="J300" s="877">
        <f t="shared" si="522"/>
        <v>0</v>
      </c>
      <c r="K300" s="877">
        <f t="shared" si="522"/>
        <v>0</v>
      </c>
      <c r="L300" s="877">
        <f t="shared" si="522"/>
        <v>0</v>
      </c>
      <c r="M300" s="877">
        <f t="shared" si="522"/>
        <v>0</v>
      </c>
      <c r="N300" s="877">
        <f t="shared" si="522"/>
        <v>0</v>
      </c>
      <c r="O300" s="877">
        <f t="shared" si="522"/>
        <v>0</v>
      </c>
      <c r="P300" s="877">
        <f t="shared" si="522"/>
        <v>0</v>
      </c>
      <c r="Q300" s="877">
        <f t="shared" si="522"/>
        <v>0</v>
      </c>
      <c r="R300" s="877">
        <f t="shared" si="522"/>
        <v>0</v>
      </c>
      <c r="S300" s="878"/>
      <c r="T300" s="877">
        <f t="shared" ref="T300:AC300" si="523">SUM(T257,T263,T269,T275,T281,T287,T293,T299)</f>
        <v>0</v>
      </c>
      <c r="U300" s="877">
        <f t="shared" si="523"/>
        <v>0</v>
      </c>
      <c r="V300" s="877">
        <f t="shared" si="523"/>
        <v>0</v>
      </c>
      <c r="W300" s="877">
        <f t="shared" si="523"/>
        <v>0</v>
      </c>
      <c r="X300" s="877">
        <f t="shared" si="523"/>
        <v>0</v>
      </c>
      <c r="Y300" s="877">
        <f t="shared" si="523"/>
        <v>0</v>
      </c>
      <c r="Z300" s="877">
        <f t="shared" si="523"/>
        <v>0</v>
      </c>
      <c r="AA300" s="877">
        <f t="shared" si="523"/>
        <v>0</v>
      </c>
      <c r="AB300" s="877">
        <f t="shared" si="523"/>
        <v>0</v>
      </c>
      <c r="AC300" s="877">
        <f t="shared" si="523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24">SUM(AL257,AL263,AL269,AL275,AL281,AL287,AL293,AL299)</f>
        <v>0</v>
      </c>
      <c r="AM300" s="877">
        <f t="shared" si="524"/>
        <v>0</v>
      </c>
      <c r="AN300" s="877">
        <f t="shared" si="524"/>
        <v>0</v>
      </c>
      <c r="AO300" s="877">
        <f t="shared" si="524"/>
        <v>0</v>
      </c>
      <c r="AP300" s="877">
        <f t="shared" si="524"/>
        <v>0</v>
      </c>
      <c r="AQ300" s="877">
        <f t="shared" si="524"/>
        <v>0</v>
      </c>
      <c r="AR300" s="877">
        <f t="shared" si="524"/>
        <v>0</v>
      </c>
      <c r="AS300" s="877">
        <f t="shared" si="524"/>
        <v>0</v>
      </c>
      <c r="AT300" s="877">
        <f t="shared" si="524"/>
        <v>0</v>
      </c>
      <c r="AU300" s="877">
        <f t="shared" si="524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25">SUM(BD257,BD263,BD269,BD275,BD281,BD287,BD293,BD299)</f>
        <v>0</v>
      </c>
      <c r="BE300" s="877">
        <f t="shared" si="525"/>
        <v>0</v>
      </c>
      <c r="BF300" s="877">
        <f t="shared" si="525"/>
        <v>0</v>
      </c>
      <c r="BG300" s="877">
        <f t="shared" si="525"/>
        <v>0</v>
      </c>
      <c r="BH300" s="877">
        <f t="shared" si="525"/>
        <v>0</v>
      </c>
      <c r="BI300" s="877">
        <f t="shared" si="525"/>
        <v>0</v>
      </c>
      <c r="BJ300" s="877">
        <f t="shared" si="525"/>
        <v>0</v>
      </c>
      <c r="BK300" s="877">
        <f t="shared" si="525"/>
        <v>0</v>
      </c>
      <c r="BL300" s="877">
        <f t="shared" si="525"/>
        <v>0</v>
      </c>
      <c r="BM300" s="877">
        <f t="shared" si="525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491"/>
        <v>0</v>
      </c>
      <c r="CA300" s="864">
        <f t="shared" si="492"/>
        <v>0</v>
      </c>
      <c r="CB300" s="864">
        <f t="shared" si="493"/>
        <v>0</v>
      </c>
      <c r="CC300" s="865">
        <f t="shared" si="494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496"/>
        <v>0</v>
      </c>
      <c r="CF300" s="81">
        <f t="shared" si="496"/>
        <v>0</v>
      </c>
      <c r="CG300" s="81">
        <f t="shared" si="496"/>
        <v>0</v>
      </c>
      <c r="CH300" s="145">
        <f t="shared" si="496"/>
        <v>0</v>
      </c>
      <c r="CI300" s="145">
        <f t="shared" si="496"/>
        <v>0</v>
      </c>
      <c r="CJ300" s="145">
        <f t="shared" si="496"/>
        <v>0</v>
      </c>
      <c r="CK300" s="81">
        <f t="shared" si="496"/>
        <v>0</v>
      </c>
      <c r="CL300" s="81">
        <f t="shared" si="496"/>
        <v>0</v>
      </c>
      <c r="CM300" s="81">
        <f t="shared" si="496"/>
        <v>0</v>
      </c>
      <c r="CN300" s="81">
        <f t="shared" si="496"/>
        <v>0</v>
      </c>
      <c r="CO300" s="81" t="str">
        <f t="shared" si="496"/>
        <v/>
      </c>
      <c r="CP300" s="80" t="str">
        <f t="shared" si="496"/>
        <v/>
      </c>
      <c r="CQ300" s="509" t="str">
        <f t="shared" si="496"/>
        <v/>
      </c>
      <c r="CR300" s="533" t="str">
        <f t="shared" si="497"/>
        <v/>
      </c>
      <c r="CS300" s="534" t="str">
        <f t="shared" si="498"/>
        <v/>
      </c>
      <c r="CT300" s="535" t="str">
        <f t="shared" si="499"/>
        <v/>
      </c>
      <c r="CU300" s="535" t="str">
        <f t="shared" si="500"/>
        <v/>
      </c>
      <c r="CV300" s="535">
        <f t="shared" si="501"/>
        <v>0</v>
      </c>
      <c r="CW300" s="535">
        <f t="shared" si="502"/>
        <v>0</v>
      </c>
      <c r="CX300" s="535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5">
        <f t="shared" si="507"/>
        <v>0</v>
      </c>
      <c r="DC300" s="535">
        <f t="shared" si="508"/>
        <v>0</v>
      </c>
      <c r="DD300" s="535">
        <f t="shared" si="509"/>
        <v>0</v>
      </c>
      <c r="DE300" s="535">
        <f t="shared" si="510"/>
        <v>0</v>
      </c>
      <c r="DF300" s="535" t="str">
        <f t="shared" si="511"/>
        <v/>
      </c>
      <c r="DG300" s="534" t="str">
        <f t="shared" si="512"/>
        <v/>
      </c>
      <c r="DH300" s="533" t="str">
        <f t="shared" si="513"/>
        <v/>
      </c>
      <c r="DI300" s="866">
        <f t="shared" si="514"/>
        <v>17</v>
      </c>
      <c r="DJ300" s="822">
        <f t="shared" si="515"/>
        <v>10</v>
      </c>
      <c r="DK300" s="822">
        <f t="shared" si="516"/>
        <v>10</v>
      </c>
      <c r="DL300" s="823">
        <f t="shared" si="517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2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6"/>
        <v/>
      </c>
      <c r="CF304" s="81" t="str">
        <f t="shared" si="526"/>
        <v/>
      </c>
      <c r="CG304" s="81" t="str">
        <f t="shared" si="526"/>
        <v/>
      </c>
      <c r="CH304" s="145" t="str">
        <f t="shared" si="526"/>
        <v/>
      </c>
      <c r="CI304" s="145" t="str">
        <f t="shared" si="526"/>
        <v/>
      </c>
      <c r="CJ304" s="145" t="str">
        <f t="shared" si="526"/>
        <v/>
      </c>
      <c r="CK304" s="81" t="str">
        <f t="shared" si="526"/>
        <v/>
      </c>
      <c r="CL304" s="81" t="str">
        <f t="shared" si="526"/>
        <v/>
      </c>
      <c r="CM304" s="81" t="str">
        <f t="shared" si="526"/>
        <v/>
      </c>
      <c r="CN304" s="81" t="str">
        <f t="shared" si="526"/>
        <v/>
      </c>
      <c r="CO304" s="81" t="str">
        <f t="shared" si="526"/>
        <v/>
      </c>
      <c r="CP304" s="80" t="str">
        <f t="shared" si="526"/>
        <v/>
      </c>
      <c r="CQ304" s="509" t="str">
        <f t="shared" ref="CE304:CQ308" si="527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28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28"/>
        <v/>
      </c>
      <c r="CT304" s="535" t="str">
        <f t="shared" si="528"/>
        <v/>
      </c>
      <c r="CU304" s="535" t="str">
        <f t="shared" si="528"/>
        <v/>
      </c>
      <c r="CV304" s="535" t="str">
        <f t="shared" si="528"/>
        <v/>
      </c>
      <c r="CW304" s="535" t="str">
        <f t="shared" si="528"/>
        <v/>
      </c>
      <c r="CX304" s="535" t="str">
        <f t="shared" si="528"/>
        <v/>
      </c>
      <c r="CY304" s="536" t="str">
        <f t="shared" si="528"/>
        <v/>
      </c>
      <c r="CZ304" s="536" t="str">
        <f t="shared" si="528"/>
        <v/>
      </c>
      <c r="DA304" s="536" t="str">
        <f t="shared" si="528"/>
        <v/>
      </c>
      <c r="DB304" s="535" t="str">
        <f t="shared" ref="DB304:DH308" si="529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29"/>
        <v/>
      </c>
      <c r="DD304" s="535" t="str">
        <f t="shared" si="529"/>
        <v/>
      </c>
      <c r="DE304" s="535" t="str">
        <f t="shared" si="529"/>
        <v/>
      </c>
      <c r="DF304" s="535" t="str">
        <f t="shared" si="529"/>
        <v/>
      </c>
      <c r="DG304" s="534" t="str">
        <f t="shared" si="529"/>
        <v/>
      </c>
      <c r="DH304" s="533" t="str">
        <f t="shared" si="529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7"/>
        <v/>
      </c>
      <c r="CF305" s="81" t="str">
        <f t="shared" si="527"/>
        <v/>
      </c>
      <c r="CG305" s="81" t="str">
        <f t="shared" si="527"/>
        <v/>
      </c>
      <c r="CH305" s="145" t="str">
        <f t="shared" si="527"/>
        <v/>
      </c>
      <c r="CI305" s="145" t="str">
        <f t="shared" si="527"/>
        <v/>
      </c>
      <c r="CJ305" s="145" t="str">
        <f t="shared" si="527"/>
        <v/>
      </c>
      <c r="CK305" s="81" t="str">
        <f t="shared" si="527"/>
        <v/>
      </c>
      <c r="CL305" s="81" t="str">
        <f t="shared" si="527"/>
        <v/>
      </c>
      <c r="CM305" s="81" t="str">
        <f t="shared" si="527"/>
        <v/>
      </c>
      <c r="CN305" s="81" t="str">
        <f t="shared" si="527"/>
        <v/>
      </c>
      <c r="CO305" s="81" t="str">
        <f t="shared" si="527"/>
        <v/>
      </c>
      <c r="CP305" s="80" t="str">
        <f t="shared" si="527"/>
        <v/>
      </c>
      <c r="CQ305" s="509" t="str">
        <f t="shared" si="527"/>
        <v/>
      </c>
      <c r="CR305" s="533" t="str">
        <f t="shared" si="528"/>
        <v/>
      </c>
      <c r="CS305" s="534" t="str">
        <f t="shared" si="528"/>
        <v/>
      </c>
      <c r="CT305" s="535" t="str">
        <f t="shared" si="528"/>
        <v/>
      </c>
      <c r="CU305" s="535" t="str">
        <f t="shared" si="528"/>
        <v/>
      </c>
      <c r="CV305" s="535" t="str">
        <f t="shared" si="528"/>
        <v/>
      </c>
      <c r="CW305" s="535" t="str">
        <f t="shared" si="528"/>
        <v/>
      </c>
      <c r="CX305" s="535" t="str">
        <f t="shared" si="528"/>
        <v/>
      </c>
      <c r="CY305" s="536" t="str">
        <f t="shared" si="528"/>
        <v/>
      </c>
      <c r="CZ305" s="536" t="str">
        <f t="shared" si="528"/>
        <v/>
      </c>
      <c r="DA305" s="536" t="str">
        <f t="shared" si="528"/>
        <v/>
      </c>
      <c r="DB305" s="535" t="str">
        <f t="shared" si="529"/>
        <v/>
      </c>
      <c r="DC305" s="535" t="str">
        <f t="shared" si="529"/>
        <v/>
      </c>
      <c r="DD305" s="535" t="str">
        <f t="shared" si="529"/>
        <v/>
      </c>
      <c r="DE305" s="535" t="str">
        <f t="shared" si="529"/>
        <v/>
      </c>
      <c r="DF305" s="535" t="str">
        <f t="shared" si="529"/>
        <v/>
      </c>
      <c r="DG305" s="534" t="str">
        <f t="shared" si="529"/>
        <v/>
      </c>
      <c r="DH305" s="533" t="str">
        <f t="shared" si="529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7"/>
        <v/>
      </c>
      <c r="CF306" s="81" t="str">
        <f t="shared" si="527"/>
        <v/>
      </c>
      <c r="CG306" s="81" t="str">
        <f t="shared" si="527"/>
        <v/>
      </c>
      <c r="CH306" s="145" t="str">
        <f t="shared" si="527"/>
        <v/>
      </c>
      <c r="CI306" s="145" t="str">
        <f t="shared" si="527"/>
        <v/>
      </c>
      <c r="CJ306" s="145" t="str">
        <f t="shared" si="527"/>
        <v/>
      </c>
      <c r="CK306" s="81" t="str">
        <f t="shared" si="527"/>
        <v/>
      </c>
      <c r="CL306" s="81" t="str">
        <f t="shared" si="527"/>
        <v/>
      </c>
      <c r="CM306" s="81" t="str">
        <f t="shared" si="527"/>
        <v/>
      </c>
      <c r="CN306" s="81" t="str">
        <f t="shared" si="527"/>
        <v/>
      </c>
      <c r="CO306" s="81" t="str">
        <f t="shared" si="527"/>
        <v/>
      </c>
      <c r="CP306" s="80" t="str">
        <f t="shared" si="527"/>
        <v/>
      </c>
      <c r="CQ306" s="509" t="str">
        <f t="shared" si="527"/>
        <v/>
      </c>
      <c r="CR306" s="533" t="str">
        <f t="shared" si="528"/>
        <v/>
      </c>
      <c r="CS306" s="534" t="str">
        <f t="shared" si="528"/>
        <v/>
      </c>
      <c r="CT306" s="535" t="str">
        <f t="shared" si="528"/>
        <v/>
      </c>
      <c r="CU306" s="535" t="str">
        <f t="shared" si="528"/>
        <v/>
      </c>
      <c r="CV306" s="535" t="str">
        <f t="shared" si="528"/>
        <v/>
      </c>
      <c r="CW306" s="535" t="str">
        <f t="shared" si="528"/>
        <v/>
      </c>
      <c r="CX306" s="535" t="str">
        <f t="shared" si="528"/>
        <v/>
      </c>
      <c r="CY306" s="536" t="str">
        <f t="shared" si="528"/>
        <v/>
      </c>
      <c r="CZ306" s="536" t="str">
        <f t="shared" si="528"/>
        <v/>
      </c>
      <c r="DA306" s="536" t="str">
        <f t="shared" si="528"/>
        <v/>
      </c>
      <c r="DB306" s="535" t="str">
        <f t="shared" si="529"/>
        <v/>
      </c>
      <c r="DC306" s="535" t="str">
        <f t="shared" si="529"/>
        <v/>
      </c>
      <c r="DD306" s="535" t="str">
        <f t="shared" si="529"/>
        <v/>
      </c>
      <c r="DE306" s="535" t="str">
        <f t="shared" si="529"/>
        <v/>
      </c>
      <c r="DF306" s="535" t="str">
        <f t="shared" si="529"/>
        <v/>
      </c>
      <c r="DG306" s="534" t="str">
        <f t="shared" si="529"/>
        <v/>
      </c>
      <c r="DH306" s="533" t="str">
        <f t="shared" si="529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7"/>
        <v/>
      </c>
      <c r="CF307" s="81" t="str">
        <f t="shared" si="527"/>
        <v/>
      </c>
      <c r="CG307" s="81" t="str">
        <f t="shared" si="527"/>
        <v/>
      </c>
      <c r="CH307" s="145" t="str">
        <f t="shared" si="527"/>
        <v/>
      </c>
      <c r="CI307" s="145" t="str">
        <f t="shared" si="527"/>
        <v/>
      </c>
      <c r="CJ307" s="145" t="str">
        <f t="shared" si="527"/>
        <v/>
      </c>
      <c r="CK307" s="81" t="str">
        <f t="shared" si="527"/>
        <v/>
      </c>
      <c r="CL307" s="81" t="str">
        <f t="shared" si="527"/>
        <v/>
      </c>
      <c r="CM307" s="81" t="str">
        <f t="shared" si="527"/>
        <v/>
      </c>
      <c r="CN307" s="81" t="str">
        <f t="shared" si="527"/>
        <v/>
      </c>
      <c r="CO307" s="81" t="str">
        <f t="shared" si="527"/>
        <v/>
      </c>
      <c r="CP307" s="80" t="str">
        <f t="shared" si="527"/>
        <v/>
      </c>
      <c r="CQ307" s="509" t="str">
        <f t="shared" si="527"/>
        <v/>
      </c>
      <c r="CR307" s="533" t="str">
        <f t="shared" si="528"/>
        <v/>
      </c>
      <c r="CS307" s="534" t="str">
        <f t="shared" si="528"/>
        <v/>
      </c>
      <c r="CT307" s="535" t="str">
        <f t="shared" si="528"/>
        <v/>
      </c>
      <c r="CU307" s="535" t="str">
        <f t="shared" si="528"/>
        <v/>
      </c>
      <c r="CV307" s="535" t="str">
        <f t="shared" si="528"/>
        <v/>
      </c>
      <c r="CW307" s="535" t="str">
        <f t="shared" si="528"/>
        <v/>
      </c>
      <c r="CX307" s="535" t="str">
        <f t="shared" si="528"/>
        <v/>
      </c>
      <c r="CY307" s="536" t="str">
        <f t="shared" si="528"/>
        <v/>
      </c>
      <c r="CZ307" s="536" t="str">
        <f t="shared" si="528"/>
        <v/>
      </c>
      <c r="DA307" s="536" t="str">
        <f t="shared" si="528"/>
        <v/>
      </c>
      <c r="DB307" s="535" t="str">
        <f t="shared" si="529"/>
        <v/>
      </c>
      <c r="DC307" s="535" t="str">
        <f t="shared" si="529"/>
        <v/>
      </c>
      <c r="DD307" s="535" t="str">
        <f t="shared" si="529"/>
        <v/>
      </c>
      <c r="DE307" s="535" t="str">
        <f t="shared" si="529"/>
        <v/>
      </c>
      <c r="DF307" s="535" t="str">
        <f t="shared" si="529"/>
        <v/>
      </c>
      <c r="DG307" s="534" t="str">
        <f t="shared" si="529"/>
        <v/>
      </c>
      <c r="DH307" s="533" t="str">
        <f t="shared" si="529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30">IF(B305="","",B304*B305*B306*B307)</f>
        <v/>
      </c>
      <c r="C308" s="870" t="str">
        <f t="shared" si="530"/>
        <v/>
      </c>
      <c r="D308" s="870" t="str">
        <f t="shared" si="530"/>
        <v/>
      </c>
      <c r="E308" s="870" t="str">
        <f t="shared" si="530"/>
        <v/>
      </c>
      <c r="F308" s="870" t="str">
        <f t="shared" si="530"/>
        <v/>
      </c>
      <c r="G308" s="870" t="str">
        <f t="shared" si="530"/>
        <v/>
      </c>
      <c r="H308" s="870" t="str">
        <f t="shared" si="530"/>
        <v/>
      </c>
      <c r="I308" s="870" t="str">
        <f t="shared" si="530"/>
        <v/>
      </c>
      <c r="J308" s="870" t="str">
        <f t="shared" si="530"/>
        <v/>
      </c>
      <c r="K308" s="870" t="str">
        <f t="shared" si="530"/>
        <v/>
      </c>
      <c r="L308" s="870" t="str">
        <f t="shared" si="530"/>
        <v/>
      </c>
      <c r="M308" s="870" t="str">
        <f t="shared" si="530"/>
        <v/>
      </c>
      <c r="N308" s="870" t="str">
        <f t="shared" si="530"/>
        <v/>
      </c>
      <c r="O308" s="870" t="str">
        <f t="shared" si="530"/>
        <v/>
      </c>
      <c r="P308" s="870" t="str">
        <f t="shared" si="530"/>
        <v/>
      </c>
      <c r="Q308" s="870" t="str">
        <f t="shared" si="530"/>
        <v/>
      </c>
      <c r="R308" s="870" t="str">
        <f t="shared" si="530"/>
        <v/>
      </c>
      <c r="S308" s="858"/>
      <c r="T308" s="870" t="str">
        <f t="shared" ref="T308:AC308" si="531">IF(T305="","",T304*T305*T306*T307)</f>
        <v/>
      </c>
      <c r="U308" s="870" t="str">
        <f t="shared" si="531"/>
        <v/>
      </c>
      <c r="V308" s="870" t="str">
        <f t="shared" si="531"/>
        <v/>
      </c>
      <c r="W308" s="870" t="str">
        <f t="shared" si="531"/>
        <v/>
      </c>
      <c r="X308" s="870" t="str">
        <f t="shared" si="531"/>
        <v/>
      </c>
      <c r="Y308" s="870" t="str">
        <f t="shared" si="531"/>
        <v/>
      </c>
      <c r="Z308" s="870" t="str">
        <f t="shared" si="531"/>
        <v/>
      </c>
      <c r="AA308" s="870" t="str">
        <f t="shared" si="531"/>
        <v/>
      </c>
      <c r="AB308" s="870" t="str">
        <f t="shared" si="531"/>
        <v/>
      </c>
      <c r="AC308" s="870" t="str">
        <f t="shared" si="531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32">IF(AL305="","",AL304*AL305*AL306*AL307)</f>
        <v/>
      </c>
      <c r="AM308" s="870" t="str">
        <f t="shared" si="532"/>
        <v/>
      </c>
      <c r="AN308" s="870" t="str">
        <f t="shared" si="532"/>
        <v/>
      </c>
      <c r="AO308" s="870" t="str">
        <f t="shared" si="532"/>
        <v/>
      </c>
      <c r="AP308" s="870" t="str">
        <f t="shared" si="532"/>
        <v/>
      </c>
      <c r="AQ308" s="870" t="str">
        <f t="shared" si="532"/>
        <v/>
      </c>
      <c r="AR308" s="870" t="str">
        <f t="shared" si="532"/>
        <v/>
      </c>
      <c r="AS308" s="870" t="str">
        <f t="shared" si="532"/>
        <v/>
      </c>
      <c r="AT308" s="870" t="str">
        <f t="shared" si="532"/>
        <v/>
      </c>
      <c r="AU308" s="870" t="str">
        <f t="shared" si="532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33">IF(BD305="","",BD304*BD305*BD306*BD307)</f>
        <v/>
      </c>
      <c r="BE308" s="870" t="str">
        <f t="shared" si="533"/>
        <v/>
      </c>
      <c r="BF308" s="870" t="str">
        <f t="shared" si="533"/>
        <v/>
      </c>
      <c r="BG308" s="870" t="str">
        <f t="shared" si="533"/>
        <v/>
      </c>
      <c r="BH308" s="870" t="str">
        <f t="shared" si="533"/>
        <v/>
      </c>
      <c r="BI308" s="870" t="str">
        <f t="shared" si="533"/>
        <v/>
      </c>
      <c r="BJ308" s="870" t="str">
        <f t="shared" si="533"/>
        <v/>
      </c>
      <c r="BK308" s="870" t="str">
        <f t="shared" si="533"/>
        <v/>
      </c>
      <c r="BL308" s="870" t="str">
        <f t="shared" si="533"/>
        <v/>
      </c>
      <c r="BM308" s="870" t="str">
        <f t="shared" si="533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7"/>
        <v/>
      </c>
      <c r="CF308" s="81" t="str">
        <f t="shared" si="527"/>
        <v/>
      </c>
      <c r="CG308" s="81" t="str">
        <f t="shared" si="527"/>
        <v/>
      </c>
      <c r="CH308" s="145" t="str">
        <f t="shared" si="527"/>
        <v/>
      </c>
      <c r="CI308" s="145" t="str">
        <f t="shared" si="527"/>
        <v/>
      </c>
      <c r="CJ308" s="145" t="str">
        <f t="shared" si="527"/>
        <v/>
      </c>
      <c r="CK308" s="81" t="str">
        <f t="shared" si="527"/>
        <v/>
      </c>
      <c r="CL308" s="81" t="str">
        <f t="shared" si="527"/>
        <v/>
      </c>
      <c r="CM308" s="81" t="str">
        <f t="shared" si="527"/>
        <v/>
      </c>
      <c r="CN308" s="81" t="str">
        <f t="shared" si="527"/>
        <v/>
      </c>
      <c r="CO308" s="81" t="str">
        <f t="shared" si="527"/>
        <v/>
      </c>
      <c r="CP308" s="80" t="str">
        <f t="shared" si="527"/>
        <v/>
      </c>
      <c r="CQ308" s="509" t="str">
        <f t="shared" si="527"/>
        <v/>
      </c>
      <c r="CR308" s="533" t="str">
        <f t="shared" si="528"/>
        <v/>
      </c>
      <c r="CS308" s="534" t="str">
        <f t="shared" si="528"/>
        <v/>
      </c>
      <c r="CT308" s="535" t="str">
        <f t="shared" si="528"/>
        <v/>
      </c>
      <c r="CU308" s="535" t="str">
        <f t="shared" si="528"/>
        <v/>
      </c>
      <c r="CV308" s="535" t="str">
        <f t="shared" si="528"/>
        <v/>
      </c>
      <c r="CW308" s="535" t="str">
        <f t="shared" si="528"/>
        <v/>
      </c>
      <c r="CX308" s="535" t="str">
        <f t="shared" si="528"/>
        <v/>
      </c>
      <c r="CY308" s="536" t="str">
        <f t="shared" si="528"/>
        <v/>
      </c>
      <c r="CZ308" s="536" t="str">
        <f t="shared" si="528"/>
        <v/>
      </c>
      <c r="DA308" s="536" t="str">
        <f t="shared" si="528"/>
        <v/>
      </c>
      <c r="DB308" s="535" t="str">
        <f t="shared" si="529"/>
        <v/>
      </c>
      <c r="DC308" s="535" t="str">
        <f t="shared" si="529"/>
        <v/>
      </c>
      <c r="DD308" s="535" t="str">
        <f t="shared" si="529"/>
        <v/>
      </c>
      <c r="DE308" s="535" t="str">
        <f t="shared" si="529"/>
        <v/>
      </c>
      <c r="DF308" s="535" t="str">
        <f t="shared" si="529"/>
        <v/>
      </c>
      <c r="DG308" s="534" t="str">
        <f t="shared" si="529"/>
        <v/>
      </c>
      <c r="DH308" s="533" t="str">
        <f t="shared" si="529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3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4"/>
        <v/>
      </c>
      <c r="CF310" s="81" t="str">
        <f t="shared" si="534"/>
        <v/>
      </c>
      <c r="CG310" s="81" t="str">
        <f t="shared" si="534"/>
        <v/>
      </c>
      <c r="CH310" s="145" t="str">
        <f t="shared" si="534"/>
        <v/>
      </c>
      <c r="CI310" s="145" t="str">
        <f t="shared" si="534"/>
        <v/>
      </c>
      <c r="CJ310" s="145" t="str">
        <f t="shared" si="534"/>
        <v/>
      </c>
      <c r="CK310" s="81" t="str">
        <f t="shared" si="534"/>
        <v/>
      </c>
      <c r="CL310" s="81" t="str">
        <f t="shared" si="534"/>
        <v/>
      </c>
      <c r="CM310" s="81" t="str">
        <f t="shared" si="534"/>
        <v/>
      </c>
      <c r="CN310" s="81" t="str">
        <f t="shared" si="534"/>
        <v/>
      </c>
      <c r="CO310" s="81" t="str">
        <f t="shared" si="534"/>
        <v/>
      </c>
      <c r="CP310" s="80" t="str">
        <f t="shared" si="534"/>
        <v/>
      </c>
      <c r="CQ310" s="509" t="str">
        <f t="shared" ref="CE310:CQ314" si="535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36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36"/>
        <v/>
      </c>
      <c r="CT310" s="535" t="str">
        <f t="shared" si="536"/>
        <v/>
      </c>
      <c r="CU310" s="535" t="str">
        <f t="shared" si="536"/>
        <v/>
      </c>
      <c r="CV310" s="535" t="str">
        <f t="shared" si="536"/>
        <v/>
      </c>
      <c r="CW310" s="535" t="str">
        <f t="shared" si="536"/>
        <v/>
      </c>
      <c r="CX310" s="535" t="str">
        <f t="shared" si="536"/>
        <v/>
      </c>
      <c r="CY310" s="536" t="str">
        <f t="shared" si="536"/>
        <v/>
      </c>
      <c r="CZ310" s="536" t="str">
        <f t="shared" si="536"/>
        <v/>
      </c>
      <c r="DA310" s="536" t="str">
        <f t="shared" si="536"/>
        <v/>
      </c>
      <c r="DB310" s="535" t="str">
        <f t="shared" ref="DB310:DH314" si="537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37"/>
        <v/>
      </c>
      <c r="DD310" s="535" t="str">
        <f t="shared" si="537"/>
        <v/>
      </c>
      <c r="DE310" s="535" t="str">
        <f t="shared" si="537"/>
        <v/>
      </c>
      <c r="DF310" s="535" t="str">
        <f t="shared" si="537"/>
        <v/>
      </c>
      <c r="DG310" s="534" t="str">
        <f t="shared" si="537"/>
        <v/>
      </c>
      <c r="DH310" s="533" t="str">
        <f t="shared" si="537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5"/>
        <v/>
      </c>
      <c r="CF311" s="81" t="str">
        <f t="shared" si="535"/>
        <v/>
      </c>
      <c r="CG311" s="81" t="str">
        <f t="shared" si="535"/>
        <v/>
      </c>
      <c r="CH311" s="145" t="str">
        <f t="shared" si="535"/>
        <v/>
      </c>
      <c r="CI311" s="145" t="str">
        <f t="shared" si="535"/>
        <v/>
      </c>
      <c r="CJ311" s="145" t="str">
        <f t="shared" si="535"/>
        <v/>
      </c>
      <c r="CK311" s="81" t="str">
        <f t="shared" si="535"/>
        <v/>
      </c>
      <c r="CL311" s="81" t="str">
        <f t="shared" si="535"/>
        <v/>
      </c>
      <c r="CM311" s="81" t="str">
        <f t="shared" si="535"/>
        <v/>
      </c>
      <c r="CN311" s="81" t="str">
        <f t="shared" si="535"/>
        <v/>
      </c>
      <c r="CO311" s="81" t="str">
        <f t="shared" si="535"/>
        <v/>
      </c>
      <c r="CP311" s="80" t="str">
        <f t="shared" si="535"/>
        <v/>
      </c>
      <c r="CQ311" s="509" t="str">
        <f t="shared" si="535"/>
        <v/>
      </c>
      <c r="CR311" s="533" t="str">
        <f t="shared" si="536"/>
        <v/>
      </c>
      <c r="CS311" s="534" t="str">
        <f t="shared" si="536"/>
        <v/>
      </c>
      <c r="CT311" s="535" t="str">
        <f t="shared" si="536"/>
        <v/>
      </c>
      <c r="CU311" s="535" t="str">
        <f t="shared" si="536"/>
        <v/>
      </c>
      <c r="CV311" s="535" t="str">
        <f t="shared" si="536"/>
        <v/>
      </c>
      <c r="CW311" s="535" t="str">
        <f t="shared" si="536"/>
        <v/>
      </c>
      <c r="CX311" s="535" t="str">
        <f t="shared" si="536"/>
        <v/>
      </c>
      <c r="CY311" s="536" t="str">
        <f t="shared" si="536"/>
        <v/>
      </c>
      <c r="CZ311" s="536" t="str">
        <f t="shared" si="536"/>
        <v/>
      </c>
      <c r="DA311" s="536" t="str">
        <f t="shared" si="536"/>
        <v/>
      </c>
      <c r="DB311" s="535" t="str">
        <f t="shared" si="537"/>
        <v/>
      </c>
      <c r="DC311" s="535" t="str">
        <f t="shared" si="537"/>
        <v/>
      </c>
      <c r="DD311" s="535" t="str">
        <f t="shared" si="537"/>
        <v/>
      </c>
      <c r="DE311" s="535" t="str">
        <f t="shared" si="537"/>
        <v/>
      </c>
      <c r="DF311" s="535" t="str">
        <f t="shared" si="537"/>
        <v/>
      </c>
      <c r="DG311" s="534" t="str">
        <f t="shared" si="537"/>
        <v/>
      </c>
      <c r="DH311" s="533" t="str">
        <f t="shared" si="537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5"/>
        <v/>
      </c>
      <c r="CF312" s="81" t="str">
        <f t="shared" si="535"/>
        <v/>
      </c>
      <c r="CG312" s="81" t="str">
        <f t="shared" si="535"/>
        <v/>
      </c>
      <c r="CH312" s="145" t="str">
        <f t="shared" si="535"/>
        <v/>
      </c>
      <c r="CI312" s="145" t="str">
        <f t="shared" si="535"/>
        <v/>
      </c>
      <c r="CJ312" s="145" t="str">
        <f t="shared" si="535"/>
        <v/>
      </c>
      <c r="CK312" s="81" t="str">
        <f t="shared" si="535"/>
        <v/>
      </c>
      <c r="CL312" s="81" t="str">
        <f t="shared" si="535"/>
        <v/>
      </c>
      <c r="CM312" s="81" t="str">
        <f t="shared" si="535"/>
        <v/>
      </c>
      <c r="CN312" s="81" t="str">
        <f t="shared" si="535"/>
        <v/>
      </c>
      <c r="CO312" s="81" t="str">
        <f t="shared" si="535"/>
        <v/>
      </c>
      <c r="CP312" s="80" t="str">
        <f t="shared" si="535"/>
        <v/>
      </c>
      <c r="CQ312" s="509" t="str">
        <f t="shared" si="535"/>
        <v/>
      </c>
      <c r="CR312" s="533" t="str">
        <f t="shared" si="536"/>
        <v/>
      </c>
      <c r="CS312" s="534" t="str">
        <f t="shared" si="536"/>
        <v/>
      </c>
      <c r="CT312" s="535" t="str">
        <f t="shared" si="536"/>
        <v/>
      </c>
      <c r="CU312" s="535" t="str">
        <f t="shared" si="536"/>
        <v/>
      </c>
      <c r="CV312" s="535" t="str">
        <f t="shared" si="536"/>
        <v/>
      </c>
      <c r="CW312" s="535" t="str">
        <f t="shared" si="536"/>
        <v/>
      </c>
      <c r="CX312" s="535" t="str">
        <f t="shared" si="536"/>
        <v/>
      </c>
      <c r="CY312" s="536" t="str">
        <f t="shared" si="536"/>
        <v/>
      </c>
      <c r="CZ312" s="536" t="str">
        <f t="shared" si="536"/>
        <v/>
      </c>
      <c r="DA312" s="536" t="str">
        <f t="shared" si="536"/>
        <v/>
      </c>
      <c r="DB312" s="535" t="str">
        <f t="shared" si="537"/>
        <v/>
      </c>
      <c r="DC312" s="535" t="str">
        <f t="shared" si="537"/>
        <v/>
      </c>
      <c r="DD312" s="535" t="str">
        <f t="shared" si="537"/>
        <v/>
      </c>
      <c r="DE312" s="535" t="str">
        <f t="shared" si="537"/>
        <v/>
      </c>
      <c r="DF312" s="535" t="str">
        <f t="shared" si="537"/>
        <v/>
      </c>
      <c r="DG312" s="534" t="str">
        <f t="shared" si="537"/>
        <v/>
      </c>
      <c r="DH312" s="533" t="str">
        <f t="shared" si="537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5"/>
        <v/>
      </c>
      <c r="CF313" s="81" t="str">
        <f t="shared" si="535"/>
        <v/>
      </c>
      <c r="CG313" s="81" t="str">
        <f t="shared" si="535"/>
        <v/>
      </c>
      <c r="CH313" s="145" t="str">
        <f t="shared" si="535"/>
        <v/>
      </c>
      <c r="CI313" s="145" t="str">
        <f t="shared" si="535"/>
        <v/>
      </c>
      <c r="CJ313" s="145" t="str">
        <f t="shared" si="535"/>
        <v/>
      </c>
      <c r="CK313" s="81" t="str">
        <f t="shared" si="535"/>
        <v/>
      </c>
      <c r="CL313" s="81" t="str">
        <f t="shared" si="535"/>
        <v/>
      </c>
      <c r="CM313" s="81" t="str">
        <f t="shared" si="535"/>
        <v/>
      </c>
      <c r="CN313" s="81" t="str">
        <f t="shared" si="535"/>
        <v/>
      </c>
      <c r="CO313" s="81" t="str">
        <f t="shared" si="535"/>
        <v/>
      </c>
      <c r="CP313" s="80" t="str">
        <f t="shared" si="535"/>
        <v/>
      </c>
      <c r="CQ313" s="509" t="str">
        <f t="shared" si="535"/>
        <v/>
      </c>
      <c r="CR313" s="533" t="str">
        <f t="shared" si="536"/>
        <v/>
      </c>
      <c r="CS313" s="534" t="str">
        <f t="shared" si="536"/>
        <v/>
      </c>
      <c r="CT313" s="535" t="str">
        <f t="shared" si="536"/>
        <v/>
      </c>
      <c r="CU313" s="535" t="str">
        <f t="shared" si="536"/>
        <v/>
      </c>
      <c r="CV313" s="535" t="str">
        <f t="shared" si="536"/>
        <v/>
      </c>
      <c r="CW313" s="535" t="str">
        <f t="shared" si="536"/>
        <v/>
      </c>
      <c r="CX313" s="535" t="str">
        <f t="shared" si="536"/>
        <v/>
      </c>
      <c r="CY313" s="536" t="str">
        <f t="shared" si="536"/>
        <v/>
      </c>
      <c r="CZ313" s="536" t="str">
        <f t="shared" si="536"/>
        <v/>
      </c>
      <c r="DA313" s="536" t="str">
        <f t="shared" si="536"/>
        <v/>
      </c>
      <c r="DB313" s="535" t="str">
        <f t="shared" si="537"/>
        <v/>
      </c>
      <c r="DC313" s="535" t="str">
        <f t="shared" si="537"/>
        <v/>
      </c>
      <c r="DD313" s="535" t="str">
        <f t="shared" si="537"/>
        <v/>
      </c>
      <c r="DE313" s="535" t="str">
        <f t="shared" si="537"/>
        <v/>
      </c>
      <c r="DF313" s="535" t="str">
        <f t="shared" si="537"/>
        <v/>
      </c>
      <c r="DG313" s="534" t="str">
        <f t="shared" si="537"/>
        <v/>
      </c>
      <c r="DH313" s="533" t="str">
        <f t="shared" si="537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38">IF(B311="","",B310*B311*B312*B313)</f>
        <v/>
      </c>
      <c r="C314" s="870" t="str">
        <f t="shared" si="538"/>
        <v/>
      </c>
      <c r="D314" s="870" t="str">
        <f t="shared" si="538"/>
        <v/>
      </c>
      <c r="E314" s="870" t="str">
        <f t="shared" si="538"/>
        <v/>
      </c>
      <c r="F314" s="870" t="str">
        <f t="shared" si="538"/>
        <v/>
      </c>
      <c r="G314" s="870" t="str">
        <f t="shared" si="538"/>
        <v/>
      </c>
      <c r="H314" s="870" t="str">
        <f t="shared" si="538"/>
        <v/>
      </c>
      <c r="I314" s="870" t="str">
        <f t="shared" si="538"/>
        <v/>
      </c>
      <c r="J314" s="870" t="str">
        <f t="shared" si="538"/>
        <v/>
      </c>
      <c r="K314" s="870" t="str">
        <f t="shared" si="538"/>
        <v/>
      </c>
      <c r="L314" s="870" t="str">
        <f t="shared" si="538"/>
        <v/>
      </c>
      <c r="M314" s="870" t="str">
        <f t="shared" si="538"/>
        <v/>
      </c>
      <c r="N314" s="870" t="str">
        <f t="shared" si="538"/>
        <v/>
      </c>
      <c r="O314" s="870" t="str">
        <f t="shared" si="538"/>
        <v/>
      </c>
      <c r="P314" s="870" t="str">
        <f t="shared" si="538"/>
        <v/>
      </c>
      <c r="Q314" s="870" t="str">
        <f t="shared" si="538"/>
        <v/>
      </c>
      <c r="R314" s="870" t="str">
        <f t="shared" si="538"/>
        <v/>
      </c>
      <c r="S314" s="858"/>
      <c r="T314" s="870" t="str">
        <f t="shared" ref="T314:AC314" si="539">IF(T311="","",T310*T311*T312*T313)</f>
        <v/>
      </c>
      <c r="U314" s="870" t="str">
        <f t="shared" si="539"/>
        <v/>
      </c>
      <c r="V314" s="870" t="str">
        <f t="shared" si="539"/>
        <v/>
      </c>
      <c r="W314" s="870" t="str">
        <f t="shared" si="539"/>
        <v/>
      </c>
      <c r="X314" s="870" t="str">
        <f t="shared" si="539"/>
        <v/>
      </c>
      <c r="Y314" s="870" t="str">
        <f t="shared" si="539"/>
        <v/>
      </c>
      <c r="Z314" s="870" t="str">
        <f t="shared" si="539"/>
        <v/>
      </c>
      <c r="AA314" s="870" t="str">
        <f t="shared" si="539"/>
        <v/>
      </c>
      <c r="AB314" s="870" t="str">
        <f t="shared" si="539"/>
        <v/>
      </c>
      <c r="AC314" s="870" t="str">
        <f t="shared" si="539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40">IF(AL311="","",AL310*AL311*AL312*AL313)</f>
        <v/>
      </c>
      <c r="AM314" s="870" t="str">
        <f t="shared" si="540"/>
        <v/>
      </c>
      <c r="AN314" s="870" t="str">
        <f t="shared" si="540"/>
        <v/>
      </c>
      <c r="AO314" s="870" t="str">
        <f t="shared" si="540"/>
        <v/>
      </c>
      <c r="AP314" s="870" t="str">
        <f t="shared" si="540"/>
        <v/>
      </c>
      <c r="AQ314" s="870" t="str">
        <f t="shared" si="540"/>
        <v/>
      </c>
      <c r="AR314" s="870" t="str">
        <f t="shared" si="540"/>
        <v/>
      </c>
      <c r="AS314" s="870" t="str">
        <f t="shared" si="540"/>
        <v/>
      </c>
      <c r="AT314" s="870" t="str">
        <f t="shared" si="540"/>
        <v/>
      </c>
      <c r="AU314" s="870" t="str">
        <f t="shared" si="540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41">IF(BD311="","",BD310*BD311*BD312*BD313)</f>
        <v/>
      </c>
      <c r="BE314" s="870" t="str">
        <f t="shared" si="541"/>
        <v/>
      </c>
      <c r="BF314" s="870" t="str">
        <f t="shared" si="541"/>
        <v/>
      </c>
      <c r="BG314" s="870" t="str">
        <f t="shared" si="541"/>
        <v/>
      </c>
      <c r="BH314" s="870" t="str">
        <f t="shared" si="541"/>
        <v/>
      </c>
      <c r="BI314" s="870" t="str">
        <f t="shared" si="541"/>
        <v/>
      </c>
      <c r="BJ314" s="870" t="str">
        <f t="shared" si="541"/>
        <v/>
      </c>
      <c r="BK314" s="870" t="str">
        <f t="shared" si="541"/>
        <v/>
      </c>
      <c r="BL314" s="870" t="str">
        <f t="shared" si="541"/>
        <v/>
      </c>
      <c r="BM314" s="870" t="str">
        <f t="shared" si="541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5"/>
        <v/>
      </c>
      <c r="CF314" s="81" t="str">
        <f t="shared" si="535"/>
        <v/>
      </c>
      <c r="CG314" s="81" t="str">
        <f t="shared" si="535"/>
        <v/>
      </c>
      <c r="CH314" s="145" t="str">
        <f t="shared" si="535"/>
        <v/>
      </c>
      <c r="CI314" s="145" t="str">
        <f t="shared" si="535"/>
        <v/>
      </c>
      <c r="CJ314" s="145" t="str">
        <f t="shared" si="535"/>
        <v/>
      </c>
      <c r="CK314" s="81" t="str">
        <f t="shared" si="535"/>
        <v/>
      </c>
      <c r="CL314" s="81" t="str">
        <f t="shared" si="535"/>
        <v/>
      </c>
      <c r="CM314" s="81" t="str">
        <f t="shared" si="535"/>
        <v/>
      </c>
      <c r="CN314" s="81" t="str">
        <f t="shared" si="535"/>
        <v/>
      </c>
      <c r="CO314" s="81" t="str">
        <f t="shared" si="535"/>
        <v/>
      </c>
      <c r="CP314" s="80" t="str">
        <f t="shared" si="535"/>
        <v/>
      </c>
      <c r="CQ314" s="509" t="str">
        <f t="shared" si="535"/>
        <v/>
      </c>
      <c r="CR314" s="533" t="str">
        <f t="shared" si="536"/>
        <v/>
      </c>
      <c r="CS314" s="534" t="str">
        <f t="shared" si="536"/>
        <v/>
      </c>
      <c r="CT314" s="535" t="str">
        <f t="shared" si="536"/>
        <v/>
      </c>
      <c r="CU314" s="535" t="str">
        <f t="shared" si="536"/>
        <v/>
      </c>
      <c r="CV314" s="535" t="str">
        <f t="shared" si="536"/>
        <v/>
      </c>
      <c r="CW314" s="535" t="str">
        <f t="shared" si="536"/>
        <v/>
      </c>
      <c r="CX314" s="535" t="str">
        <f t="shared" si="536"/>
        <v/>
      </c>
      <c r="CY314" s="536" t="str">
        <f t="shared" si="536"/>
        <v/>
      </c>
      <c r="CZ314" s="536" t="str">
        <f t="shared" si="536"/>
        <v/>
      </c>
      <c r="DA314" s="536" t="str">
        <f t="shared" si="536"/>
        <v/>
      </c>
      <c r="DB314" s="535" t="str">
        <f t="shared" si="537"/>
        <v/>
      </c>
      <c r="DC314" s="535" t="str">
        <f t="shared" si="537"/>
        <v/>
      </c>
      <c r="DD314" s="535" t="str">
        <f t="shared" si="537"/>
        <v/>
      </c>
      <c r="DE314" s="535" t="str">
        <f t="shared" si="537"/>
        <v/>
      </c>
      <c r="DF314" s="535" t="str">
        <f t="shared" si="537"/>
        <v/>
      </c>
      <c r="DG314" s="534" t="str">
        <f t="shared" si="537"/>
        <v/>
      </c>
      <c r="DH314" s="533" t="str">
        <f t="shared" si="537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4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2"/>
        <v/>
      </c>
      <c r="CF316" s="81" t="str">
        <f t="shared" si="542"/>
        <v/>
      </c>
      <c r="CG316" s="81" t="str">
        <f t="shared" si="542"/>
        <v/>
      </c>
      <c r="CH316" s="145" t="str">
        <f t="shared" si="542"/>
        <v/>
      </c>
      <c r="CI316" s="145" t="str">
        <f t="shared" si="542"/>
        <v/>
      </c>
      <c r="CJ316" s="145" t="str">
        <f t="shared" si="542"/>
        <v/>
      </c>
      <c r="CK316" s="81" t="str">
        <f t="shared" si="542"/>
        <v/>
      </c>
      <c r="CL316" s="81" t="str">
        <f t="shared" si="542"/>
        <v/>
      </c>
      <c r="CM316" s="81" t="str">
        <f t="shared" si="542"/>
        <v/>
      </c>
      <c r="CN316" s="81" t="str">
        <f t="shared" si="542"/>
        <v/>
      </c>
      <c r="CO316" s="81" t="str">
        <f t="shared" si="542"/>
        <v/>
      </c>
      <c r="CP316" s="80" t="str">
        <f t="shared" si="542"/>
        <v/>
      </c>
      <c r="CQ316" s="509" t="str">
        <f t="shared" ref="CE316:CQ320" si="543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44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44"/>
        <v/>
      </c>
      <c r="CT316" s="535" t="str">
        <f t="shared" si="544"/>
        <v/>
      </c>
      <c r="CU316" s="535" t="str">
        <f t="shared" si="544"/>
        <v/>
      </c>
      <c r="CV316" s="535" t="str">
        <f t="shared" si="544"/>
        <v/>
      </c>
      <c r="CW316" s="535" t="str">
        <f t="shared" si="544"/>
        <v/>
      </c>
      <c r="CX316" s="535" t="str">
        <f t="shared" si="544"/>
        <v/>
      </c>
      <c r="CY316" s="536" t="str">
        <f t="shared" si="544"/>
        <v/>
      </c>
      <c r="CZ316" s="536" t="str">
        <f t="shared" si="544"/>
        <v/>
      </c>
      <c r="DA316" s="536" t="str">
        <f t="shared" si="544"/>
        <v/>
      </c>
      <c r="DB316" s="535" t="str">
        <f t="shared" ref="DB316:DH320" si="545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45"/>
        <v/>
      </c>
      <c r="DD316" s="535" t="str">
        <f t="shared" si="545"/>
        <v/>
      </c>
      <c r="DE316" s="535" t="str">
        <f t="shared" si="545"/>
        <v/>
      </c>
      <c r="DF316" s="535" t="str">
        <f t="shared" si="545"/>
        <v/>
      </c>
      <c r="DG316" s="534" t="str">
        <f t="shared" si="545"/>
        <v/>
      </c>
      <c r="DH316" s="533" t="str">
        <f t="shared" si="545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3"/>
        <v/>
      </c>
      <c r="CF317" s="81" t="str">
        <f t="shared" si="543"/>
        <v/>
      </c>
      <c r="CG317" s="81" t="str">
        <f t="shared" si="543"/>
        <v/>
      </c>
      <c r="CH317" s="145" t="str">
        <f t="shared" si="543"/>
        <v/>
      </c>
      <c r="CI317" s="145" t="str">
        <f t="shared" si="543"/>
        <v/>
      </c>
      <c r="CJ317" s="145" t="str">
        <f t="shared" si="543"/>
        <v/>
      </c>
      <c r="CK317" s="81" t="str">
        <f t="shared" si="543"/>
        <v/>
      </c>
      <c r="CL317" s="81" t="str">
        <f t="shared" si="543"/>
        <v/>
      </c>
      <c r="CM317" s="81" t="str">
        <f t="shared" si="543"/>
        <v/>
      </c>
      <c r="CN317" s="81" t="str">
        <f t="shared" si="543"/>
        <v/>
      </c>
      <c r="CO317" s="81" t="str">
        <f t="shared" si="543"/>
        <v/>
      </c>
      <c r="CP317" s="80" t="str">
        <f t="shared" si="543"/>
        <v/>
      </c>
      <c r="CQ317" s="509" t="str">
        <f t="shared" si="543"/>
        <v/>
      </c>
      <c r="CR317" s="533" t="str">
        <f t="shared" si="544"/>
        <v/>
      </c>
      <c r="CS317" s="534" t="str">
        <f t="shared" si="544"/>
        <v/>
      </c>
      <c r="CT317" s="535" t="str">
        <f t="shared" si="544"/>
        <v/>
      </c>
      <c r="CU317" s="535" t="str">
        <f t="shared" si="544"/>
        <v/>
      </c>
      <c r="CV317" s="535" t="str">
        <f t="shared" si="544"/>
        <v/>
      </c>
      <c r="CW317" s="535" t="str">
        <f t="shared" si="544"/>
        <v/>
      </c>
      <c r="CX317" s="535" t="str">
        <f t="shared" si="544"/>
        <v/>
      </c>
      <c r="CY317" s="536" t="str">
        <f t="shared" si="544"/>
        <v/>
      </c>
      <c r="CZ317" s="536" t="str">
        <f t="shared" si="544"/>
        <v/>
      </c>
      <c r="DA317" s="536" t="str">
        <f t="shared" si="544"/>
        <v/>
      </c>
      <c r="DB317" s="535" t="str">
        <f t="shared" si="545"/>
        <v/>
      </c>
      <c r="DC317" s="535" t="str">
        <f t="shared" si="545"/>
        <v/>
      </c>
      <c r="DD317" s="535" t="str">
        <f t="shared" si="545"/>
        <v/>
      </c>
      <c r="DE317" s="535" t="str">
        <f t="shared" si="545"/>
        <v/>
      </c>
      <c r="DF317" s="535" t="str">
        <f t="shared" si="545"/>
        <v/>
      </c>
      <c r="DG317" s="534" t="str">
        <f t="shared" si="545"/>
        <v/>
      </c>
      <c r="DH317" s="533" t="str">
        <f t="shared" si="545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3"/>
        <v/>
      </c>
      <c r="CF318" s="81" t="str">
        <f t="shared" si="543"/>
        <v/>
      </c>
      <c r="CG318" s="81" t="str">
        <f t="shared" si="543"/>
        <v/>
      </c>
      <c r="CH318" s="145" t="str">
        <f t="shared" si="543"/>
        <v/>
      </c>
      <c r="CI318" s="145" t="str">
        <f t="shared" si="543"/>
        <v/>
      </c>
      <c r="CJ318" s="145" t="str">
        <f t="shared" si="543"/>
        <v/>
      </c>
      <c r="CK318" s="81" t="str">
        <f t="shared" si="543"/>
        <v/>
      </c>
      <c r="CL318" s="81" t="str">
        <f t="shared" si="543"/>
        <v/>
      </c>
      <c r="CM318" s="81" t="str">
        <f t="shared" si="543"/>
        <v/>
      </c>
      <c r="CN318" s="81" t="str">
        <f t="shared" si="543"/>
        <v/>
      </c>
      <c r="CO318" s="81" t="str">
        <f t="shared" si="543"/>
        <v/>
      </c>
      <c r="CP318" s="80" t="str">
        <f t="shared" si="543"/>
        <v/>
      </c>
      <c r="CQ318" s="509" t="str">
        <f t="shared" si="543"/>
        <v/>
      </c>
      <c r="CR318" s="533" t="str">
        <f t="shared" si="544"/>
        <v/>
      </c>
      <c r="CS318" s="534" t="str">
        <f t="shared" si="544"/>
        <v/>
      </c>
      <c r="CT318" s="535" t="str">
        <f t="shared" si="544"/>
        <v/>
      </c>
      <c r="CU318" s="535" t="str">
        <f t="shared" si="544"/>
        <v/>
      </c>
      <c r="CV318" s="535" t="str">
        <f t="shared" si="544"/>
        <v/>
      </c>
      <c r="CW318" s="535" t="str">
        <f t="shared" si="544"/>
        <v/>
      </c>
      <c r="CX318" s="535" t="str">
        <f t="shared" si="544"/>
        <v/>
      </c>
      <c r="CY318" s="536" t="str">
        <f t="shared" si="544"/>
        <v/>
      </c>
      <c r="CZ318" s="536" t="str">
        <f t="shared" si="544"/>
        <v/>
      </c>
      <c r="DA318" s="536" t="str">
        <f t="shared" si="544"/>
        <v/>
      </c>
      <c r="DB318" s="535" t="str">
        <f t="shared" si="545"/>
        <v/>
      </c>
      <c r="DC318" s="535" t="str">
        <f t="shared" si="545"/>
        <v/>
      </c>
      <c r="DD318" s="535" t="str">
        <f t="shared" si="545"/>
        <v/>
      </c>
      <c r="DE318" s="535" t="str">
        <f t="shared" si="545"/>
        <v/>
      </c>
      <c r="DF318" s="535" t="str">
        <f t="shared" si="545"/>
        <v/>
      </c>
      <c r="DG318" s="534" t="str">
        <f t="shared" si="545"/>
        <v/>
      </c>
      <c r="DH318" s="533" t="str">
        <f t="shared" si="545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3"/>
        <v/>
      </c>
      <c r="CF319" s="81" t="str">
        <f t="shared" si="543"/>
        <v/>
      </c>
      <c r="CG319" s="81" t="str">
        <f t="shared" si="543"/>
        <v/>
      </c>
      <c r="CH319" s="145" t="str">
        <f t="shared" si="543"/>
        <v/>
      </c>
      <c r="CI319" s="145" t="str">
        <f t="shared" si="543"/>
        <v/>
      </c>
      <c r="CJ319" s="145" t="str">
        <f t="shared" si="543"/>
        <v/>
      </c>
      <c r="CK319" s="81" t="str">
        <f t="shared" si="543"/>
        <v/>
      </c>
      <c r="CL319" s="81" t="str">
        <f t="shared" si="543"/>
        <v/>
      </c>
      <c r="CM319" s="81" t="str">
        <f t="shared" si="543"/>
        <v/>
      </c>
      <c r="CN319" s="81" t="str">
        <f t="shared" si="543"/>
        <v/>
      </c>
      <c r="CO319" s="81" t="str">
        <f t="shared" si="543"/>
        <v/>
      </c>
      <c r="CP319" s="80" t="str">
        <f t="shared" si="543"/>
        <v/>
      </c>
      <c r="CQ319" s="509" t="str">
        <f t="shared" si="543"/>
        <v/>
      </c>
      <c r="CR319" s="533" t="str">
        <f t="shared" si="544"/>
        <v/>
      </c>
      <c r="CS319" s="534" t="str">
        <f t="shared" si="544"/>
        <v/>
      </c>
      <c r="CT319" s="535" t="str">
        <f t="shared" si="544"/>
        <v/>
      </c>
      <c r="CU319" s="535" t="str">
        <f t="shared" si="544"/>
        <v/>
      </c>
      <c r="CV319" s="535" t="str">
        <f t="shared" si="544"/>
        <v/>
      </c>
      <c r="CW319" s="535" t="str">
        <f t="shared" si="544"/>
        <v/>
      </c>
      <c r="CX319" s="535" t="str">
        <f t="shared" si="544"/>
        <v/>
      </c>
      <c r="CY319" s="536" t="str">
        <f t="shared" si="544"/>
        <v/>
      </c>
      <c r="CZ319" s="536" t="str">
        <f t="shared" si="544"/>
        <v/>
      </c>
      <c r="DA319" s="536" t="str">
        <f t="shared" si="544"/>
        <v/>
      </c>
      <c r="DB319" s="535" t="str">
        <f t="shared" si="545"/>
        <v/>
      </c>
      <c r="DC319" s="535" t="str">
        <f t="shared" si="545"/>
        <v/>
      </c>
      <c r="DD319" s="535" t="str">
        <f t="shared" si="545"/>
        <v/>
      </c>
      <c r="DE319" s="535" t="str">
        <f t="shared" si="545"/>
        <v/>
      </c>
      <c r="DF319" s="535" t="str">
        <f t="shared" si="545"/>
        <v/>
      </c>
      <c r="DG319" s="534" t="str">
        <f t="shared" si="545"/>
        <v/>
      </c>
      <c r="DH319" s="533" t="str">
        <f t="shared" si="545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46">IF(B317="","",B316*B317*B318*B319)</f>
        <v/>
      </c>
      <c r="C320" s="870" t="str">
        <f t="shared" si="546"/>
        <v/>
      </c>
      <c r="D320" s="870" t="str">
        <f t="shared" si="546"/>
        <v/>
      </c>
      <c r="E320" s="870" t="str">
        <f t="shared" si="546"/>
        <v/>
      </c>
      <c r="F320" s="870" t="str">
        <f t="shared" si="546"/>
        <v/>
      </c>
      <c r="G320" s="870" t="str">
        <f t="shared" si="546"/>
        <v/>
      </c>
      <c r="H320" s="870" t="str">
        <f t="shared" si="546"/>
        <v/>
      </c>
      <c r="I320" s="870" t="str">
        <f t="shared" si="546"/>
        <v/>
      </c>
      <c r="J320" s="870" t="str">
        <f t="shared" si="546"/>
        <v/>
      </c>
      <c r="K320" s="870" t="str">
        <f t="shared" si="546"/>
        <v/>
      </c>
      <c r="L320" s="870" t="str">
        <f t="shared" si="546"/>
        <v/>
      </c>
      <c r="M320" s="870" t="str">
        <f t="shared" si="546"/>
        <v/>
      </c>
      <c r="N320" s="870" t="str">
        <f t="shared" si="546"/>
        <v/>
      </c>
      <c r="O320" s="870" t="str">
        <f t="shared" si="546"/>
        <v/>
      </c>
      <c r="P320" s="870" t="str">
        <f t="shared" si="546"/>
        <v/>
      </c>
      <c r="Q320" s="870" t="str">
        <f t="shared" si="546"/>
        <v/>
      </c>
      <c r="R320" s="870" t="str">
        <f t="shared" si="546"/>
        <v/>
      </c>
      <c r="S320" s="858"/>
      <c r="T320" s="870" t="str">
        <f t="shared" ref="T320:AC320" si="547">IF(T317="","",T316*T317*T318*T319)</f>
        <v/>
      </c>
      <c r="U320" s="870" t="str">
        <f t="shared" si="547"/>
        <v/>
      </c>
      <c r="V320" s="870" t="str">
        <f t="shared" si="547"/>
        <v/>
      </c>
      <c r="W320" s="870" t="str">
        <f t="shared" si="547"/>
        <v/>
      </c>
      <c r="X320" s="870" t="str">
        <f t="shared" si="547"/>
        <v/>
      </c>
      <c r="Y320" s="870" t="str">
        <f t="shared" si="547"/>
        <v/>
      </c>
      <c r="Z320" s="870" t="str">
        <f t="shared" si="547"/>
        <v/>
      </c>
      <c r="AA320" s="870" t="str">
        <f t="shared" si="547"/>
        <v/>
      </c>
      <c r="AB320" s="870" t="str">
        <f t="shared" si="547"/>
        <v/>
      </c>
      <c r="AC320" s="870" t="str">
        <f t="shared" si="547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48">IF(AL317="","",AL316*AL317*AL318*AL319)</f>
        <v/>
      </c>
      <c r="AM320" s="870" t="str">
        <f t="shared" si="548"/>
        <v/>
      </c>
      <c r="AN320" s="870" t="str">
        <f t="shared" si="548"/>
        <v/>
      </c>
      <c r="AO320" s="870" t="str">
        <f t="shared" si="548"/>
        <v/>
      </c>
      <c r="AP320" s="870" t="str">
        <f t="shared" si="548"/>
        <v/>
      </c>
      <c r="AQ320" s="870" t="str">
        <f t="shared" si="548"/>
        <v/>
      </c>
      <c r="AR320" s="870" t="str">
        <f t="shared" si="548"/>
        <v/>
      </c>
      <c r="AS320" s="870" t="str">
        <f t="shared" si="548"/>
        <v/>
      </c>
      <c r="AT320" s="870" t="str">
        <f t="shared" si="548"/>
        <v/>
      </c>
      <c r="AU320" s="870" t="str">
        <f t="shared" si="548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49">IF(BD317="","",BD316*BD317*BD318*BD319)</f>
        <v/>
      </c>
      <c r="BE320" s="870" t="str">
        <f t="shared" si="549"/>
        <v/>
      </c>
      <c r="BF320" s="870" t="str">
        <f t="shared" si="549"/>
        <v/>
      </c>
      <c r="BG320" s="870" t="str">
        <f t="shared" si="549"/>
        <v/>
      </c>
      <c r="BH320" s="870" t="str">
        <f t="shared" si="549"/>
        <v/>
      </c>
      <c r="BI320" s="870" t="str">
        <f t="shared" si="549"/>
        <v/>
      </c>
      <c r="BJ320" s="870" t="str">
        <f t="shared" si="549"/>
        <v/>
      </c>
      <c r="BK320" s="870" t="str">
        <f t="shared" si="549"/>
        <v/>
      </c>
      <c r="BL320" s="870" t="str">
        <f t="shared" si="549"/>
        <v/>
      </c>
      <c r="BM320" s="870" t="str">
        <f t="shared" si="549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3"/>
        <v/>
      </c>
      <c r="CF320" s="81" t="str">
        <f t="shared" si="543"/>
        <v/>
      </c>
      <c r="CG320" s="81" t="str">
        <f t="shared" si="543"/>
        <v/>
      </c>
      <c r="CH320" s="145" t="str">
        <f t="shared" si="543"/>
        <v/>
      </c>
      <c r="CI320" s="145" t="str">
        <f t="shared" si="543"/>
        <v/>
      </c>
      <c r="CJ320" s="145" t="str">
        <f t="shared" si="543"/>
        <v/>
      </c>
      <c r="CK320" s="81" t="str">
        <f t="shared" si="543"/>
        <v/>
      </c>
      <c r="CL320" s="81" t="str">
        <f t="shared" si="543"/>
        <v/>
      </c>
      <c r="CM320" s="81" t="str">
        <f t="shared" si="543"/>
        <v/>
      </c>
      <c r="CN320" s="81" t="str">
        <f t="shared" si="543"/>
        <v/>
      </c>
      <c r="CO320" s="81" t="str">
        <f t="shared" si="543"/>
        <v/>
      </c>
      <c r="CP320" s="80" t="str">
        <f t="shared" si="543"/>
        <v/>
      </c>
      <c r="CQ320" s="509" t="str">
        <f t="shared" si="543"/>
        <v/>
      </c>
      <c r="CR320" s="533" t="str">
        <f t="shared" si="544"/>
        <v/>
      </c>
      <c r="CS320" s="534" t="str">
        <f t="shared" si="544"/>
        <v/>
      </c>
      <c r="CT320" s="535" t="str">
        <f t="shared" si="544"/>
        <v/>
      </c>
      <c r="CU320" s="535" t="str">
        <f t="shared" si="544"/>
        <v/>
      </c>
      <c r="CV320" s="535" t="str">
        <f t="shared" si="544"/>
        <v/>
      </c>
      <c r="CW320" s="535" t="str">
        <f t="shared" si="544"/>
        <v/>
      </c>
      <c r="CX320" s="535" t="str">
        <f t="shared" si="544"/>
        <v/>
      </c>
      <c r="CY320" s="536" t="str">
        <f t="shared" si="544"/>
        <v/>
      </c>
      <c r="CZ320" s="536" t="str">
        <f t="shared" si="544"/>
        <v/>
      </c>
      <c r="DA320" s="536" t="str">
        <f t="shared" si="544"/>
        <v/>
      </c>
      <c r="DB320" s="535" t="str">
        <f t="shared" si="545"/>
        <v/>
      </c>
      <c r="DC320" s="535" t="str">
        <f t="shared" si="545"/>
        <v/>
      </c>
      <c r="DD320" s="535" t="str">
        <f t="shared" si="545"/>
        <v/>
      </c>
      <c r="DE320" s="535" t="str">
        <f t="shared" si="545"/>
        <v/>
      </c>
      <c r="DF320" s="535" t="str">
        <f t="shared" si="545"/>
        <v/>
      </c>
      <c r="DG320" s="534" t="str">
        <f t="shared" si="545"/>
        <v/>
      </c>
      <c r="DH320" s="533" t="str">
        <f t="shared" si="545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50">IF(DI322&lt;3,"",(SUM(B322:R322)-MIN(B322:R322)-MAX(B322:R322))/(DI322-2))</f>
        <v/>
      </c>
      <c r="CA322" s="864" t="str">
        <f t="shared" ref="CA322:CA327" si="551">IF(DJ322&lt;3,"",(SUM(T322:AJ322)-MIN(T322:AJ322)-MAX(T322:AJ322))/(DJ322-2))</f>
        <v/>
      </c>
      <c r="CB322" s="864" t="str">
        <f t="shared" ref="CB322:CB327" si="552">IF(DK322&lt;3,"",(SUM(AL322:BB322)-MIN(AL322:BB322)-MAX(AL322:BB322))/(DK322-2))</f>
        <v/>
      </c>
      <c r="CC322" s="865" t="str">
        <f t="shared" ref="CC322:CC327" si="553">IF(DL322&lt;3,"",(SUM(BD322:BT322)-MIN(BD322:BT322)-MAX(BD322:BT322))/(DL322-2))</f>
        <v/>
      </c>
      <c r="CD322" s="508" t="str">
        <f t="shared" ref="CD322:CP322" si="55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4"/>
        <v/>
      </c>
      <c r="CF322" s="81" t="str">
        <f t="shared" si="554"/>
        <v/>
      </c>
      <c r="CG322" s="81" t="str">
        <f t="shared" si="554"/>
        <v/>
      </c>
      <c r="CH322" s="145" t="str">
        <f t="shared" si="554"/>
        <v/>
      </c>
      <c r="CI322" s="145" t="str">
        <f t="shared" si="554"/>
        <v/>
      </c>
      <c r="CJ322" s="145" t="str">
        <f t="shared" si="554"/>
        <v/>
      </c>
      <c r="CK322" s="81" t="str">
        <f t="shared" si="554"/>
        <v/>
      </c>
      <c r="CL322" s="81" t="str">
        <f t="shared" si="554"/>
        <v/>
      </c>
      <c r="CM322" s="81" t="str">
        <f t="shared" si="554"/>
        <v/>
      </c>
      <c r="CN322" s="81" t="str">
        <f t="shared" si="554"/>
        <v/>
      </c>
      <c r="CO322" s="81" t="str">
        <f t="shared" si="554"/>
        <v/>
      </c>
      <c r="CP322" s="80" t="str">
        <f t="shared" si="554"/>
        <v/>
      </c>
      <c r="CQ322" s="509" t="str">
        <f t="shared" ref="CE322:CQ327" si="555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56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57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58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573">COUNT(B322:R322)</f>
        <v>0</v>
      </c>
      <c r="DJ322" s="822">
        <f t="shared" ref="DJ322:DJ327" si="574">COUNT(T322:AJ322)</f>
        <v>0</v>
      </c>
      <c r="DK322" s="822">
        <f t="shared" ref="DK322:DK327" si="575">COUNT(AL322:BB322)</f>
        <v>0</v>
      </c>
      <c r="DL322" s="823">
        <f t="shared" ref="DL322:DL327" si="576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50"/>
        <v/>
      </c>
      <c r="CA323" s="864" t="str">
        <f t="shared" si="551"/>
        <v/>
      </c>
      <c r="CB323" s="864" t="str">
        <f t="shared" si="552"/>
        <v/>
      </c>
      <c r="CC323" s="865" t="str">
        <f t="shared" si="553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5"/>
        <v/>
      </c>
      <c r="CF323" s="81" t="str">
        <f t="shared" si="555"/>
        <v/>
      </c>
      <c r="CG323" s="81" t="str">
        <f t="shared" si="555"/>
        <v/>
      </c>
      <c r="CH323" s="145" t="str">
        <f t="shared" si="555"/>
        <v/>
      </c>
      <c r="CI323" s="145" t="str">
        <f t="shared" si="555"/>
        <v/>
      </c>
      <c r="CJ323" s="145" t="str">
        <f t="shared" si="555"/>
        <v/>
      </c>
      <c r="CK323" s="81" t="str">
        <f t="shared" si="555"/>
        <v/>
      </c>
      <c r="CL323" s="81" t="str">
        <f t="shared" si="555"/>
        <v/>
      </c>
      <c r="CM323" s="81" t="str">
        <f t="shared" si="555"/>
        <v/>
      </c>
      <c r="CN323" s="81" t="str">
        <f t="shared" si="555"/>
        <v/>
      </c>
      <c r="CO323" s="81" t="str">
        <f t="shared" si="555"/>
        <v/>
      </c>
      <c r="CP323" s="80" t="str">
        <f t="shared" si="555"/>
        <v/>
      </c>
      <c r="CQ323" s="509" t="str">
        <f t="shared" si="555"/>
        <v/>
      </c>
      <c r="CR323" s="533" t="str">
        <f t="shared" si="556"/>
        <v/>
      </c>
      <c r="CS323" s="534" t="str">
        <f t="shared" si="557"/>
        <v/>
      </c>
      <c r="CT323" s="535" t="str">
        <f t="shared" si="558"/>
        <v/>
      </c>
      <c r="CU323" s="535" t="str">
        <f t="shared" si="559"/>
        <v/>
      </c>
      <c r="CV323" s="535" t="str">
        <f t="shared" si="560"/>
        <v/>
      </c>
      <c r="CW323" s="535" t="str">
        <f t="shared" si="561"/>
        <v/>
      </c>
      <c r="CX323" s="535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5" t="str">
        <f t="shared" si="566"/>
        <v/>
      </c>
      <c r="DC323" s="535" t="str">
        <f t="shared" si="567"/>
        <v/>
      </c>
      <c r="DD323" s="535" t="str">
        <f t="shared" si="568"/>
        <v/>
      </c>
      <c r="DE323" s="535" t="str">
        <f t="shared" si="569"/>
        <v/>
      </c>
      <c r="DF323" s="535" t="str">
        <f t="shared" si="570"/>
        <v/>
      </c>
      <c r="DG323" s="534" t="str">
        <f t="shared" si="571"/>
        <v/>
      </c>
      <c r="DH323" s="533" t="str">
        <f t="shared" si="572"/>
        <v/>
      </c>
      <c r="DI323" s="866">
        <f t="shared" si="573"/>
        <v>0</v>
      </c>
      <c r="DJ323" s="822">
        <f t="shared" si="574"/>
        <v>0</v>
      </c>
      <c r="DK323" s="822">
        <f t="shared" si="575"/>
        <v>0</v>
      </c>
      <c r="DL323" s="823">
        <f t="shared" si="576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50"/>
        <v/>
      </c>
      <c r="CA324" s="864" t="str">
        <f t="shared" si="551"/>
        <v/>
      </c>
      <c r="CB324" s="864" t="str">
        <f t="shared" si="552"/>
        <v/>
      </c>
      <c r="CC324" s="865" t="str">
        <f t="shared" si="553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5"/>
        <v/>
      </c>
      <c r="CF324" s="81" t="str">
        <f t="shared" si="555"/>
        <v/>
      </c>
      <c r="CG324" s="81" t="str">
        <f t="shared" si="555"/>
        <v/>
      </c>
      <c r="CH324" s="145" t="str">
        <f t="shared" si="555"/>
        <v/>
      </c>
      <c r="CI324" s="145" t="str">
        <f t="shared" si="555"/>
        <v/>
      </c>
      <c r="CJ324" s="145" t="str">
        <f t="shared" si="555"/>
        <v/>
      </c>
      <c r="CK324" s="81" t="str">
        <f t="shared" si="555"/>
        <v/>
      </c>
      <c r="CL324" s="81" t="str">
        <f t="shared" si="555"/>
        <v/>
      </c>
      <c r="CM324" s="81" t="str">
        <f t="shared" si="555"/>
        <v/>
      </c>
      <c r="CN324" s="81" t="str">
        <f t="shared" si="555"/>
        <v/>
      </c>
      <c r="CO324" s="81" t="str">
        <f t="shared" si="555"/>
        <v/>
      </c>
      <c r="CP324" s="80" t="str">
        <f t="shared" si="555"/>
        <v/>
      </c>
      <c r="CQ324" s="509" t="str">
        <f t="shared" si="555"/>
        <v/>
      </c>
      <c r="CR324" s="533" t="str">
        <f t="shared" si="556"/>
        <v/>
      </c>
      <c r="CS324" s="534" t="str">
        <f t="shared" si="557"/>
        <v/>
      </c>
      <c r="CT324" s="535" t="str">
        <f t="shared" si="558"/>
        <v/>
      </c>
      <c r="CU324" s="535" t="str">
        <f t="shared" si="559"/>
        <v/>
      </c>
      <c r="CV324" s="535" t="str">
        <f t="shared" si="560"/>
        <v/>
      </c>
      <c r="CW324" s="535" t="str">
        <f t="shared" si="561"/>
        <v/>
      </c>
      <c r="CX324" s="535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5" t="str">
        <f t="shared" si="566"/>
        <v/>
      </c>
      <c r="DC324" s="535" t="str">
        <f t="shared" si="567"/>
        <v/>
      </c>
      <c r="DD324" s="535" t="str">
        <f t="shared" si="568"/>
        <v/>
      </c>
      <c r="DE324" s="535" t="str">
        <f t="shared" si="569"/>
        <v/>
      </c>
      <c r="DF324" s="535" t="str">
        <f t="shared" si="570"/>
        <v/>
      </c>
      <c r="DG324" s="534" t="str">
        <f t="shared" si="571"/>
        <v/>
      </c>
      <c r="DH324" s="533" t="str">
        <f t="shared" si="572"/>
        <v/>
      </c>
      <c r="DI324" s="866">
        <f t="shared" si="573"/>
        <v>0</v>
      </c>
      <c r="DJ324" s="822">
        <f t="shared" si="574"/>
        <v>0</v>
      </c>
      <c r="DK324" s="822">
        <f t="shared" si="575"/>
        <v>0</v>
      </c>
      <c r="DL324" s="823">
        <f t="shared" si="576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50"/>
        <v/>
      </c>
      <c r="CA325" s="864" t="str">
        <f t="shared" si="551"/>
        <v/>
      </c>
      <c r="CB325" s="864" t="str">
        <f t="shared" si="552"/>
        <v/>
      </c>
      <c r="CC325" s="865" t="str">
        <f t="shared" si="553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5"/>
        <v/>
      </c>
      <c r="CF325" s="81" t="str">
        <f t="shared" si="555"/>
        <v/>
      </c>
      <c r="CG325" s="81" t="str">
        <f t="shared" si="555"/>
        <v/>
      </c>
      <c r="CH325" s="145" t="str">
        <f t="shared" si="555"/>
        <v/>
      </c>
      <c r="CI325" s="145" t="str">
        <f t="shared" si="555"/>
        <v/>
      </c>
      <c r="CJ325" s="145" t="str">
        <f t="shared" si="555"/>
        <v/>
      </c>
      <c r="CK325" s="81" t="str">
        <f t="shared" si="555"/>
        <v/>
      </c>
      <c r="CL325" s="81" t="str">
        <f t="shared" si="555"/>
        <v/>
      </c>
      <c r="CM325" s="81" t="str">
        <f t="shared" si="555"/>
        <v/>
      </c>
      <c r="CN325" s="81" t="str">
        <f t="shared" si="555"/>
        <v/>
      </c>
      <c r="CO325" s="81" t="str">
        <f t="shared" si="555"/>
        <v/>
      </c>
      <c r="CP325" s="80" t="str">
        <f t="shared" si="555"/>
        <v/>
      </c>
      <c r="CQ325" s="509" t="str">
        <f t="shared" si="555"/>
        <v/>
      </c>
      <c r="CR325" s="533" t="str">
        <f t="shared" si="556"/>
        <v/>
      </c>
      <c r="CS325" s="534" t="str">
        <f t="shared" si="557"/>
        <v/>
      </c>
      <c r="CT325" s="535" t="str">
        <f t="shared" si="558"/>
        <v/>
      </c>
      <c r="CU325" s="535" t="str">
        <f t="shared" si="559"/>
        <v/>
      </c>
      <c r="CV325" s="535" t="str">
        <f t="shared" si="560"/>
        <v/>
      </c>
      <c r="CW325" s="535" t="str">
        <f t="shared" si="561"/>
        <v/>
      </c>
      <c r="CX325" s="535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5" t="str">
        <f t="shared" si="566"/>
        <v/>
      </c>
      <c r="DC325" s="535" t="str">
        <f t="shared" si="567"/>
        <v/>
      </c>
      <c r="DD325" s="535" t="str">
        <f t="shared" si="568"/>
        <v/>
      </c>
      <c r="DE325" s="535" t="str">
        <f t="shared" si="569"/>
        <v/>
      </c>
      <c r="DF325" s="535" t="str">
        <f t="shared" si="570"/>
        <v/>
      </c>
      <c r="DG325" s="534" t="str">
        <f t="shared" si="571"/>
        <v/>
      </c>
      <c r="DH325" s="533" t="str">
        <f t="shared" si="572"/>
        <v/>
      </c>
      <c r="DI325" s="866">
        <f t="shared" si="573"/>
        <v>0</v>
      </c>
      <c r="DJ325" s="822">
        <f t="shared" si="574"/>
        <v>0</v>
      </c>
      <c r="DK325" s="822">
        <f t="shared" si="575"/>
        <v>0</v>
      </c>
      <c r="DL325" s="823">
        <f t="shared" si="576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577">IF(B323="","",B322*B323*B324*B325)</f>
        <v/>
      </c>
      <c r="C326" s="870" t="str">
        <f t="shared" si="577"/>
        <v/>
      </c>
      <c r="D326" s="870" t="str">
        <f t="shared" si="577"/>
        <v/>
      </c>
      <c r="E326" s="870" t="str">
        <f t="shared" si="577"/>
        <v/>
      </c>
      <c r="F326" s="870" t="str">
        <f t="shared" si="577"/>
        <v/>
      </c>
      <c r="G326" s="870" t="str">
        <f t="shared" si="577"/>
        <v/>
      </c>
      <c r="H326" s="870" t="str">
        <f t="shared" si="577"/>
        <v/>
      </c>
      <c r="I326" s="870" t="str">
        <f t="shared" si="577"/>
        <v/>
      </c>
      <c r="J326" s="870" t="str">
        <f t="shared" si="577"/>
        <v/>
      </c>
      <c r="K326" s="870" t="str">
        <f t="shared" si="577"/>
        <v/>
      </c>
      <c r="L326" s="870" t="str">
        <f t="shared" si="577"/>
        <v/>
      </c>
      <c r="M326" s="870" t="str">
        <f t="shared" si="577"/>
        <v/>
      </c>
      <c r="N326" s="870" t="str">
        <f t="shared" si="577"/>
        <v/>
      </c>
      <c r="O326" s="870" t="str">
        <f t="shared" si="577"/>
        <v/>
      </c>
      <c r="P326" s="870" t="str">
        <f t="shared" si="577"/>
        <v/>
      </c>
      <c r="Q326" s="870" t="str">
        <f t="shared" si="577"/>
        <v/>
      </c>
      <c r="R326" s="870" t="str">
        <f t="shared" si="577"/>
        <v/>
      </c>
      <c r="S326" s="858"/>
      <c r="T326" s="870" t="str">
        <f t="shared" ref="T326:AC326" si="578">IF(T323="","",T322*T323*T324*T325)</f>
        <v/>
      </c>
      <c r="U326" s="870" t="str">
        <f t="shared" si="578"/>
        <v/>
      </c>
      <c r="V326" s="870" t="str">
        <f t="shared" si="578"/>
        <v/>
      </c>
      <c r="W326" s="870" t="str">
        <f t="shared" si="578"/>
        <v/>
      </c>
      <c r="X326" s="870" t="str">
        <f t="shared" si="578"/>
        <v/>
      </c>
      <c r="Y326" s="870" t="str">
        <f t="shared" si="578"/>
        <v/>
      </c>
      <c r="Z326" s="870" t="str">
        <f t="shared" si="578"/>
        <v/>
      </c>
      <c r="AA326" s="870" t="str">
        <f t="shared" si="578"/>
        <v/>
      </c>
      <c r="AB326" s="870" t="str">
        <f t="shared" si="578"/>
        <v/>
      </c>
      <c r="AC326" s="870" t="str">
        <f t="shared" si="578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579">IF(AL323="","",AL322*AL323*AL324*AL325)</f>
        <v/>
      </c>
      <c r="AM326" s="870" t="str">
        <f t="shared" si="579"/>
        <v/>
      </c>
      <c r="AN326" s="870" t="str">
        <f t="shared" si="579"/>
        <v/>
      </c>
      <c r="AO326" s="870" t="str">
        <f t="shared" si="579"/>
        <v/>
      </c>
      <c r="AP326" s="870" t="str">
        <f t="shared" si="579"/>
        <v/>
      </c>
      <c r="AQ326" s="870" t="str">
        <f t="shared" si="579"/>
        <v/>
      </c>
      <c r="AR326" s="870" t="str">
        <f t="shared" si="579"/>
        <v/>
      </c>
      <c r="AS326" s="870" t="str">
        <f t="shared" si="579"/>
        <v/>
      </c>
      <c r="AT326" s="870" t="str">
        <f t="shared" si="579"/>
        <v/>
      </c>
      <c r="AU326" s="870" t="str">
        <f t="shared" si="579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580">IF(BD323="","",BD322*BD323*BD324*BD325)</f>
        <v/>
      </c>
      <c r="BE326" s="870" t="str">
        <f t="shared" si="580"/>
        <v/>
      </c>
      <c r="BF326" s="870" t="str">
        <f t="shared" si="580"/>
        <v/>
      </c>
      <c r="BG326" s="870" t="str">
        <f t="shared" si="580"/>
        <v/>
      </c>
      <c r="BH326" s="870" t="str">
        <f t="shared" si="580"/>
        <v/>
      </c>
      <c r="BI326" s="870" t="str">
        <f t="shared" si="580"/>
        <v/>
      </c>
      <c r="BJ326" s="870" t="str">
        <f t="shared" si="580"/>
        <v/>
      </c>
      <c r="BK326" s="870" t="str">
        <f t="shared" si="580"/>
        <v/>
      </c>
      <c r="BL326" s="870" t="str">
        <f t="shared" si="580"/>
        <v/>
      </c>
      <c r="BM326" s="870" t="str">
        <f t="shared" si="580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50"/>
        <v/>
      </c>
      <c r="CA326" s="864" t="str">
        <f t="shared" si="551"/>
        <v/>
      </c>
      <c r="CB326" s="864" t="str">
        <f t="shared" si="552"/>
        <v/>
      </c>
      <c r="CC326" s="865" t="str">
        <f t="shared" si="553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5"/>
        <v/>
      </c>
      <c r="CF326" s="81" t="str">
        <f t="shared" si="555"/>
        <v/>
      </c>
      <c r="CG326" s="81" t="str">
        <f t="shared" si="555"/>
        <v/>
      </c>
      <c r="CH326" s="145" t="str">
        <f t="shared" si="555"/>
        <v/>
      </c>
      <c r="CI326" s="145" t="str">
        <f t="shared" si="555"/>
        <v/>
      </c>
      <c r="CJ326" s="145" t="str">
        <f t="shared" si="555"/>
        <v/>
      </c>
      <c r="CK326" s="81" t="str">
        <f t="shared" si="555"/>
        <v/>
      </c>
      <c r="CL326" s="81" t="str">
        <f t="shared" si="555"/>
        <v/>
      </c>
      <c r="CM326" s="81" t="str">
        <f t="shared" si="555"/>
        <v/>
      </c>
      <c r="CN326" s="81" t="str">
        <f t="shared" si="555"/>
        <v/>
      </c>
      <c r="CO326" s="81" t="str">
        <f t="shared" si="555"/>
        <v/>
      </c>
      <c r="CP326" s="80" t="str">
        <f t="shared" si="555"/>
        <v/>
      </c>
      <c r="CQ326" s="509" t="str">
        <f t="shared" si="555"/>
        <v/>
      </c>
      <c r="CR326" s="533" t="str">
        <f t="shared" si="556"/>
        <v/>
      </c>
      <c r="CS326" s="534" t="str">
        <f t="shared" si="557"/>
        <v/>
      </c>
      <c r="CT326" s="535" t="str">
        <f t="shared" si="558"/>
        <v/>
      </c>
      <c r="CU326" s="535" t="str">
        <f t="shared" si="559"/>
        <v/>
      </c>
      <c r="CV326" s="535" t="str">
        <f t="shared" si="560"/>
        <v/>
      </c>
      <c r="CW326" s="535" t="str">
        <f t="shared" si="561"/>
        <v/>
      </c>
      <c r="CX326" s="535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5" t="str">
        <f t="shared" si="566"/>
        <v/>
      </c>
      <c r="DC326" s="535" t="str">
        <f t="shared" si="567"/>
        <v/>
      </c>
      <c r="DD326" s="535" t="str">
        <f t="shared" si="568"/>
        <v/>
      </c>
      <c r="DE326" s="535" t="str">
        <f t="shared" si="569"/>
        <v/>
      </c>
      <c r="DF326" s="535" t="str">
        <f t="shared" si="570"/>
        <v/>
      </c>
      <c r="DG326" s="534" t="str">
        <f t="shared" si="571"/>
        <v/>
      </c>
      <c r="DH326" s="533" t="str">
        <f t="shared" si="572"/>
        <v/>
      </c>
      <c r="DI326" s="866">
        <f t="shared" si="573"/>
        <v>0</v>
      </c>
      <c r="DJ326" s="822">
        <f t="shared" si="574"/>
        <v>0</v>
      </c>
      <c r="DK326" s="822">
        <f t="shared" si="575"/>
        <v>0</v>
      </c>
      <c r="DL326" s="823">
        <f t="shared" si="576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581">SUM(C308,C314,C320,C326)</f>
        <v>0</v>
      </c>
      <c r="D327" s="877">
        <f t="shared" si="581"/>
        <v>0</v>
      </c>
      <c r="E327" s="877">
        <f t="shared" si="581"/>
        <v>0</v>
      </c>
      <c r="F327" s="877">
        <f t="shared" si="581"/>
        <v>0</v>
      </c>
      <c r="G327" s="877">
        <f t="shared" si="581"/>
        <v>0</v>
      </c>
      <c r="H327" s="877">
        <f t="shared" si="581"/>
        <v>0</v>
      </c>
      <c r="I327" s="877">
        <f t="shared" si="581"/>
        <v>0</v>
      </c>
      <c r="J327" s="877">
        <f t="shared" si="581"/>
        <v>0</v>
      </c>
      <c r="K327" s="877">
        <f t="shared" si="581"/>
        <v>0</v>
      </c>
      <c r="L327" s="877">
        <f t="shared" si="581"/>
        <v>0</v>
      </c>
      <c r="M327" s="877">
        <f t="shared" si="581"/>
        <v>0</v>
      </c>
      <c r="N327" s="877">
        <f t="shared" si="581"/>
        <v>0</v>
      </c>
      <c r="O327" s="877">
        <f t="shared" si="581"/>
        <v>0</v>
      </c>
      <c r="P327" s="877">
        <f t="shared" si="581"/>
        <v>0</v>
      </c>
      <c r="Q327" s="877">
        <f t="shared" si="581"/>
        <v>0</v>
      </c>
      <c r="R327" s="877">
        <f t="shared" si="581"/>
        <v>0</v>
      </c>
      <c r="S327" s="878"/>
      <c r="T327" s="877">
        <f t="shared" ref="T327:AC327" si="582">SUM(T308,T314,T320,T326)</f>
        <v>0</v>
      </c>
      <c r="U327" s="877">
        <f t="shared" si="582"/>
        <v>0</v>
      </c>
      <c r="V327" s="877">
        <f t="shared" si="582"/>
        <v>0</v>
      </c>
      <c r="W327" s="877">
        <f t="shared" si="582"/>
        <v>0</v>
      </c>
      <c r="X327" s="877">
        <f t="shared" si="582"/>
        <v>0</v>
      </c>
      <c r="Y327" s="877">
        <f t="shared" si="582"/>
        <v>0</v>
      </c>
      <c r="Z327" s="877">
        <f t="shared" si="582"/>
        <v>0</v>
      </c>
      <c r="AA327" s="877">
        <f t="shared" si="582"/>
        <v>0</v>
      </c>
      <c r="AB327" s="877">
        <f t="shared" si="582"/>
        <v>0</v>
      </c>
      <c r="AC327" s="877">
        <f t="shared" si="582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583">SUM(AL308,AL314,AL320,AL326)</f>
        <v>0</v>
      </c>
      <c r="AM327" s="877">
        <f t="shared" si="583"/>
        <v>0</v>
      </c>
      <c r="AN327" s="877">
        <f t="shared" si="583"/>
        <v>0</v>
      </c>
      <c r="AO327" s="877">
        <f t="shared" si="583"/>
        <v>0</v>
      </c>
      <c r="AP327" s="877">
        <f t="shared" si="583"/>
        <v>0</v>
      </c>
      <c r="AQ327" s="877">
        <f t="shared" si="583"/>
        <v>0</v>
      </c>
      <c r="AR327" s="877">
        <f t="shared" si="583"/>
        <v>0</v>
      </c>
      <c r="AS327" s="877">
        <f t="shared" si="583"/>
        <v>0</v>
      </c>
      <c r="AT327" s="877">
        <f t="shared" si="583"/>
        <v>0</v>
      </c>
      <c r="AU327" s="877">
        <f t="shared" si="583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584">SUM(BD308,BD314,BD320,BD326)</f>
        <v>0</v>
      </c>
      <c r="BE327" s="877">
        <f t="shared" si="584"/>
        <v>0</v>
      </c>
      <c r="BF327" s="877">
        <f t="shared" si="584"/>
        <v>0</v>
      </c>
      <c r="BG327" s="877">
        <f t="shared" si="584"/>
        <v>0</v>
      </c>
      <c r="BH327" s="877">
        <f t="shared" si="584"/>
        <v>0</v>
      </c>
      <c r="BI327" s="877">
        <f t="shared" si="584"/>
        <v>0</v>
      </c>
      <c r="BJ327" s="877">
        <f t="shared" si="584"/>
        <v>0</v>
      </c>
      <c r="BK327" s="877">
        <f t="shared" si="584"/>
        <v>0</v>
      </c>
      <c r="BL327" s="877">
        <f t="shared" si="584"/>
        <v>0</v>
      </c>
      <c r="BM327" s="877">
        <f t="shared" si="584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50"/>
        <v>0</v>
      </c>
      <c r="CA327" s="864">
        <f t="shared" si="551"/>
        <v>0</v>
      </c>
      <c r="CB327" s="864">
        <f t="shared" si="552"/>
        <v>0</v>
      </c>
      <c r="CC327" s="865">
        <f t="shared" si="553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55"/>
        <v>0</v>
      </c>
      <c r="CF327" s="81">
        <f t="shared" si="555"/>
        <v>0</v>
      </c>
      <c r="CG327" s="81">
        <f t="shared" si="555"/>
        <v>0</v>
      </c>
      <c r="CH327" s="145">
        <f t="shared" si="555"/>
        <v>0</v>
      </c>
      <c r="CI327" s="145">
        <f t="shared" si="555"/>
        <v>0</v>
      </c>
      <c r="CJ327" s="145">
        <f t="shared" si="555"/>
        <v>0</v>
      </c>
      <c r="CK327" s="81">
        <f t="shared" si="555"/>
        <v>0</v>
      </c>
      <c r="CL327" s="81">
        <f t="shared" si="555"/>
        <v>0</v>
      </c>
      <c r="CM327" s="81">
        <f t="shared" si="555"/>
        <v>0</v>
      </c>
      <c r="CN327" s="81">
        <f t="shared" si="555"/>
        <v>0</v>
      </c>
      <c r="CO327" s="81" t="str">
        <f t="shared" si="555"/>
        <v/>
      </c>
      <c r="CP327" s="80" t="str">
        <f t="shared" si="555"/>
        <v/>
      </c>
      <c r="CQ327" s="509" t="str">
        <f t="shared" si="555"/>
        <v/>
      </c>
      <c r="CR327" s="533" t="str">
        <f t="shared" si="556"/>
        <v/>
      </c>
      <c r="CS327" s="534" t="str">
        <f t="shared" si="557"/>
        <v/>
      </c>
      <c r="CT327" s="535" t="str">
        <f t="shared" si="558"/>
        <v/>
      </c>
      <c r="CU327" s="535" t="str">
        <f t="shared" si="559"/>
        <v/>
      </c>
      <c r="CV327" s="535">
        <f t="shared" si="560"/>
        <v>0</v>
      </c>
      <c r="CW327" s="535">
        <f t="shared" si="561"/>
        <v>0</v>
      </c>
      <c r="CX327" s="535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5">
        <f t="shared" si="566"/>
        <v>0</v>
      </c>
      <c r="DC327" s="535">
        <f t="shared" si="567"/>
        <v>0</v>
      </c>
      <c r="DD327" s="535">
        <f t="shared" si="568"/>
        <v>0</v>
      </c>
      <c r="DE327" s="535">
        <f t="shared" si="569"/>
        <v>0</v>
      </c>
      <c r="DF327" s="535" t="str">
        <f t="shared" si="570"/>
        <v/>
      </c>
      <c r="DG327" s="534" t="str">
        <f t="shared" si="571"/>
        <v/>
      </c>
      <c r="DH327" s="533" t="str">
        <f t="shared" si="572"/>
        <v/>
      </c>
      <c r="DI327" s="866">
        <f t="shared" si="573"/>
        <v>17</v>
      </c>
      <c r="DJ327" s="822">
        <f t="shared" si="574"/>
        <v>10</v>
      </c>
      <c r="DK327" s="822">
        <f t="shared" si="575"/>
        <v>10</v>
      </c>
      <c r="DL327" s="823">
        <f t="shared" si="576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Temporary</v>
      </c>
      <c r="U3" s="1701" t="str">
        <f>Data!U3</f>
        <v>Temporary</v>
      </c>
      <c r="V3" s="1701" t="str">
        <f>Data!V3</f>
        <v>Temporary</v>
      </c>
      <c r="W3" s="1701" t="str">
        <f>Data!W3</f>
        <v>Temporary</v>
      </c>
      <c r="X3" s="1701" t="str">
        <f>Data!X3</f>
        <v>Temporary</v>
      </c>
      <c r="Y3" s="1701" t="str">
        <f>Data!Y3</f>
        <v>Temporary</v>
      </c>
      <c r="Z3" s="1701" t="str">
        <f>Data!Z3</f>
        <v>Temporary</v>
      </c>
      <c r="AA3" s="1701" t="str">
        <f>Data!AA3</f>
        <v>Temporary</v>
      </c>
      <c r="AB3" s="1701" t="str">
        <f>Data!AB3</f>
        <v>Temporary</v>
      </c>
      <c r="AC3" s="1701" t="str">
        <f>Data!AC3</f>
        <v>Temporary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Full-time</v>
      </c>
      <c r="AM3" s="1701" t="str">
        <f>Data!AM3</f>
        <v>Full-time</v>
      </c>
      <c r="AN3" s="1701" t="str">
        <f>Data!AN3</f>
        <v>Full-time</v>
      </c>
      <c r="AO3" s="1701" t="str">
        <f>Data!AO3</f>
        <v>Full-time</v>
      </c>
      <c r="AP3" s="1701" t="str">
        <f>Data!AP3</f>
        <v>Full-time</v>
      </c>
      <c r="AQ3" s="1701" t="str">
        <f>Data!AQ3</f>
        <v>Full-time</v>
      </c>
      <c r="AR3" s="1701" t="str">
        <f>Data!AR3</f>
        <v>Full-time</v>
      </c>
      <c r="AS3" s="1701" t="str">
        <f>Data!AS3</f>
        <v>Full-time</v>
      </c>
      <c r="AT3" s="1701" t="str">
        <f>Data!AT3</f>
        <v>Full-time</v>
      </c>
      <c r="AU3" s="1701" t="str">
        <f>Data!AU3</f>
        <v>Full-time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Full-time</v>
      </c>
      <c r="BY4" s="1879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Ftime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Ftime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Ftime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BY38" sqref="BY38:BY40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Temporary</v>
      </c>
      <c r="U3" s="1702" t="str">
        <f>Data!U3</f>
        <v>Temporary</v>
      </c>
      <c r="V3" s="1702" t="str">
        <f>Data!V3</f>
        <v>Temporary</v>
      </c>
      <c r="W3" s="1702" t="str">
        <f>Data!W3</f>
        <v>Temporary</v>
      </c>
      <c r="X3" s="1702" t="str">
        <f>Data!X3</f>
        <v>Temporary</v>
      </c>
      <c r="Y3" s="1702" t="str">
        <f>Data!Y3</f>
        <v>Temporary</v>
      </c>
      <c r="Z3" s="1702" t="str">
        <f>Data!Z3</f>
        <v>Temporary</v>
      </c>
      <c r="AA3" s="1702" t="str">
        <f>Data!AA3</f>
        <v>Temporary</v>
      </c>
      <c r="AB3" s="1702" t="str">
        <f>Data!AB3</f>
        <v>Temporary</v>
      </c>
      <c r="AC3" s="1702" t="str">
        <f>Data!AC3</f>
        <v>Temporary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Full-time</v>
      </c>
      <c r="AM3" s="1702" t="str">
        <f>Data!AM3</f>
        <v>Full-time</v>
      </c>
      <c r="AN3" s="1702" t="str">
        <f>Data!AN3</f>
        <v>Full-time</v>
      </c>
      <c r="AO3" s="1702" t="str">
        <f>Data!AO3</f>
        <v>Full-time</v>
      </c>
      <c r="AP3" s="1702" t="str">
        <f>Data!AP3</f>
        <v>Full-time</v>
      </c>
      <c r="AQ3" s="1702" t="str">
        <f>Data!AQ3</f>
        <v>Full-time</v>
      </c>
      <c r="AR3" s="1702" t="str">
        <f>Data!AR3</f>
        <v>Full-time</v>
      </c>
      <c r="AS3" s="1702" t="str">
        <f>Data!AS3</f>
        <v>Full-time</v>
      </c>
      <c r="AT3" s="1702" t="str">
        <f>Data!AT3</f>
        <v>Full-time</v>
      </c>
      <c r="AU3" s="1702" t="str">
        <f>Data!AU3</f>
        <v>Full-time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Full-time</v>
      </c>
      <c r="BY4" s="1381" t="str">
        <f>Data!BY4</f>
        <v>Management</v>
      </c>
      <c r="BZ4" s="1806" t="str">
        <f>WB!B9</f>
        <v>Cas</v>
      </c>
      <c r="CA4" s="1807" t="str">
        <f>WB!B10</f>
        <v>Temp</v>
      </c>
      <c r="CB4" s="1807" t="str">
        <f>WB!B11</f>
        <v>Ftime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Temp</v>
      </c>
      <c r="DN4" s="1474" t="str">
        <f>CB4</f>
        <v>Ftime</v>
      </c>
      <c r="DO4" s="1474" t="str">
        <f>CC4</f>
        <v>Man</v>
      </c>
      <c r="DP4" s="1719" t="str">
        <f>DL4</f>
        <v>Cas</v>
      </c>
      <c r="DQ4" s="1720" t="str">
        <f>DM4</f>
        <v>Temp</v>
      </c>
      <c r="DR4" s="1721" t="str">
        <f>DN4</f>
        <v>Ftime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6" t="s">
        <v>46</v>
      </c>
      <c r="CE6" s="1926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7" t="s">
        <v>47</v>
      </c>
      <c r="CT6" s="1927"/>
      <c r="CU6" s="1928" t="s">
        <v>46</v>
      </c>
      <c r="CV6" s="1928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9" t="s">
        <v>47</v>
      </c>
      <c r="DK6" s="1929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1177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 t="shared" ref="T16:AJ16" si="33">IF(T14="","",T14*T15/T$7/365/$G$1)</f>
        <v/>
      </c>
      <c r="U16" s="1407" t="str">
        <f t="shared" si="33"/>
        <v/>
      </c>
      <c r="V16" s="1407" t="str">
        <f t="shared" si="33"/>
        <v/>
      </c>
      <c r="W16" s="1407" t="str">
        <f t="shared" si="33"/>
        <v/>
      </c>
      <c r="X16" s="1407" t="str">
        <f t="shared" si="33"/>
        <v/>
      </c>
      <c r="Y16" s="1407" t="str">
        <f t="shared" si="33"/>
        <v/>
      </c>
      <c r="Z16" s="1407" t="str">
        <f t="shared" si="33"/>
        <v/>
      </c>
      <c r="AA16" s="1407" t="str">
        <f t="shared" si="33"/>
        <v/>
      </c>
      <c r="AB16" s="1407" t="str">
        <f t="shared" si="33"/>
        <v/>
      </c>
      <c r="AC16" s="1407" t="str">
        <f t="shared" si="33"/>
        <v/>
      </c>
      <c r="AD16" s="1407" t="str">
        <f t="shared" si="33"/>
        <v/>
      </c>
      <c r="AE16" s="1407" t="str">
        <f t="shared" si="33"/>
        <v/>
      </c>
      <c r="AF16" s="1407" t="str">
        <f t="shared" si="33"/>
        <v/>
      </c>
      <c r="AG16" s="1407" t="str">
        <f t="shared" si="33"/>
        <v/>
      </c>
      <c r="AH16" s="1407" t="str">
        <f t="shared" si="33"/>
        <v/>
      </c>
      <c r="AI16" s="1407" t="str">
        <f t="shared" si="33"/>
        <v/>
      </c>
      <c r="AJ16" s="1407" t="str">
        <f t="shared" si="33"/>
        <v/>
      </c>
      <c r="AK16" s="1775"/>
      <c r="AL16" s="1407" t="str">
        <f t="shared" ref="AL16:BB16" si="34">IF(AL14="","",AL14*AL15/AL$7/365/$G$1)</f>
        <v/>
      </c>
      <c r="AM16" s="1407" t="str">
        <f t="shared" si="34"/>
        <v/>
      </c>
      <c r="AN16" s="1407" t="str">
        <f t="shared" si="34"/>
        <v/>
      </c>
      <c r="AO16" s="1407" t="str">
        <f t="shared" si="34"/>
        <v/>
      </c>
      <c r="AP16" s="1407" t="str">
        <f t="shared" si="34"/>
        <v/>
      </c>
      <c r="AQ16" s="1407" t="str">
        <f t="shared" si="34"/>
        <v/>
      </c>
      <c r="AR16" s="1407" t="str">
        <f t="shared" si="34"/>
        <v/>
      </c>
      <c r="AS16" s="1407" t="str">
        <f t="shared" si="34"/>
        <v/>
      </c>
      <c r="AT16" s="1407" t="str">
        <f t="shared" si="34"/>
        <v/>
      </c>
      <c r="AU16" s="1407" t="str">
        <f t="shared" si="34"/>
        <v/>
      </c>
      <c r="AV16" s="1407" t="str">
        <f t="shared" si="34"/>
        <v/>
      </c>
      <c r="AW16" s="1407" t="str">
        <f t="shared" si="34"/>
        <v/>
      </c>
      <c r="AX16" s="1407" t="str">
        <f t="shared" si="34"/>
        <v/>
      </c>
      <c r="AY16" s="1407" t="str">
        <f t="shared" si="34"/>
        <v/>
      </c>
      <c r="AZ16" s="1407" t="str">
        <f t="shared" si="34"/>
        <v/>
      </c>
      <c r="BA16" s="1407" t="str">
        <f t="shared" si="34"/>
        <v/>
      </c>
      <c r="BB16" s="1407" t="str">
        <f t="shared" si="34"/>
        <v/>
      </c>
      <c r="BC16" s="1775"/>
      <c r="BD16" s="1407" t="str">
        <f t="shared" ref="BD16:BT16" si="35">IF(BD14="","",BD14*BD15/BD$7/365/$G$1)</f>
        <v/>
      </c>
      <c r="BE16" s="1407" t="str">
        <f t="shared" si="35"/>
        <v/>
      </c>
      <c r="BF16" s="1407" t="str">
        <f t="shared" si="35"/>
        <v/>
      </c>
      <c r="BG16" s="1407" t="str">
        <f t="shared" si="35"/>
        <v/>
      </c>
      <c r="BH16" s="1407" t="str">
        <f t="shared" si="35"/>
        <v/>
      </c>
      <c r="BI16" s="1407" t="str">
        <f t="shared" si="35"/>
        <v/>
      </c>
      <c r="BJ16" s="1407" t="str">
        <f t="shared" si="35"/>
        <v/>
      </c>
      <c r="BK16" s="1407" t="str">
        <f t="shared" si="35"/>
        <v/>
      </c>
      <c r="BL16" s="1407" t="str">
        <f t="shared" si="35"/>
        <v/>
      </c>
      <c r="BM16" s="1407" t="str">
        <f t="shared" si="35"/>
        <v/>
      </c>
      <c r="BN16" s="1407" t="str">
        <f t="shared" si="35"/>
        <v/>
      </c>
      <c r="BO16" s="1407" t="str">
        <f t="shared" si="35"/>
        <v/>
      </c>
      <c r="BP16" s="1407" t="str">
        <f t="shared" si="35"/>
        <v/>
      </c>
      <c r="BQ16" s="1407" t="str">
        <f t="shared" si="35"/>
        <v/>
      </c>
      <c r="BR16" s="1407" t="str">
        <f t="shared" si="35"/>
        <v/>
      </c>
      <c r="BS16" s="1407" t="str">
        <f t="shared" si="35"/>
        <v/>
      </c>
      <c r="BT16" s="1407" t="str">
        <f t="shared" si="35"/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36">IF(B17="","",B14*B17)</f>
        <v/>
      </c>
      <c r="C18" s="1408" t="str">
        <f t="shared" si="36"/>
        <v/>
      </c>
      <c r="D18" s="1408" t="str">
        <f t="shared" si="36"/>
        <v/>
      </c>
      <c r="E18" s="1408" t="str">
        <f t="shared" si="36"/>
        <v/>
      </c>
      <c r="F18" s="1408" t="str">
        <f t="shared" si="36"/>
        <v/>
      </c>
      <c r="G18" s="1408" t="str">
        <f t="shared" si="36"/>
        <v/>
      </c>
      <c r="H18" s="1408" t="str">
        <f t="shared" si="36"/>
        <v/>
      </c>
      <c r="I18" s="1408" t="str">
        <f t="shared" si="36"/>
        <v/>
      </c>
      <c r="J18" s="1408" t="str">
        <f t="shared" si="36"/>
        <v/>
      </c>
      <c r="K18" s="1408" t="str">
        <f t="shared" si="36"/>
        <v/>
      </c>
      <c r="L18" s="1408" t="str">
        <f t="shared" si="36"/>
        <v/>
      </c>
      <c r="M18" s="1408" t="str">
        <f t="shared" si="36"/>
        <v/>
      </c>
      <c r="N18" s="1408" t="str">
        <f t="shared" si="36"/>
        <v/>
      </c>
      <c r="O18" s="1408" t="str">
        <f t="shared" si="36"/>
        <v/>
      </c>
      <c r="P18" s="1408" t="str">
        <f t="shared" si="36"/>
        <v/>
      </c>
      <c r="Q18" s="1408" t="str">
        <f t="shared" si="36"/>
        <v/>
      </c>
      <c r="R18" s="1408" t="str">
        <f t="shared" si="36"/>
        <v/>
      </c>
      <c r="S18" s="1772"/>
      <c r="T18" s="1408" t="str">
        <f t="shared" ref="T18:AJ18" si="37">IF(T17="","",T14*T17)</f>
        <v/>
      </c>
      <c r="U18" s="1408" t="str">
        <f t="shared" si="37"/>
        <v/>
      </c>
      <c r="V18" s="1408" t="str">
        <f t="shared" si="37"/>
        <v/>
      </c>
      <c r="W18" s="1408" t="str">
        <f t="shared" si="37"/>
        <v/>
      </c>
      <c r="X18" s="1408" t="str">
        <f t="shared" si="37"/>
        <v/>
      </c>
      <c r="Y18" s="1408" t="str">
        <f t="shared" si="37"/>
        <v/>
      </c>
      <c r="Z18" s="1408" t="str">
        <f t="shared" si="37"/>
        <v/>
      </c>
      <c r="AA18" s="1408" t="str">
        <f t="shared" si="37"/>
        <v/>
      </c>
      <c r="AB18" s="1408" t="str">
        <f t="shared" si="37"/>
        <v/>
      </c>
      <c r="AC18" s="1408" t="str">
        <f t="shared" si="37"/>
        <v/>
      </c>
      <c r="AD18" s="1408" t="str">
        <f t="shared" si="37"/>
        <v/>
      </c>
      <c r="AE18" s="1408" t="str">
        <f t="shared" si="37"/>
        <v/>
      </c>
      <c r="AF18" s="1408" t="str">
        <f t="shared" si="37"/>
        <v/>
      </c>
      <c r="AG18" s="1408" t="str">
        <f t="shared" si="37"/>
        <v/>
      </c>
      <c r="AH18" s="1408" t="str">
        <f t="shared" si="37"/>
        <v/>
      </c>
      <c r="AI18" s="1408" t="str">
        <f t="shared" si="37"/>
        <v/>
      </c>
      <c r="AJ18" s="1408" t="str">
        <f t="shared" si="37"/>
        <v/>
      </c>
      <c r="AK18" s="1772"/>
      <c r="AL18" s="1408" t="str">
        <f t="shared" ref="AL18:BB18" si="38">IF(AL17="","",AL14*AL17)</f>
        <v/>
      </c>
      <c r="AM18" s="1408" t="str">
        <f t="shared" si="38"/>
        <v/>
      </c>
      <c r="AN18" s="1408" t="str">
        <f t="shared" si="38"/>
        <v/>
      </c>
      <c r="AO18" s="1408" t="str">
        <f t="shared" si="38"/>
        <v/>
      </c>
      <c r="AP18" s="1408" t="str">
        <f t="shared" si="38"/>
        <v/>
      </c>
      <c r="AQ18" s="1408" t="str">
        <f t="shared" si="38"/>
        <v/>
      </c>
      <c r="AR18" s="1408" t="str">
        <f t="shared" si="38"/>
        <v/>
      </c>
      <c r="AS18" s="1408" t="str">
        <f t="shared" si="38"/>
        <v/>
      </c>
      <c r="AT18" s="1408" t="str">
        <f t="shared" si="38"/>
        <v/>
      </c>
      <c r="AU18" s="1408" t="str">
        <f t="shared" si="38"/>
        <v/>
      </c>
      <c r="AV18" s="1408" t="str">
        <f t="shared" si="38"/>
        <v/>
      </c>
      <c r="AW18" s="1408" t="str">
        <f t="shared" si="38"/>
        <v/>
      </c>
      <c r="AX18" s="1408" t="str">
        <f t="shared" si="38"/>
        <v/>
      </c>
      <c r="AY18" s="1408" t="str">
        <f t="shared" si="38"/>
        <v/>
      </c>
      <c r="AZ18" s="1408" t="str">
        <f t="shared" si="38"/>
        <v/>
      </c>
      <c r="BA18" s="1408" t="str">
        <f t="shared" si="38"/>
        <v/>
      </c>
      <c r="BB18" s="1408" t="str">
        <f t="shared" si="38"/>
        <v/>
      </c>
      <c r="BC18" s="1772"/>
      <c r="BD18" s="1408" t="str">
        <f t="shared" ref="BD18:BT18" si="39">IF(BD17="","",BD14*BD17)</f>
        <v/>
      </c>
      <c r="BE18" s="1408" t="str">
        <f t="shared" si="39"/>
        <v/>
      </c>
      <c r="BF18" s="1408" t="str">
        <f t="shared" si="39"/>
        <v/>
      </c>
      <c r="BG18" s="1408" t="str">
        <f t="shared" si="39"/>
        <v/>
      </c>
      <c r="BH18" s="1408" t="str">
        <f t="shared" si="39"/>
        <v/>
      </c>
      <c r="BI18" s="1408" t="str">
        <f t="shared" si="39"/>
        <v/>
      </c>
      <c r="BJ18" s="1408" t="str">
        <f t="shared" si="39"/>
        <v/>
      </c>
      <c r="BK18" s="1408" t="str">
        <f t="shared" si="39"/>
        <v/>
      </c>
      <c r="BL18" s="1408" t="str">
        <f t="shared" si="39"/>
        <v/>
      </c>
      <c r="BM18" s="1408" t="str">
        <f t="shared" si="39"/>
        <v/>
      </c>
      <c r="BN18" s="1408" t="str">
        <f t="shared" si="39"/>
        <v/>
      </c>
      <c r="BO18" s="1408" t="str">
        <f t="shared" si="39"/>
        <v/>
      </c>
      <c r="BP18" s="1408" t="str">
        <f t="shared" si="39"/>
        <v/>
      </c>
      <c r="BQ18" s="1408" t="str">
        <f t="shared" si="39"/>
        <v/>
      </c>
      <c r="BR18" s="1408" t="str">
        <f t="shared" si="39"/>
        <v/>
      </c>
      <c r="BS18" s="1408" t="str">
        <f t="shared" si="39"/>
        <v/>
      </c>
      <c r="BT18" s="1408" t="str">
        <f t="shared" si="3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40"/>
        <v>2.5</v>
      </c>
      <c r="CF20" s="1741">
        <f t="shared" si="40"/>
        <v>2.5</v>
      </c>
      <c r="CG20" s="1741">
        <f t="shared" si="40"/>
        <v>2.5</v>
      </c>
      <c r="CH20" s="1741">
        <f t="shared" si="40"/>
        <v>2.5</v>
      </c>
      <c r="CI20" s="1741">
        <f t="shared" si="40"/>
        <v>2.5</v>
      </c>
      <c r="CJ20" s="1741">
        <f t="shared" si="40"/>
        <v>2.5</v>
      </c>
      <c r="CK20" s="1742">
        <f t="shared" si="40"/>
        <v>2.5</v>
      </c>
      <c r="CL20" s="1742">
        <f t="shared" si="40"/>
        <v>2.5</v>
      </c>
      <c r="CM20" s="1742">
        <f t="shared" si="40"/>
        <v>2.5</v>
      </c>
      <c r="CN20" s="1741">
        <f t="shared" si="40"/>
        <v>2.5</v>
      </c>
      <c r="CO20" s="1741">
        <f t="shared" si="40"/>
        <v>2.5</v>
      </c>
      <c r="CP20" s="1741">
        <f t="shared" si="40"/>
        <v>2.5</v>
      </c>
      <c r="CQ20" s="1741">
        <f t="shared" si="40"/>
        <v>2.5</v>
      </c>
      <c r="CR20" s="1741">
        <f t="shared" si="40"/>
        <v>2.5</v>
      </c>
      <c r="CS20" s="1740">
        <f t="shared" si="40"/>
        <v>2.5</v>
      </c>
      <c r="CT20" s="1743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59">COUNT(B20:R20)</f>
        <v>17</v>
      </c>
      <c r="DM20" s="1439">
        <f t="shared" ref="DM20:DM27" si="60">COUNT(T20:AJ20)</f>
        <v>17</v>
      </c>
      <c r="DN20" s="1439">
        <f t="shared" ref="DN20:DN27" si="61">COUNT(AL20:BB20)</f>
        <v>17</v>
      </c>
      <c r="DO20" s="1439">
        <f t="shared" ref="DO20:DO27" si="6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41"/>
        <v/>
      </c>
      <c r="CF21" s="1741" t="str">
        <f t="shared" si="41"/>
        <v/>
      </c>
      <c r="CG21" s="1741" t="str">
        <f t="shared" si="41"/>
        <v/>
      </c>
      <c r="CH21" s="1741" t="str">
        <f t="shared" si="41"/>
        <v/>
      </c>
      <c r="CI21" s="1741" t="str">
        <f t="shared" si="41"/>
        <v/>
      </c>
      <c r="CJ21" s="1741" t="str">
        <f t="shared" si="41"/>
        <v/>
      </c>
      <c r="CK21" s="1742" t="str">
        <f t="shared" si="41"/>
        <v/>
      </c>
      <c r="CL21" s="1742" t="str">
        <f t="shared" si="41"/>
        <v/>
      </c>
      <c r="CM21" s="1742" t="str">
        <f t="shared" si="41"/>
        <v/>
      </c>
      <c r="CN21" s="1741" t="str">
        <f t="shared" si="41"/>
        <v/>
      </c>
      <c r="CO21" s="1741" t="str">
        <f t="shared" si="41"/>
        <v/>
      </c>
      <c r="CP21" s="1741" t="str">
        <f t="shared" si="41"/>
        <v/>
      </c>
      <c r="CQ21" s="1741" t="str">
        <f t="shared" si="41"/>
        <v/>
      </c>
      <c r="CR21" s="1741" t="str">
        <f t="shared" si="41"/>
        <v/>
      </c>
      <c r="CS21" s="1740" t="str">
        <f t="shared" si="41"/>
        <v/>
      </c>
      <c r="CT21" s="1743" t="str">
        <f t="shared" si="41"/>
        <v/>
      </c>
      <c r="CU21" s="1752" t="str">
        <f t="shared" si="42"/>
        <v/>
      </c>
      <c r="CV21" s="1753" t="str">
        <f t="shared" si="43"/>
        <v/>
      </c>
      <c r="CW21" s="1754" t="str">
        <f t="shared" si="44"/>
        <v/>
      </c>
      <c r="CX21" s="1754" t="str">
        <f t="shared" si="45"/>
        <v/>
      </c>
      <c r="CY21" s="1754" t="str">
        <f t="shared" si="46"/>
        <v/>
      </c>
      <c r="CZ21" s="1754" t="str">
        <f t="shared" si="47"/>
        <v/>
      </c>
      <c r="DA21" s="1754" t="str">
        <f t="shared" si="48"/>
        <v/>
      </c>
      <c r="DB21" s="1755" t="str">
        <f t="shared" si="49"/>
        <v/>
      </c>
      <c r="DC21" s="1755" t="str">
        <f t="shared" si="50"/>
        <v/>
      </c>
      <c r="DD21" s="1755" t="str">
        <f t="shared" si="51"/>
        <v/>
      </c>
      <c r="DE21" s="1754" t="str">
        <f t="shared" si="52"/>
        <v/>
      </c>
      <c r="DF21" s="1754" t="str">
        <f t="shared" si="53"/>
        <v/>
      </c>
      <c r="DG21" s="1754" t="str">
        <f t="shared" si="54"/>
        <v/>
      </c>
      <c r="DH21" s="1754" t="str">
        <f t="shared" si="55"/>
        <v/>
      </c>
      <c r="DI21" s="1754" t="str">
        <f t="shared" si="56"/>
        <v/>
      </c>
      <c r="DJ21" s="1753" t="str">
        <f t="shared" si="57"/>
        <v/>
      </c>
      <c r="DK21" s="1752" t="str">
        <f t="shared" si="58"/>
        <v/>
      </c>
      <c r="DL21" s="1829">
        <f t="shared" si="59"/>
        <v>0</v>
      </c>
      <c r="DM21" s="1439">
        <f t="shared" si="60"/>
        <v>0</v>
      </c>
      <c r="DN21" s="1439">
        <f t="shared" si="61"/>
        <v>0</v>
      </c>
      <c r="DO21" s="1439">
        <f t="shared" si="6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63"/>
        <v/>
      </c>
      <c r="CE22" s="1740" t="str">
        <f t="shared" si="41"/>
        <v/>
      </c>
      <c r="CF22" s="1741" t="str">
        <f t="shared" si="41"/>
        <v/>
      </c>
      <c r="CG22" s="1741" t="str">
        <f t="shared" si="41"/>
        <v/>
      </c>
      <c r="CH22" s="1741" t="str">
        <f t="shared" si="41"/>
        <v/>
      </c>
      <c r="CI22" s="1741" t="str">
        <f t="shared" si="41"/>
        <v/>
      </c>
      <c r="CJ22" s="1741" t="str">
        <f t="shared" si="41"/>
        <v/>
      </c>
      <c r="CK22" s="1742" t="str">
        <f t="shared" si="41"/>
        <v/>
      </c>
      <c r="CL22" s="1742" t="str">
        <f t="shared" si="41"/>
        <v/>
      </c>
      <c r="CM22" s="1742" t="str">
        <f t="shared" si="41"/>
        <v/>
      </c>
      <c r="CN22" s="1741" t="str">
        <f t="shared" si="41"/>
        <v/>
      </c>
      <c r="CO22" s="1741" t="str">
        <f t="shared" si="41"/>
        <v/>
      </c>
      <c r="CP22" s="1741" t="str">
        <f t="shared" si="41"/>
        <v/>
      </c>
      <c r="CQ22" s="1741" t="str">
        <f t="shared" si="41"/>
        <v/>
      </c>
      <c r="CR22" s="1741" t="str">
        <f t="shared" si="41"/>
        <v/>
      </c>
      <c r="CS22" s="1740" t="str">
        <f t="shared" si="41"/>
        <v/>
      </c>
      <c r="CT22" s="1743" t="str">
        <f t="shared" si="41"/>
        <v/>
      </c>
      <c r="CU22" s="1752" t="str">
        <f t="shared" si="42"/>
        <v/>
      </c>
      <c r="CV22" s="1753" t="str">
        <f t="shared" si="43"/>
        <v/>
      </c>
      <c r="CW22" s="1754" t="str">
        <f t="shared" si="44"/>
        <v/>
      </c>
      <c r="CX22" s="1754" t="str">
        <f t="shared" si="45"/>
        <v/>
      </c>
      <c r="CY22" s="1754" t="str">
        <f t="shared" si="46"/>
        <v/>
      </c>
      <c r="CZ22" s="1754" t="str">
        <f t="shared" si="47"/>
        <v/>
      </c>
      <c r="DA22" s="1754" t="str">
        <f t="shared" si="48"/>
        <v/>
      </c>
      <c r="DB22" s="1755" t="str">
        <f t="shared" si="49"/>
        <v/>
      </c>
      <c r="DC22" s="1755" t="str">
        <f t="shared" si="50"/>
        <v/>
      </c>
      <c r="DD22" s="1755" t="str">
        <f t="shared" si="51"/>
        <v/>
      </c>
      <c r="DE22" s="1754" t="str">
        <f t="shared" si="52"/>
        <v/>
      </c>
      <c r="DF22" s="1754" t="str">
        <f t="shared" si="53"/>
        <v/>
      </c>
      <c r="DG22" s="1754" t="str">
        <f t="shared" si="54"/>
        <v/>
      </c>
      <c r="DH22" s="1754" t="str">
        <f t="shared" si="55"/>
        <v/>
      </c>
      <c r="DI22" s="1754" t="str">
        <f t="shared" si="56"/>
        <v/>
      </c>
      <c r="DJ22" s="1753" t="str">
        <f t="shared" si="57"/>
        <v/>
      </c>
      <c r="DK22" s="1752" t="str">
        <f t="shared" si="58"/>
        <v/>
      </c>
      <c r="DL22" s="1829">
        <f t="shared" si="59"/>
        <v>0</v>
      </c>
      <c r="DM22" s="1439">
        <f t="shared" si="60"/>
        <v>0</v>
      </c>
      <c r="DN22" s="1439">
        <f t="shared" si="61"/>
        <v>0</v>
      </c>
      <c r="DO22" s="1439">
        <f t="shared" si="6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64">IF(B21="","",B20*B21*B22)</f>
        <v/>
      </c>
      <c r="C23" s="1408" t="str">
        <f t="shared" si="64"/>
        <v/>
      </c>
      <c r="D23" s="1408" t="str">
        <f t="shared" si="64"/>
        <v/>
      </c>
      <c r="E23" s="1408" t="str">
        <f t="shared" si="64"/>
        <v/>
      </c>
      <c r="F23" s="1408" t="str">
        <f t="shared" si="64"/>
        <v/>
      </c>
      <c r="G23" s="1408" t="str">
        <f t="shared" si="64"/>
        <v/>
      </c>
      <c r="H23" s="1408" t="str">
        <f t="shared" si="64"/>
        <v/>
      </c>
      <c r="I23" s="1408" t="str">
        <f t="shared" si="64"/>
        <v/>
      </c>
      <c r="J23" s="1408" t="str">
        <f t="shared" si="64"/>
        <v/>
      </c>
      <c r="K23" s="1408" t="str">
        <f t="shared" si="64"/>
        <v/>
      </c>
      <c r="L23" s="1408" t="str">
        <f t="shared" si="64"/>
        <v/>
      </c>
      <c r="M23" s="1408" t="str">
        <f t="shared" si="64"/>
        <v/>
      </c>
      <c r="N23" s="1408" t="str">
        <f t="shared" si="64"/>
        <v/>
      </c>
      <c r="O23" s="1408" t="str">
        <f t="shared" si="64"/>
        <v/>
      </c>
      <c r="P23" s="1408" t="str">
        <f t="shared" si="64"/>
        <v/>
      </c>
      <c r="Q23" s="1408" t="str">
        <f t="shared" si="64"/>
        <v/>
      </c>
      <c r="R23" s="1408" t="str">
        <f t="shared" si="64"/>
        <v/>
      </c>
      <c r="S23" s="1772"/>
      <c r="T23" s="1408" t="str">
        <f t="shared" ref="T23:AJ23" si="65">IF(T21="","",T20*T21*T22)</f>
        <v/>
      </c>
      <c r="U23" s="1408" t="str">
        <f t="shared" si="65"/>
        <v/>
      </c>
      <c r="V23" s="1408" t="str">
        <f t="shared" si="65"/>
        <v/>
      </c>
      <c r="W23" s="1408" t="str">
        <f t="shared" si="65"/>
        <v/>
      </c>
      <c r="X23" s="1408" t="str">
        <f t="shared" si="65"/>
        <v/>
      </c>
      <c r="Y23" s="1408" t="str">
        <f t="shared" si="65"/>
        <v/>
      </c>
      <c r="Z23" s="1408" t="str">
        <f t="shared" si="65"/>
        <v/>
      </c>
      <c r="AA23" s="1408" t="str">
        <f t="shared" si="65"/>
        <v/>
      </c>
      <c r="AB23" s="1408" t="str">
        <f t="shared" si="65"/>
        <v/>
      </c>
      <c r="AC23" s="1408" t="str">
        <f t="shared" si="65"/>
        <v/>
      </c>
      <c r="AD23" s="1408" t="str">
        <f t="shared" si="65"/>
        <v/>
      </c>
      <c r="AE23" s="1408" t="str">
        <f t="shared" si="65"/>
        <v/>
      </c>
      <c r="AF23" s="1408" t="str">
        <f t="shared" si="65"/>
        <v/>
      </c>
      <c r="AG23" s="1408" t="str">
        <f t="shared" si="65"/>
        <v/>
      </c>
      <c r="AH23" s="1408" t="str">
        <f t="shared" si="65"/>
        <v/>
      </c>
      <c r="AI23" s="1408" t="str">
        <f t="shared" si="65"/>
        <v/>
      </c>
      <c r="AJ23" s="1408" t="str">
        <f t="shared" si="65"/>
        <v/>
      </c>
      <c r="AK23" s="1772"/>
      <c r="AL23" s="1408" t="str">
        <f t="shared" ref="AL23:BB23" si="66">IF(AL21="","",AL20*AL21*AL22)</f>
        <v/>
      </c>
      <c r="AM23" s="1408" t="str">
        <f t="shared" si="66"/>
        <v/>
      </c>
      <c r="AN23" s="1408" t="str">
        <f t="shared" si="66"/>
        <v/>
      </c>
      <c r="AO23" s="1408" t="str">
        <f t="shared" si="66"/>
        <v/>
      </c>
      <c r="AP23" s="1408" t="str">
        <f t="shared" si="66"/>
        <v/>
      </c>
      <c r="AQ23" s="1408" t="str">
        <f t="shared" si="66"/>
        <v/>
      </c>
      <c r="AR23" s="1408" t="str">
        <f t="shared" si="66"/>
        <v/>
      </c>
      <c r="AS23" s="1408" t="str">
        <f t="shared" si="66"/>
        <v/>
      </c>
      <c r="AT23" s="1408" t="str">
        <f t="shared" si="66"/>
        <v/>
      </c>
      <c r="AU23" s="1408" t="str">
        <f t="shared" si="66"/>
        <v/>
      </c>
      <c r="AV23" s="1408" t="str">
        <f t="shared" si="66"/>
        <v/>
      </c>
      <c r="AW23" s="1408" t="str">
        <f t="shared" si="66"/>
        <v/>
      </c>
      <c r="AX23" s="1408" t="str">
        <f t="shared" si="66"/>
        <v/>
      </c>
      <c r="AY23" s="1408" t="str">
        <f t="shared" si="66"/>
        <v/>
      </c>
      <c r="AZ23" s="1408" t="str">
        <f t="shared" si="66"/>
        <v/>
      </c>
      <c r="BA23" s="1408" t="str">
        <f t="shared" si="66"/>
        <v/>
      </c>
      <c r="BB23" s="1408" t="str">
        <f t="shared" si="66"/>
        <v/>
      </c>
      <c r="BC23" s="1772"/>
      <c r="BD23" s="1408" t="str">
        <f t="shared" ref="BD23:BT23" si="67">IF(BD21="","",BD20*BD21*BD22)</f>
        <v/>
      </c>
      <c r="BE23" s="1408" t="str">
        <f t="shared" si="67"/>
        <v/>
      </c>
      <c r="BF23" s="1408" t="str">
        <f t="shared" si="67"/>
        <v/>
      </c>
      <c r="BG23" s="1408" t="str">
        <f t="shared" si="67"/>
        <v/>
      </c>
      <c r="BH23" s="1408" t="str">
        <f t="shared" si="67"/>
        <v/>
      </c>
      <c r="BI23" s="1408" t="str">
        <f t="shared" si="67"/>
        <v/>
      </c>
      <c r="BJ23" s="1408" t="str">
        <f t="shared" si="67"/>
        <v/>
      </c>
      <c r="BK23" s="1408" t="str">
        <f t="shared" si="67"/>
        <v/>
      </c>
      <c r="BL23" s="1408" t="str">
        <f t="shared" si="67"/>
        <v/>
      </c>
      <c r="BM23" s="1408" t="str">
        <f t="shared" si="67"/>
        <v/>
      </c>
      <c r="BN23" s="1408" t="str">
        <f t="shared" si="67"/>
        <v/>
      </c>
      <c r="BO23" s="1408" t="str">
        <f t="shared" si="67"/>
        <v/>
      </c>
      <c r="BP23" s="1408" t="str">
        <f t="shared" si="67"/>
        <v/>
      </c>
      <c r="BQ23" s="1408" t="str">
        <f t="shared" si="67"/>
        <v/>
      </c>
      <c r="BR23" s="1408" t="str">
        <f t="shared" si="67"/>
        <v/>
      </c>
      <c r="BS23" s="1408" t="str">
        <f t="shared" si="67"/>
        <v/>
      </c>
      <c r="BT23" s="1408" t="str">
        <f t="shared" si="6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63"/>
        <v/>
      </c>
      <c r="CE23" s="1740" t="str">
        <f t="shared" si="41"/>
        <v/>
      </c>
      <c r="CF23" s="1741" t="str">
        <f t="shared" si="41"/>
        <v/>
      </c>
      <c r="CG23" s="1741" t="str">
        <f t="shared" si="41"/>
        <v/>
      </c>
      <c r="CH23" s="1741" t="str">
        <f t="shared" si="41"/>
        <v/>
      </c>
      <c r="CI23" s="1741" t="str">
        <f t="shared" si="41"/>
        <v/>
      </c>
      <c r="CJ23" s="1741" t="str">
        <f t="shared" si="41"/>
        <v/>
      </c>
      <c r="CK23" s="1742" t="str">
        <f t="shared" si="41"/>
        <v/>
      </c>
      <c r="CL23" s="1742" t="str">
        <f t="shared" si="41"/>
        <v/>
      </c>
      <c r="CM23" s="1742" t="str">
        <f t="shared" si="41"/>
        <v/>
      </c>
      <c r="CN23" s="1741" t="str">
        <f t="shared" si="41"/>
        <v/>
      </c>
      <c r="CO23" s="1741" t="str">
        <f t="shared" si="41"/>
        <v/>
      </c>
      <c r="CP23" s="1741" t="str">
        <f t="shared" si="41"/>
        <v/>
      </c>
      <c r="CQ23" s="1741" t="str">
        <f t="shared" si="41"/>
        <v/>
      </c>
      <c r="CR23" s="1741" t="str">
        <f t="shared" si="41"/>
        <v/>
      </c>
      <c r="CS23" s="1740" t="str">
        <f t="shared" si="41"/>
        <v/>
      </c>
      <c r="CT23" s="1743" t="str">
        <f t="shared" si="41"/>
        <v/>
      </c>
      <c r="CU23" s="1752" t="str">
        <f t="shared" si="42"/>
        <v/>
      </c>
      <c r="CV23" s="1753" t="str">
        <f t="shared" si="43"/>
        <v/>
      </c>
      <c r="CW23" s="1754" t="str">
        <f t="shared" si="44"/>
        <v/>
      </c>
      <c r="CX23" s="1754" t="str">
        <f t="shared" si="45"/>
        <v/>
      </c>
      <c r="CY23" s="1754" t="str">
        <f t="shared" si="46"/>
        <v/>
      </c>
      <c r="CZ23" s="1754" t="str">
        <f t="shared" si="47"/>
        <v/>
      </c>
      <c r="DA23" s="1754" t="str">
        <f t="shared" si="48"/>
        <v/>
      </c>
      <c r="DB23" s="1755" t="str">
        <f t="shared" si="49"/>
        <v/>
      </c>
      <c r="DC23" s="1755" t="str">
        <f t="shared" si="50"/>
        <v/>
      </c>
      <c r="DD23" s="1755" t="str">
        <f t="shared" si="51"/>
        <v/>
      </c>
      <c r="DE23" s="1754" t="str">
        <f t="shared" si="52"/>
        <v/>
      </c>
      <c r="DF23" s="1754" t="str">
        <f t="shared" si="53"/>
        <v/>
      </c>
      <c r="DG23" s="1754" t="str">
        <f t="shared" si="54"/>
        <v/>
      </c>
      <c r="DH23" s="1754" t="str">
        <f t="shared" si="55"/>
        <v/>
      </c>
      <c r="DI23" s="1754" t="str">
        <f t="shared" si="56"/>
        <v/>
      </c>
      <c r="DJ23" s="1753" t="str">
        <f t="shared" si="57"/>
        <v/>
      </c>
      <c r="DK23" s="1752" t="str">
        <f t="shared" si="58"/>
        <v/>
      </c>
      <c r="DL23" s="1829">
        <f t="shared" si="59"/>
        <v>0</v>
      </c>
      <c r="DM23" s="1439">
        <f t="shared" si="60"/>
        <v>0</v>
      </c>
      <c r="DN23" s="1439">
        <f t="shared" si="61"/>
        <v>0</v>
      </c>
      <c r="DO23" s="1439">
        <f t="shared" si="6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68">3500*$K$1</f>
        <v>14653.8</v>
      </c>
      <c r="D24" s="1773">
        <f t="shared" si="68"/>
        <v>14653.8</v>
      </c>
      <c r="E24" s="1773">
        <f t="shared" si="68"/>
        <v>14653.8</v>
      </c>
      <c r="F24" s="1773">
        <f t="shared" si="68"/>
        <v>14653.8</v>
      </c>
      <c r="G24" s="1773">
        <f t="shared" si="68"/>
        <v>14653.8</v>
      </c>
      <c r="H24" s="1773">
        <f t="shared" si="68"/>
        <v>14653.8</v>
      </c>
      <c r="I24" s="1773">
        <f t="shared" si="68"/>
        <v>14653.8</v>
      </c>
      <c r="J24" s="1773">
        <f t="shared" si="68"/>
        <v>14653.8</v>
      </c>
      <c r="K24" s="1773">
        <f t="shared" si="68"/>
        <v>14653.8</v>
      </c>
      <c r="L24" s="1773">
        <f t="shared" si="68"/>
        <v>14653.8</v>
      </c>
      <c r="M24" s="1773">
        <f t="shared" si="68"/>
        <v>14653.8</v>
      </c>
      <c r="N24" s="1773">
        <f t="shared" si="68"/>
        <v>14653.8</v>
      </c>
      <c r="O24" s="1773">
        <f t="shared" si="68"/>
        <v>14653.8</v>
      </c>
      <c r="P24" s="1773">
        <f t="shared" si="68"/>
        <v>14653.8</v>
      </c>
      <c r="Q24" s="1773">
        <f t="shared" si="68"/>
        <v>14653.8</v>
      </c>
      <c r="R24" s="1773">
        <f t="shared" si="68"/>
        <v>14653.8</v>
      </c>
      <c r="S24" s="1774"/>
      <c r="T24" s="1773">
        <f>3500*$K$1</f>
        <v>14653.8</v>
      </c>
      <c r="U24" s="1773">
        <f t="shared" ref="U24:AJ24" si="69">3500*$K$1</f>
        <v>14653.8</v>
      </c>
      <c r="V24" s="1773">
        <f t="shared" si="69"/>
        <v>14653.8</v>
      </c>
      <c r="W24" s="1773">
        <f t="shared" si="69"/>
        <v>14653.8</v>
      </c>
      <c r="X24" s="1773">
        <f t="shared" si="69"/>
        <v>14653.8</v>
      </c>
      <c r="Y24" s="1773">
        <f t="shared" si="69"/>
        <v>14653.8</v>
      </c>
      <c r="Z24" s="1773">
        <f t="shared" si="69"/>
        <v>14653.8</v>
      </c>
      <c r="AA24" s="1773">
        <f t="shared" si="69"/>
        <v>14653.8</v>
      </c>
      <c r="AB24" s="1773">
        <f t="shared" si="69"/>
        <v>14653.8</v>
      </c>
      <c r="AC24" s="1773">
        <f t="shared" si="69"/>
        <v>14653.8</v>
      </c>
      <c r="AD24" s="1773">
        <f t="shared" si="69"/>
        <v>14653.8</v>
      </c>
      <c r="AE24" s="1773">
        <f t="shared" si="69"/>
        <v>14653.8</v>
      </c>
      <c r="AF24" s="1773">
        <f t="shared" si="69"/>
        <v>14653.8</v>
      </c>
      <c r="AG24" s="1773">
        <f t="shared" si="69"/>
        <v>14653.8</v>
      </c>
      <c r="AH24" s="1773">
        <f t="shared" si="69"/>
        <v>14653.8</v>
      </c>
      <c r="AI24" s="1773">
        <f t="shared" si="69"/>
        <v>14653.8</v>
      </c>
      <c r="AJ24" s="1773">
        <f t="shared" si="69"/>
        <v>14653.8</v>
      </c>
      <c r="AK24" s="1774"/>
      <c r="AL24" s="1773">
        <f>3500*$K$1</f>
        <v>14653.8</v>
      </c>
      <c r="AM24" s="1773">
        <f t="shared" ref="AM24:BB24" si="70">3500*$K$1</f>
        <v>14653.8</v>
      </c>
      <c r="AN24" s="1773">
        <f t="shared" si="70"/>
        <v>14653.8</v>
      </c>
      <c r="AO24" s="1773">
        <f t="shared" si="70"/>
        <v>14653.8</v>
      </c>
      <c r="AP24" s="1773">
        <f t="shared" si="70"/>
        <v>14653.8</v>
      </c>
      <c r="AQ24" s="1773">
        <f t="shared" si="70"/>
        <v>14653.8</v>
      </c>
      <c r="AR24" s="1773">
        <f t="shared" si="70"/>
        <v>14653.8</v>
      </c>
      <c r="AS24" s="1773">
        <f t="shared" si="70"/>
        <v>14653.8</v>
      </c>
      <c r="AT24" s="1773">
        <f t="shared" si="70"/>
        <v>14653.8</v>
      </c>
      <c r="AU24" s="1773">
        <f t="shared" si="70"/>
        <v>14653.8</v>
      </c>
      <c r="AV24" s="1773">
        <f t="shared" si="70"/>
        <v>14653.8</v>
      </c>
      <c r="AW24" s="1773">
        <f t="shared" si="70"/>
        <v>14653.8</v>
      </c>
      <c r="AX24" s="1773">
        <f t="shared" si="70"/>
        <v>14653.8</v>
      </c>
      <c r="AY24" s="1773">
        <f t="shared" si="70"/>
        <v>14653.8</v>
      </c>
      <c r="AZ24" s="1773">
        <f t="shared" si="70"/>
        <v>14653.8</v>
      </c>
      <c r="BA24" s="1773">
        <f t="shared" si="70"/>
        <v>14653.8</v>
      </c>
      <c r="BB24" s="1773">
        <f t="shared" si="70"/>
        <v>14653.8</v>
      </c>
      <c r="BC24" s="1774"/>
      <c r="BD24" s="1773">
        <f>3500*$K$1</f>
        <v>14653.8</v>
      </c>
      <c r="BE24" s="1773">
        <f t="shared" ref="BE24:BY24" si="71">3500*$K$1</f>
        <v>14653.8</v>
      </c>
      <c r="BF24" s="1773">
        <f t="shared" si="71"/>
        <v>14653.8</v>
      </c>
      <c r="BG24" s="1773">
        <f t="shared" si="71"/>
        <v>14653.8</v>
      </c>
      <c r="BH24" s="1773">
        <f t="shared" si="71"/>
        <v>14653.8</v>
      </c>
      <c r="BI24" s="1773">
        <f t="shared" si="71"/>
        <v>14653.8</v>
      </c>
      <c r="BJ24" s="1773">
        <f t="shared" si="71"/>
        <v>14653.8</v>
      </c>
      <c r="BK24" s="1773">
        <f t="shared" si="71"/>
        <v>14653.8</v>
      </c>
      <c r="BL24" s="1773">
        <f t="shared" si="71"/>
        <v>14653.8</v>
      </c>
      <c r="BM24" s="1773">
        <f t="shared" si="71"/>
        <v>14653.8</v>
      </c>
      <c r="BN24" s="1773">
        <f t="shared" si="71"/>
        <v>14653.8</v>
      </c>
      <c r="BO24" s="1773">
        <f t="shared" si="71"/>
        <v>14653.8</v>
      </c>
      <c r="BP24" s="1773">
        <f t="shared" si="71"/>
        <v>14653.8</v>
      </c>
      <c r="BQ24" s="1773">
        <f t="shared" si="71"/>
        <v>14653.8</v>
      </c>
      <c r="BR24" s="1773">
        <f t="shared" si="71"/>
        <v>14653.8</v>
      </c>
      <c r="BS24" s="1773">
        <f t="shared" si="71"/>
        <v>14653.8</v>
      </c>
      <c r="BT24" s="1773">
        <f t="shared" si="71"/>
        <v>14653.8</v>
      </c>
      <c r="BU24" s="1774"/>
      <c r="BV24" s="1773">
        <f t="shared" si="71"/>
        <v>14653.8</v>
      </c>
      <c r="BW24" s="1773">
        <f t="shared" si="71"/>
        <v>14653.8</v>
      </c>
      <c r="BX24" s="1773">
        <f t="shared" si="71"/>
        <v>14653.8</v>
      </c>
      <c r="BY24" s="1773">
        <f t="shared" si="7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63"/>
        <v>14653.8</v>
      </c>
      <c r="CE24" s="1740">
        <f t="shared" si="41"/>
        <v>14653.8</v>
      </c>
      <c r="CF24" s="1741">
        <f t="shared" si="41"/>
        <v>14653.8</v>
      </c>
      <c r="CG24" s="1741">
        <f t="shared" si="41"/>
        <v>14653.8</v>
      </c>
      <c r="CH24" s="1741">
        <f t="shared" si="41"/>
        <v>14653.8</v>
      </c>
      <c r="CI24" s="1741">
        <f t="shared" si="41"/>
        <v>14653.8</v>
      </c>
      <c r="CJ24" s="1741">
        <f t="shared" si="41"/>
        <v>14653.8</v>
      </c>
      <c r="CK24" s="1742">
        <f t="shared" si="41"/>
        <v>14653.8</v>
      </c>
      <c r="CL24" s="1742">
        <f t="shared" si="41"/>
        <v>14653.8</v>
      </c>
      <c r="CM24" s="1742">
        <f t="shared" si="41"/>
        <v>14653.8</v>
      </c>
      <c r="CN24" s="1741">
        <f t="shared" si="41"/>
        <v>14653.8</v>
      </c>
      <c r="CO24" s="1741">
        <f t="shared" si="41"/>
        <v>14653.8</v>
      </c>
      <c r="CP24" s="1741">
        <f t="shared" si="41"/>
        <v>14653.8</v>
      </c>
      <c r="CQ24" s="1741">
        <f t="shared" si="41"/>
        <v>14653.8</v>
      </c>
      <c r="CR24" s="1741">
        <f t="shared" si="41"/>
        <v>14653.8</v>
      </c>
      <c r="CS24" s="1740">
        <f t="shared" si="41"/>
        <v>14653.8</v>
      </c>
      <c r="CT24" s="1743">
        <f t="shared" si="41"/>
        <v>14653.8</v>
      </c>
      <c r="CU24" s="1752">
        <f t="shared" si="42"/>
        <v>14653.8</v>
      </c>
      <c r="CV24" s="1753">
        <f t="shared" si="43"/>
        <v>14653.8</v>
      </c>
      <c r="CW24" s="1754">
        <f t="shared" si="44"/>
        <v>14653.8</v>
      </c>
      <c r="CX24" s="1754">
        <f t="shared" si="45"/>
        <v>14653.8</v>
      </c>
      <c r="CY24" s="1754">
        <f t="shared" si="46"/>
        <v>14653.8</v>
      </c>
      <c r="CZ24" s="1754">
        <f t="shared" si="47"/>
        <v>14653.8</v>
      </c>
      <c r="DA24" s="1754">
        <f t="shared" si="48"/>
        <v>14653.8</v>
      </c>
      <c r="DB24" s="1755">
        <f t="shared" si="49"/>
        <v>14653.8</v>
      </c>
      <c r="DC24" s="1755">
        <f t="shared" si="50"/>
        <v>14653.8</v>
      </c>
      <c r="DD24" s="1755">
        <f t="shared" si="51"/>
        <v>14653.8</v>
      </c>
      <c r="DE24" s="1754">
        <f t="shared" si="52"/>
        <v>14653.8</v>
      </c>
      <c r="DF24" s="1754">
        <f t="shared" si="53"/>
        <v>14653.8</v>
      </c>
      <c r="DG24" s="1754">
        <f t="shared" si="54"/>
        <v>14653.8</v>
      </c>
      <c r="DH24" s="1754">
        <f t="shared" si="55"/>
        <v>14653.8</v>
      </c>
      <c r="DI24" s="1754">
        <f t="shared" si="56"/>
        <v>14653.8</v>
      </c>
      <c r="DJ24" s="1753">
        <f t="shared" si="57"/>
        <v>14653.8</v>
      </c>
      <c r="DK24" s="1752">
        <f t="shared" si="58"/>
        <v>14653.8</v>
      </c>
      <c r="DL24" s="1829">
        <f t="shared" si="59"/>
        <v>17</v>
      </c>
      <c r="DM24" s="1439">
        <f t="shared" si="60"/>
        <v>17</v>
      </c>
      <c r="DN24" s="1439">
        <f t="shared" si="61"/>
        <v>17</v>
      </c>
      <c r="DO24" s="1439">
        <f t="shared" si="6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72">IF(C23="","",C23*C24/C$7/365/$G$1)</f>
        <v/>
      </c>
      <c r="D25" s="1407" t="str">
        <f t="shared" si="72"/>
        <v/>
      </c>
      <c r="E25" s="1407" t="str">
        <f t="shared" si="72"/>
        <v/>
      </c>
      <c r="F25" s="1407" t="str">
        <f t="shared" si="72"/>
        <v/>
      </c>
      <c r="G25" s="1407" t="str">
        <f t="shared" si="72"/>
        <v/>
      </c>
      <c r="H25" s="1407" t="str">
        <f t="shared" si="72"/>
        <v/>
      </c>
      <c r="I25" s="1407" t="str">
        <f t="shared" si="72"/>
        <v/>
      </c>
      <c r="J25" s="1407" t="str">
        <f t="shared" si="72"/>
        <v/>
      </c>
      <c r="K25" s="1407" t="str">
        <f t="shared" si="72"/>
        <v/>
      </c>
      <c r="L25" s="1407" t="str">
        <f t="shared" si="72"/>
        <v/>
      </c>
      <c r="M25" s="1407" t="str">
        <f t="shared" si="72"/>
        <v/>
      </c>
      <c r="N25" s="1407" t="str">
        <f t="shared" si="72"/>
        <v/>
      </c>
      <c r="O25" s="1407" t="str">
        <f t="shared" si="72"/>
        <v/>
      </c>
      <c r="P25" s="1407" t="str">
        <f t="shared" si="72"/>
        <v/>
      </c>
      <c r="Q25" s="1407" t="str">
        <f t="shared" si="72"/>
        <v/>
      </c>
      <c r="R25" s="1407" t="str">
        <f t="shared" si="72"/>
        <v/>
      </c>
      <c r="S25" s="1775"/>
      <c r="T25" s="1407" t="str">
        <f t="shared" ref="T25:AJ25" si="73">IF(T23="","",T23*T24/T$7/365/$G$1)</f>
        <v/>
      </c>
      <c r="U25" s="1407" t="str">
        <f t="shared" si="73"/>
        <v/>
      </c>
      <c r="V25" s="1407" t="str">
        <f t="shared" si="73"/>
        <v/>
      </c>
      <c r="W25" s="1407" t="str">
        <f t="shared" si="73"/>
        <v/>
      </c>
      <c r="X25" s="1407" t="str">
        <f t="shared" si="73"/>
        <v/>
      </c>
      <c r="Y25" s="1407" t="str">
        <f t="shared" si="73"/>
        <v/>
      </c>
      <c r="Z25" s="1407" t="str">
        <f t="shared" si="73"/>
        <v/>
      </c>
      <c r="AA25" s="1407" t="str">
        <f t="shared" si="73"/>
        <v/>
      </c>
      <c r="AB25" s="1407" t="str">
        <f t="shared" si="73"/>
        <v/>
      </c>
      <c r="AC25" s="1407" t="str">
        <f t="shared" si="73"/>
        <v/>
      </c>
      <c r="AD25" s="1407" t="str">
        <f t="shared" si="73"/>
        <v/>
      </c>
      <c r="AE25" s="1407" t="str">
        <f t="shared" si="73"/>
        <v/>
      </c>
      <c r="AF25" s="1407" t="str">
        <f t="shared" si="73"/>
        <v/>
      </c>
      <c r="AG25" s="1407" t="str">
        <f t="shared" si="73"/>
        <v/>
      </c>
      <c r="AH25" s="1407" t="str">
        <f t="shared" si="73"/>
        <v/>
      </c>
      <c r="AI25" s="1407" t="str">
        <f t="shared" si="73"/>
        <v/>
      </c>
      <c r="AJ25" s="1407" t="str">
        <f t="shared" si="73"/>
        <v/>
      </c>
      <c r="AK25" s="1775"/>
      <c r="AL25" s="1407" t="str">
        <f t="shared" ref="AL25:BB25" si="74">IF(AL23="","",AL23*AL24/AL$7/365/$G$1)</f>
        <v/>
      </c>
      <c r="AM25" s="1407" t="str">
        <f t="shared" si="74"/>
        <v/>
      </c>
      <c r="AN25" s="1407" t="str">
        <f t="shared" si="74"/>
        <v/>
      </c>
      <c r="AO25" s="1407" t="str">
        <f t="shared" si="74"/>
        <v/>
      </c>
      <c r="AP25" s="1407" t="str">
        <f t="shared" si="74"/>
        <v/>
      </c>
      <c r="AQ25" s="1407" t="str">
        <f t="shared" si="74"/>
        <v/>
      </c>
      <c r="AR25" s="1407" t="str">
        <f t="shared" si="74"/>
        <v/>
      </c>
      <c r="AS25" s="1407" t="str">
        <f t="shared" si="74"/>
        <v/>
      </c>
      <c r="AT25" s="1407" t="str">
        <f t="shared" si="74"/>
        <v/>
      </c>
      <c r="AU25" s="1407" t="str">
        <f t="shared" si="74"/>
        <v/>
      </c>
      <c r="AV25" s="1407" t="str">
        <f t="shared" si="74"/>
        <v/>
      </c>
      <c r="AW25" s="1407" t="str">
        <f t="shared" si="74"/>
        <v/>
      </c>
      <c r="AX25" s="1407" t="str">
        <f t="shared" si="74"/>
        <v/>
      </c>
      <c r="AY25" s="1407" t="str">
        <f t="shared" si="74"/>
        <v/>
      </c>
      <c r="AZ25" s="1407" t="str">
        <f t="shared" si="74"/>
        <v/>
      </c>
      <c r="BA25" s="1407" t="str">
        <f t="shared" si="74"/>
        <v/>
      </c>
      <c r="BB25" s="1407" t="str">
        <f t="shared" si="74"/>
        <v/>
      </c>
      <c r="BC25" s="1775"/>
      <c r="BD25" s="1407" t="str">
        <f t="shared" ref="BD25:BT25" si="75">IF(BD23="","",BD23*BD24/BD$7/365/$G$1)</f>
        <v/>
      </c>
      <c r="BE25" s="1407" t="str">
        <f t="shared" si="75"/>
        <v/>
      </c>
      <c r="BF25" s="1407" t="str">
        <f t="shared" si="75"/>
        <v/>
      </c>
      <c r="BG25" s="1407" t="str">
        <f t="shared" si="75"/>
        <v/>
      </c>
      <c r="BH25" s="1407" t="str">
        <f t="shared" si="75"/>
        <v/>
      </c>
      <c r="BI25" s="1407" t="str">
        <f t="shared" si="75"/>
        <v/>
      </c>
      <c r="BJ25" s="1407" t="str">
        <f t="shared" si="75"/>
        <v/>
      </c>
      <c r="BK25" s="1407" t="str">
        <f t="shared" si="75"/>
        <v/>
      </c>
      <c r="BL25" s="1407" t="str">
        <f t="shared" si="75"/>
        <v/>
      </c>
      <c r="BM25" s="1407" t="str">
        <f t="shared" si="75"/>
        <v/>
      </c>
      <c r="BN25" s="1407" t="str">
        <f t="shared" si="75"/>
        <v/>
      </c>
      <c r="BO25" s="1407" t="str">
        <f t="shared" si="75"/>
        <v/>
      </c>
      <c r="BP25" s="1407" t="str">
        <f t="shared" si="75"/>
        <v/>
      </c>
      <c r="BQ25" s="1407" t="str">
        <f t="shared" si="75"/>
        <v/>
      </c>
      <c r="BR25" s="1407" t="str">
        <f t="shared" si="75"/>
        <v/>
      </c>
      <c r="BS25" s="1407" t="str">
        <f t="shared" si="75"/>
        <v/>
      </c>
      <c r="BT25" s="1407" t="str">
        <f t="shared" si="75"/>
        <v/>
      </c>
      <c r="BU25" s="1775"/>
      <c r="BV25" s="1407" t="str">
        <f>IF(BV23="","",BV23*BV24/BV$7/365/$G$1)</f>
        <v/>
      </c>
      <c r="BW25" s="1407" t="str">
        <f>IF(BW23="","",BW23*BW24/BW$7/365/$G$1)</f>
        <v/>
      </c>
      <c r="BX25" s="1407" t="str">
        <f>IF(BX23="","",BX23*BX24/BX$7/365/$G$1)</f>
        <v/>
      </c>
      <c r="BY25" s="1407" t="str">
        <f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63"/>
        <v/>
      </c>
      <c r="CE25" s="1757" t="str">
        <f t="shared" si="41"/>
        <v/>
      </c>
      <c r="CF25" s="1758" t="str">
        <f t="shared" si="41"/>
        <v/>
      </c>
      <c r="CG25" s="1758" t="str">
        <f t="shared" si="41"/>
        <v/>
      </c>
      <c r="CH25" s="1758" t="str">
        <f t="shared" si="41"/>
        <v/>
      </c>
      <c r="CI25" s="1758" t="str">
        <f t="shared" si="41"/>
        <v/>
      </c>
      <c r="CJ25" s="1758" t="str">
        <f t="shared" si="41"/>
        <v/>
      </c>
      <c r="CK25" s="1759" t="str">
        <f t="shared" si="41"/>
        <v/>
      </c>
      <c r="CL25" s="1759" t="str">
        <f t="shared" si="41"/>
        <v/>
      </c>
      <c r="CM25" s="1759" t="str">
        <f t="shared" si="41"/>
        <v/>
      </c>
      <c r="CN25" s="1758" t="str">
        <f t="shared" si="41"/>
        <v/>
      </c>
      <c r="CO25" s="1758" t="str">
        <f t="shared" si="41"/>
        <v/>
      </c>
      <c r="CP25" s="1758" t="str">
        <f t="shared" si="41"/>
        <v/>
      </c>
      <c r="CQ25" s="1758" t="str">
        <f t="shared" si="41"/>
        <v/>
      </c>
      <c r="CR25" s="1758" t="str">
        <f t="shared" si="41"/>
        <v/>
      </c>
      <c r="CS25" s="1757" t="str">
        <f t="shared" si="41"/>
        <v/>
      </c>
      <c r="CT25" s="1760" t="str">
        <f t="shared" si="41"/>
        <v/>
      </c>
      <c r="CU25" s="1761" t="str">
        <f t="shared" si="42"/>
        <v/>
      </c>
      <c r="CV25" s="1762" t="str">
        <f t="shared" si="43"/>
        <v/>
      </c>
      <c r="CW25" s="1763" t="str">
        <f t="shared" si="44"/>
        <v/>
      </c>
      <c r="CX25" s="1763" t="str">
        <f t="shared" si="45"/>
        <v/>
      </c>
      <c r="CY25" s="1763" t="str">
        <f t="shared" si="46"/>
        <v/>
      </c>
      <c r="CZ25" s="1763" t="str">
        <f t="shared" si="47"/>
        <v/>
      </c>
      <c r="DA25" s="1763" t="str">
        <f t="shared" si="48"/>
        <v/>
      </c>
      <c r="DB25" s="1764" t="str">
        <f t="shared" si="49"/>
        <v/>
      </c>
      <c r="DC25" s="1764" t="str">
        <f t="shared" si="50"/>
        <v/>
      </c>
      <c r="DD25" s="1764" t="str">
        <f t="shared" si="51"/>
        <v/>
      </c>
      <c r="DE25" s="1763" t="str">
        <f t="shared" si="52"/>
        <v/>
      </c>
      <c r="DF25" s="1763" t="str">
        <f t="shared" si="53"/>
        <v/>
      </c>
      <c r="DG25" s="1763" t="str">
        <f t="shared" si="54"/>
        <v/>
      </c>
      <c r="DH25" s="1763" t="str">
        <f t="shared" si="55"/>
        <v/>
      </c>
      <c r="DI25" s="1763" t="str">
        <f t="shared" si="56"/>
        <v/>
      </c>
      <c r="DJ25" s="1762" t="str">
        <f t="shared" si="57"/>
        <v/>
      </c>
      <c r="DK25" s="1761" t="str">
        <f t="shared" si="58"/>
        <v/>
      </c>
      <c r="DL25" s="1829">
        <f t="shared" si="59"/>
        <v>0</v>
      </c>
      <c r="DM25" s="1439">
        <f t="shared" si="60"/>
        <v>0</v>
      </c>
      <c r="DN25" s="1439">
        <f t="shared" si="61"/>
        <v>0</v>
      </c>
      <c r="DO25" s="1439">
        <f t="shared" si="6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63"/>
        <v/>
      </c>
      <c r="CE26" s="1740" t="str">
        <f t="shared" si="41"/>
        <v/>
      </c>
      <c r="CF26" s="1741" t="str">
        <f t="shared" si="41"/>
        <v/>
      </c>
      <c r="CG26" s="1741" t="str">
        <f t="shared" si="41"/>
        <v/>
      </c>
      <c r="CH26" s="1741" t="str">
        <f t="shared" si="41"/>
        <v/>
      </c>
      <c r="CI26" s="1741" t="str">
        <f t="shared" si="41"/>
        <v/>
      </c>
      <c r="CJ26" s="1741" t="str">
        <f t="shared" si="41"/>
        <v/>
      </c>
      <c r="CK26" s="1742" t="str">
        <f t="shared" si="41"/>
        <v/>
      </c>
      <c r="CL26" s="1742" t="str">
        <f t="shared" si="41"/>
        <v/>
      </c>
      <c r="CM26" s="1742" t="str">
        <f t="shared" si="41"/>
        <v/>
      </c>
      <c r="CN26" s="1741" t="str">
        <f t="shared" si="41"/>
        <v/>
      </c>
      <c r="CO26" s="1741" t="str">
        <f t="shared" si="41"/>
        <v/>
      </c>
      <c r="CP26" s="1741" t="str">
        <f t="shared" si="41"/>
        <v/>
      </c>
      <c r="CQ26" s="1741" t="str">
        <f t="shared" si="41"/>
        <v/>
      </c>
      <c r="CR26" s="1741" t="str">
        <f t="shared" si="41"/>
        <v/>
      </c>
      <c r="CS26" s="1740" t="str">
        <f t="shared" si="41"/>
        <v/>
      </c>
      <c r="CT26" s="1743" t="str">
        <f t="shared" si="41"/>
        <v/>
      </c>
      <c r="CU26" s="1752" t="str">
        <f t="shared" si="42"/>
        <v/>
      </c>
      <c r="CV26" s="1753" t="str">
        <f t="shared" si="43"/>
        <v/>
      </c>
      <c r="CW26" s="1754" t="str">
        <f t="shared" si="44"/>
        <v/>
      </c>
      <c r="CX26" s="1754" t="str">
        <f t="shared" si="45"/>
        <v/>
      </c>
      <c r="CY26" s="1754" t="str">
        <f t="shared" si="46"/>
        <v/>
      </c>
      <c r="CZ26" s="1754" t="str">
        <f t="shared" si="47"/>
        <v/>
      </c>
      <c r="DA26" s="1754" t="str">
        <f t="shared" si="48"/>
        <v/>
      </c>
      <c r="DB26" s="1755" t="str">
        <f t="shared" si="49"/>
        <v/>
      </c>
      <c r="DC26" s="1755" t="str">
        <f t="shared" si="50"/>
        <v/>
      </c>
      <c r="DD26" s="1755" t="str">
        <f t="shared" si="51"/>
        <v/>
      </c>
      <c r="DE26" s="1754" t="str">
        <f t="shared" si="52"/>
        <v/>
      </c>
      <c r="DF26" s="1754" t="str">
        <f t="shared" si="53"/>
        <v/>
      </c>
      <c r="DG26" s="1754" t="str">
        <f t="shared" si="54"/>
        <v/>
      </c>
      <c r="DH26" s="1754" t="str">
        <f t="shared" si="55"/>
        <v/>
      </c>
      <c r="DI26" s="1754" t="str">
        <f t="shared" si="56"/>
        <v/>
      </c>
      <c r="DJ26" s="1753" t="str">
        <f t="shared" si="57"/>
        <v/>
      </c>
      <c r="DK26" s="1752" t="str">
        <f t="shared" si="58"/>
        <v/>
      </c>
      <c r="DL26" s="1829">
        <f t="shared" si="59"/>
        <v>0</v>
      </c>
      <c r="DM26" s="1439">
        <f t="shared" si="60"/>
        <v>0</v>
      </c>
      <c r="DN26" s="1439">
        <f t="shared" si="61"/>
        <v>0</v>
      </c>
      <c r="DO26" s="1439">
        <f t="shared" si="6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76">IF(B26="","",B21*B26*B22)</f>
        <v/>
      </c>
      <c r="C27" s="1408" t="str">
        <f t="shared" si="76"/>
        <v/>
      </c>
      <c r="D27" s="1408" t="str">
        <f t="shared" si="76"/>
        <v/>
      </c>
      <c r="E27" s="1408" t="str">
        <f t="shared" si="76"/>
        <v/>
      </c>
      <c r="F27" s="1408" t="str">
        <f t="shared" si="76"/>
        <v/>
      </c>
      <c r="G27" s="1408" t="str">
        <f t="shared" si="76"/>
        <v/>
      </c>
      <c r="H27" s="1408" t="str">
        <f t="shared" si="76"/>
        <v/>
      </c>
      <c r="I27" s="1408" t="str">
        <f t="shared" si="76"/>
        <v/>
      </c>
      <c r="J27" s="1408" t="str">
        <f t="shared" si="76"/>
        <v/>
      </c>
      <c r="K27" s="1408" t="str">
        <f t="shared" si="76"/>
        <v/>
      </c>
      <c r="L27" s="1408" t="str">
        <f t="shared" si="76"/>
        <v/>
      </c>
      <c r="M27" s="1408" t="str">
        <f t="shared" si="76"/>
        <v/>
      </c>
      <c r="N27" s="1408" t="str">
        <f t="shared" si="76"/>
        <v/>
      </c>
      <c r="O27" s="1408" t="str">
        <f t="shared" si="76"/>
        <v/>
      </c>
      <c r="P27" s="1408" t="str">
        <f t="shared" si="76"/>
        <v/>
      </c>
      <c r="Q27" s="1408" t="str">
        <f t="shared" si="76"/>
        <v/>
      </c>
      <c r="R27" s="1408" t="str">
        <f t="shared" si="76"/>
        <v/>
      </c>
      <c r="S27" s="1772"/>
      <c r="T27" s="1408" t="str">
        <f t="shared" ref="T27:AJ27" si="77">IF(T26="","",T21*T26*T22)</f>
        <v/>
      </c>
      <c r="U27" s="1408" t="str">
        <f t="shared" si="77"/>
        <v/>
      </c>
      <c r="V27" s="1408" t="str">
        <f t="shared" si="77"/>
        <v/>
      </c>
      <c r="W27" s="1408" t="str">
        <f t="shared" si="77"/>
        <v/>
      </c>
      <c r="X27" s="1408" t="str">
        <f t="shared" si="77"/>
        <v/>
      </c>
      <c r="Y27" s="1408" t="str">
        <f t="shared" si="77"/>
        <v/>
      </c>
      <c r="Z27" s="1408" t="str">
        <f t="shared" si="77"/>
        <v/>
      </c>
      <c r="AA27" s="1408" t="str">
        <f t="shared" si="77"/>
        <v/>
      </c>
      <c r="AB27" s="1408" t="str">
        <f t="shared" si="77"/>
        <v/>
      </c>
      <c r="AC27" s="1408" t="str">
        <f t="shared" si="77"/>
        <v/>
      </c>
      <c r="AD27" s="1408" t="str">
        <f t="shared" si="77"/>
        <v/>
      </c>
      <c r="AE27" s="1408" t="str">
        <f t="shared" si="77"/>
        <v/>
      </c>
      <c r="AF27" s="1408" t="str">
        <f t="shared" si="77"/>
        <v/>
      </c>
      <c r="AG27" s="1408" t="str">
        <f t="shared" si="77"/>
        <v/>
      </c>
      <c r="AH27" s="1408" t="str">
        <f t="shared" si="77"/>
        <v/>
      </c>
      <c r="AI27" s="1408" t="str">
        <f t="shared" si="77"/>
        <v/>
      </c>
      <c r="AJ27" s="1408" t="str">
        <f t="shared" si="77"/>
        <v/>
      </c>
      <c r="AK27" s="1772"/>
      <c r="AL27" s="1408" t="str">
        <f t="shared" ref="AL27:BB27" si="78">IF(AL26="","",AL21*AL26*AL22)</f>
        <v/>
      </c>
      <c r="AM27" s="1408" t="str">
        <f t="shared" si="78"/>
        <v/>
      </c>
      <c r="AN27" s="1408" t="str">
        <f t="shared" si="78"/>
        <v/>
      </c>
      <c r="AO27" s="1408" t="str">
        <f t="shared" si="78"/>
        <v/>
      </c>
      <c r="AP27" s="1408" t="str">
        <f t="shared" si="78"/>
        <v/>
      </c>
      <c r="AQ27" s="1408" t="str">
        <f t="shared" si="78"/>
        <v/>
      </c>
      <c r="AR27" s="1408" t="str">
        <f t="shared" si="78"/>
        <v/>
      </c>
      <c r="AS27" s="1408" t="str">
        <f t="shared" si="78"/>
        <v/>
      </c>
      <c r="AT27" s="1408" t="str">
        <f t="shared" si="78"/>
        <v/>
      </c>
      <c r="AU27" s="1408" t="str">
        <f t="shared" si="78"/>
        <v/>
      </c>
      <c r="AV27" s="1408" t="str">
        <f t="shared" si="78"/>
        <v/>
      </c>
      <c r="AW27" s="1408" t="str">
        <f t="shared" si="78"/>
        <v/>
      </c>
      <c r="AX27" s="1408" t="str">
        <f t="shared" si="78"/>
        <v/>
      </c>
      <c r="AY27" s="1408" t="str">
        <f t="shared" si="78"/>
        <v/>
      </c>
      <c r="AZ27" s="1408" t="str">
        <f t="shared" si="78"/>
        <v/>
      </c>
      <c r="BA27" s="1408" t="str">
        <f t="shared" si="78"/>
        <v/>
      </c>
      <c r="BB27" s="1408" t="str">
        <f t="shared" si="78"/>
        <v/>
      </c>
      <c r="BC27" s="1772"/>
      <c r="BD27" s="1408" t="str">
        <f t="shared" ref="BD27:BT27" si="79">IF(BD26="","",BD21*BD26*BD22)</f>
        <v/>
      </c>
      <c r="BE27" s="1408" t="str">
        <f t="shared" si="79"/>
        <v/>
      </c>
      <c r="BF27" s="1408" t="str">
        <f t="shared" si="79"/>
        <v/>
      </c>
      <c r="BG27" s="1408" t="str">
        <f t="shared" si="79"/>
        <v/>
      </c>
      <c r="BH27" s="1408" t="str">
        <f t="shared" si="79"/>
        <v/>
      </c>
      <c r="BI27" s="1408" t="str">
        <f t="shared" si="79"/>
        <v/>
      </c>
      <c r="BJ27" s="1408" t="str">
        <f t="shared" si="79"/>
        <v/>
      </c>
      <c r="BK27" s="1408" t="str">
        <f t="shared" si="79"/>
        <v/>
      </c>
      <c r="BL27" s="1408" t="str">
        <f t="shared" si="79"/>
        <v/>
      </c>
      <c r="BM27" s="1408" t="str">
        <f t="shared" si="79"/>
        <v/>
      </c>
      <c r="BN27" s="1408" t="str">
        <f t="shared" si="79"/>
        <v/>
      </c>
      <c r="BO27" s="1408" t="str">
        <f t="shared" si="79"/>
        <v/>
      </c>
      <c r="BP27" s="1408" t="str">
        <f t="shared" si="79"/>
        <v/>
      </c>
      <c r="BQ27" s="1408" t="str">
        <f t="shared" si="79"/>
        <v/>
      </c>
      <c r="BR27" s="1408" t="str">
        <f t="shared" si="79"/>
        <v/>
      </c>
      <c r="BS27" s="1408" t="str">
        <f t="shared" si="79"/>
        <v/>
      </c>
      <c r="BT27" s="1408" t="str">
        <f t="shared" si="79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63"/>
        <v/>
      </c>
      <c r="CE27" s="1740" t="str">
        <f t="shared" si="41"/>
        <v/>
      </c>
      <c r="CF27" s="1741" t="str">
        <f t="shared" si="41"/>
        <v/>
      </c>
      <c r="CG27" s="1741" t="str">
        <f t="shared" si="41"/>
        <v/>
      </c>
      <c r="CH27" s="1741" t="str">
        <f t="shared" si="41"/>
        <v/>
      </c>
      <c r="CI27" s="1741" t="str">
        <f t="shared" si="41"/>
        <v/>
      </c>
      <c r="CJ27" s="1741" t="str">
        <f t="shared" si="41"/>
        <v/>
      </c>
      <c r="CK27" s="1742" t="str">
        <f t="shared" si="41"/>
        <v/>
      </c>
      <c r="CL27" s="1742" t="str">
        <f t="shared" si="41"/>
        <v/>
      </c>
      <c r="CM27" s="1742" t="str">
        <f t="shared" si="41"/>
        <v/>
      </c>
      <c r="CN27" s="1741" t="str">
        <f t="shared" si="41"/>
        <v/>
      </c>
      <c r="CO27" s="1741" t="str">
        <f t="shared" si="41"/>
        <v/>
      </c>
      <c r="CP27" s="1741" t="str">
        <f t="shared" si="41"/>
        <v/>
      </c>
      <c r="CQ27" s="1741" t="str">
        <f t="shared" si="41"/>
        <v/>
      </c>
      <c r="CR27" s="1741" t="str">
        <f t="shared" si="41"/>
        <v/>
      </c>
      <c r="CS27" s="1740" t="str">
        <f t="shared" si="41"/>
        <v/>
      </c>
      <c r="CT27" s="1743" t="str">
        <f t="shared" si="41"/>
        <v/>
      </c>
      <c r="CU27" s="1752" t="str">
        <f t="shared" si="42"/>
        <v/>
      </c>
      <c r="CV27" s="1753" t="str">
        <f t="shared" si="43"/>
        <v/>
      </c>
      <c r="CW27" s="1754" t="str">
        <f t="shared" si="44"/>
        <v/>
      </c>
      <c r="CX27" s="1754" t="str">
        <f t="shared" si="45"/>
        <v/>
      </c>
      <c r="CY27" s="1754" t="str">
        <f t="shared" si="46"/>
        <v/>
      </c>
      <c r="CZ27" s="1754" t="str">
        <f t="shared" si="47"/>
        <v/>
      </c>
      <c r="DA27" s="1754" t="str">
        <f t="shared" si="48"/>
        <v/>
      </c>
      <c r="DB27" s="1755" t="str">
        <f t="shared" si="49"/>
        <v/>
      </c>
      <c r="DC27" s="1755" t="str">
        <f t="shared" si="50"/>
        <v/>
      </c>
      <c r="DD27" s="1755" t="str">
        <f t="shared" si="51"/>
        <v/>
      </c>
      <c r="DE27" s="1754" t="str">
        <f t="shared" si="52"/>
        <v/>
      </c>
      <c r="DF27" s="1754" t="str">
        <f t="shared" si="53"/>
        <v/>
      </c>
      <c r="DG27" s="1754" t="str">
        <f t="shared" si="54"/>
        <v/>
      </c>
      <c r="DH27" s="1754" t="str">
        <f t="shared" si="55"/>
        <v/>
      </c>
      <c r="DI27" s="1754" t="str">
        <f t="shared" si="56"/>
        <v/>
      </c>
      <c r="DJ27" s="1753" t="str">
        <f t="shared" si="57"/>
        <v/>
      </c>
      <c r="DK27" s="1752" t="str">
        <f t="shared" si="58"/>
        <v/>
      </c>
      <c r="DL27" s="1829">
        <f t="shared" si="59"/>
        <v>0</v>
      </c>
      <c r="DM27" s="1439">
        <f t="shared" si="60"/>
        <v>0</v>
      </c>
      <c r="DN27" s="1439">
        <f t="shared" si="61"/>
        <v>0</v>
      </c>
      <c r="DO27" s="1439">
        <f t="shared" si="6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80"/>
        <v>5</v>
      </c>
      <c r="CF29" s="1741">
        <f t="shared" si="80"/>
        <v>5</v>
      </c>
      <c r="CG29" s="1741">
        <f t="shared" si="80"/>
        <v>5</v>
      </c>
      <c r="CH29" s="1741">
        <f t="shared" si="80"/>
        <v>5</v>
      </c>
      <c r="CI29" s="1741">
        <f t="shared" si="80"/>
        <v>5</v>
      </c>
      <c r="CJ29" s="1741">
        <f t="shared" si="80"/>
        <v>5</v>
      </c>
      <c r="CK29" s="1742">
        <f t="shared" si="80"/>
        <v>5</v>
      </c>
      <c r="CL29" s="1777">
        <f t="shared" si="80"/>
        <v>5</v>
      </c>
      <c r="CM29" s="1742">
        <f t="shared" si="80"/>
        <v>5</v>
      </c>
      <c r="CN29" s="1741">
        <f t="shared" si="80"/>
        <v>5</v>
      </c>
      <c r="CO29" s="1741">
        <f t="shared" si="80"/>
        <v>5</v>
      </c>
      <c r="CP29" s="1741">
        <f t="shared" si="80"/>
        <v>5</v>
      </c>
      <c r="CQ29" s="1741">
        <f t="shared" si="80"/>
        <v>5</v>
      </c>
      <c r="CR29" s="1741">
        <f t="shared" si="80"/>
        <v>5</v>
      </c>
      <c r="CS29" s="1740">
        <f t="shared" si="80"/>
        <v>5</v>
      </c>
      <c r="CT29" s="1743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99">COUNT(B29:R29)</f>
        <v>17</v>
      </c>
      <c r="DM29" s="1439">
        <f t="shared" ref="DM29:DM36" si="100">COUNT(T29:AJ29)</f>
        <v>17</v>
      </c>
      <c r="DN29" s="1439">
        <f t="shared" ref="DN29:DN36" si="101">COUNT(AL29:BB29)</f>
        <v>17</v>
      </c>
      <c r="DO29" s="1439">
        <f t="shared" ref="DO29:DO36" si="102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81"/>
        <v/>
      </c>
      <c r="CF30" s="1741" t="str">
        <f t="shared" si="81"/>
        <v/>
      </c>
      <c r="CG30" s="1741" t="str">
        <f t="shared" si="81"/>
        <v/>
      </c>
      <c r="CH30" s="1741" t="str">
        <f t="shared" si="81"/>
        <v/>
      </c>
      <c r="CI30" s="1741" t="str">
        <f t="shared" si="81"/>
        <v/>
      </c>
      <c r="CJ30" s="1741" t="str">
        <f t="shared" si="81"/>
        <v/>
      </c>
      <c r="CK30" s="1742" t="str">
        <f t="shared" si="81"/>
        <v/>
      </c>
      <c r="CL30" s="1742" t="str">
        <f t="shared" si="81"/>
        <v/>
      </c>
      <c r="CM30" s="1742" t="str">
        <f t="shared" si="81"/>
        <v/>
      </c>
      <c r="CN30" s="1741" t="str">
        <f t="shared" si="81"/>
        <v/>
      </c>
      <c r="CO30" s="1741" t="str">
        <f t="shared" si="81"/>
        <v/>
      </c>
      <c r="CP30" s="1741" t="str">
        <f t="shared" si="81"/>
        <v/>
      </c>
      <c r="CQ30" s="1741" t="str">
        <f t="shared" si="81"/>
        <v/>
      </c>
      <c r="CR30" s="1741" t="str">
        <f t="shared" si="81"/>
        <v/>
      </c>
      <c r="CS30" s="1740" t="str">
        <f t="shared" si="81"/>
        <v/>
      </c>
      <c r="CT30" s="1743" t="str">
        <f t="shared" si="81"/>
        <v/>
      </c>
      <c r="CU30" s="1752" t="str">
        <f t="shared" si="82"/>
        <v/>
      </c>
      <c r="CV30" s="1753" t="str">
        <f t="shared" si="83"/>
        <v/>
      </c>
      <c r="CW30" s="1754" t="str">
        <f t="shared" si="84"/>
        <v/>
      </c>
      <c r="CX30" s="1754" t="str">
        <f t="shared" si="85"/>
        <v/>
      </c>
      <c r="CY30" s="1754" t="str">
        <f t="shared" si="86"/>
        <v/>
      </c>
      <c r="CZ30" s="1754" t="str">
        <f t="shared" si="87"/>
        <v/>
      </c>
      <c r="DA30" s="1754" t="str">
        <f t="shared" si="88"/>
        <v/>
      </c>
      <c r="DB30" s="1755" t="str">
        <f t="shared" si="89"/>
        <v/>
      </c>
      <c r="DC30" s="1755" t="str">
        <f t="shared" si="90"/>
        <v/>
      </c>
      <c r="DD30" s="1755" t="str">
        <f t="shared" si="91"/>
        <v/>
      </c>
      <c r="DE30" s="1754" t="str">
        <f t="shared" si="92"/>
        <v/>
      </c>
      <c r="DF30" s="1754" t="str">
        <f t="shared" si="93"/>
        <v/>
      </c>
      <c r="DG30" s="1754" t="str">
        <f t="shared" si="94"/>
        <v/>
      </c>
      <c r="DH30" s="1754" t="str">
        <f t="shared" si="95"/>
        <v/>
      </c>
      <c r="DI30" s="1754" t="str">
        <f t="shared" si="96"/>
        <v/>
      </c>
      <c r="DJ30" s="1753" t="str">
        <f t="shared" si="97"/>
        <v/>
      </c>
      <c r="DK30" s="1752" t="str">
        <f t="shared" si="98"/>
        <v/>
      </c>
      <c r="DL30" s="1829">
        <f t="shared" si="99"/>
        <v>0</v>
      </c>
      <c r="DM30" s="1439">
        <f t="shared" si="100"/>
        <v>0</v>
      </c>
      <c r="DN30" s="1439">
        <f t="shared" si="101"/>
        <v>0</v>
      </c>
      <c r="DO30" s="1439">
        <f t="shared" si="102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03"/>
        <v/>
      </c>
      <c r="CE31" s="1740" t="str">
        <f t="shared" si="81"/>
        <v/>
      </c>
      <c r="CF31" s="1741" t="str">
        <f t="shared" si="81"/>
        <v/>
      </c>
      <c r="CG31" s="1741" t="str">
        <f t="shared" si="81"/>
        <v/>
      </c>
      <c r="CH31" s="1741" t="str">
        <f t="shared" si="81"/>
        <v/>
      </c>
      <c r="CI31" s="1741" t="str">
        <f t="shared" si="81"/>
        <v/>
      </c>
      <c r="CJ31" s="1741" t="str">
        <f t="shared" si="81"/>
        <v/>
      </c>
      <c r="CK31" s="1742" t="str">
        <f t="shared" si="81"/>
        <v/>
      </c>
      <c r="CL31" s="1742" t="str">
        <f t="shared" si="81"/>
        <v/>
      </c>
      <c r="CM31" s="1742" t="str">
        <f t="shared" si="81"/>
        <v/>
      </c>
      <c r="CN31" s="1741" t="str">
        <f t="shared" si="81"/>
        <v/>
      </c>
      <c r="CO31" s="1741" t="str">
        <f t="shared" si="81"/>
        <v/>
      </c>
      <c r="CP31" s="1741" t="str">
        <f t="shared" si="81"/>
        <v/>
      </c>
      <c r="CQ31" s="1741" t="str">
        <f t="shared" si="81"/>
        <v/>
      </c>
      <c r="CR31" s="1741" t="str">
        <f t="shared" si="81"/>
        <v/>
      </c>
      <c r="CS31" s="1740" t="str">
        <f t="shared" si="81"/>
        <v/>
      </c>
      <c r="CT31" s="1743" t="str">
        <f t="shared" si="81"/>
        <v/>
      </c>
      <c r="CU31" s="1752" t="str">
        <f t="shared" si="82"/>
        <v/>
      </c>
      <c r="CV31" s="1753" t="str">
        <f t="shared" si="83"/>
        <v/>
      </c>
      <c r="CW31" s="1754" t="str">
        <f t="shared" si="84"/>
        <v/>
      </c>
      <c r="CX31" s="1754" t="str">
        <f t="shared" si="85"/>
        <v/>
      </c>
      <c r="CY31" s="1754" t="str">
        <f t="shared" si="86"/>
        <v/>
      </c>
      <c r="CZ31" s="1754" t="str">
        <f t="shared" si="87"/>
        <v/>
      </c>
      <c r="DA31" s="1754" t="str">
        <f t="shared" si="88"/>
        <v/>
      </c>
      <c r="DB31" s="1755" t="str">
        <f t="shared" si="89"/>
        <v/>
      </c>
      <c r="DC31" s="1755" t="str">
        <f t="shared" si="90"/>
        <v/>
      </c>
      <c r="DD31" s="1755" t="str">
        <f t="shared" si="91"/>
        <v/>
      </c>
      <c r="DE31" s="1754" t="str">
        <f t="shared" si="92"/>
        <v/>
      </c>
      <c r="DF31" s="1754" t="str">
        <f t="shared" si="93"/>
        <v/>
      </c>
      <c r="DG31" s="1754" t="str">
        <f t="shared" si="94"/>
        <v/>
      </c>
      <c r="DH31" s="1754" t="str">
        <f t="shared" si="95"/>
        <v/>
      </c>
      <c r="DI31" s="1754" t="str">
        <f t="shared" si="96"/>
        <v/>
      </c>
      <c r="DJ31" s="1753" t="str">
        <f t="shared" si="97"/>
        <v/>
      </c>
      <c r="DK31" s="1752" t="str">
        <f t="shared" si="98"/>
        <v/>
      </c>
      <c r="DL31" s="1829">
        <f t="shared" si="99"/>
        <v>0</v>
      </c>
      <c r="DM31" s="1439">
        <f t="shared" si="100"/>
        <v>0</v>
      </c>
      <c r="DN31" s="1439">
        <f t="shared" si="101"/>
        <v>0</v>
      </c>
      <c r="DO31" s="1439">
        <f t="shared" si="102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04">IF(B30="","",B29*B30*B31)</f>
        <v/>
      </c>
      <c r="C32" s="1408" t="str">
        <f t="shared" si="104"/>
        <v/>
      </c>
      <c r="D32" s="1408" t="str">
        <f t="shared" si="104"/>
        <v/>
      </c>
      <c r="E32" s="1408" t="str">
        <f t="shared" si="104"/>
        <v/>
      </c>
      <c r="F32" s="1408" t="str">
        <f t="shared" si="104"/>
        <v/>
      </c>
      <c r="G32" s="1408" t="str">
        <f t="shared" si="104"/>
        <v/>
      </c>
      <c r="H32" s="1408" t="str">
        <f t="shared" si="104"/>
        <v/>
      </c>
      <c r="I32" s="1408" t="str">
        <f t="shared" si="104"/>
        <v/>
      </c>
      <c r="J32" s="1408" t="str">
        <f t="shared" si="104"/>
        <v/>
      </c>
      <c r="K32" s="1408" t="str">
        <f t="shared" si="104"/>
        <v/>
      </c>
      <c r="L32" s="1408" t="str">
        <f t="shared" si="104"/>
        <v/>
      </c>
      <c r="M32" s="1408" t="str">
        <f t="shared" si="104"/>
        <v/>
      </c>
      <c r="N32" s="1408" t="str">
        <f t="shared" si="104"/>
        <v/>
      </c>
      <c r="O32" s="1408" t="str">
        <f t="shared" si="104"/>
        <v/>
      </c>
      <c r="P32" s="1408" t="str">
        <f t="shared" si="104"/>
        <v/>
      </c>
      <c r="Q32" s="1408" t="str">
        <f t="shared" si="104"/>
        <v/>
      </c>
      <c r="R32" s="1408" t="str">
        <f t="shared" si="104"/>
        <v/>
      </c>
      <c r="S32" s="1772"/>
      <c r="T32" s="1408" t="str">
        <f t="shared" ref="T32:AJ32" si="105">IF(T30="","",T29*T30*T31)</f>
        <v/>
      </c>
      <c r="U32" s="1408" t="str">
        <f t="shared" si="105"/>
        <v/>
      </c>
      <c r="V32" s="1408" t="str">
        <f t="shared" si="105"/>
        <v/>
      </c>
      <c r="W32" s="1408" t="str">
        <f t="shared" si="105"/>
        <v/>
      </c>
      <c r="X32" s="1408" t="str">
        <f t="shared" si="105"/>
        <v/>
      </c>
      <c r="Y32" s="1408" t="str">
        <f t="shared" si="105"/>
        <v/>
      </c>
      <c r="Z32" s="1408" t="str">
        <f t="shared" si="105"/>
        <v/>
      </c>
      <c r="AA32" s="1408" t="str">
        <f t="shared" si="105"/>
        <v/>
      </c>
      <c r="AB32" s="1408" t="str">
        <f t="shared" si="105"/>
        <v/>
      </c>
      <c r="AC32" s="1408" t="str">
        <f t="shared" si="105"/>
        <v/>
      </c>
      <c r="AD32" s="1408" t="str">
        <f t="shared" si="105"/>
        <v/>
      </c>
      <c r="AE32" s="1408" t="str">
        <f t="shared" si="105"/>
        <v/>
      </c>
      <c r="AF32" s="1408" t="str">
        <f t="shared" si="105"/>
        <v/>
      </c>
      <c r="AG32" s="1408" t="str">
        <f t="shared" si="105"/>
        <v/>
      </c>
      <c r="AH32" s="1408" t="str">
        <f t="shared" si="105"/>
        <v/>
      </c>
      <c r="AI32" s="1408" t="str">
        <f t="shared" si="105"/>
        <v/>
      </c>
      <c r="AJ32" s="1408" t="str">
        <f t="shared" si="105"/>
        <v/>
      </c>
      <c r="AK32" s="1772"/>
      <c r="AL32" s="1408" t="str">
        <f t="shared" ref="AL32:BB32" si="106">IF(AL30="","",AL29*AL30*AL31)</f>
        <v/>
      </c>
      <c r="AM32" s="1408" t="str">
        <f t="shared" si="106"/>
        <v/>
      </c>
      <c r="AN32" s="1408" t="str">
        <f t="shared" si="106"/>
        <v/>
      </c>
      <c r="AO32" s="1408" t="str">
        <f t="shared" si="106"/>
        <v/>
      </c>
      <c r="AP32" s="1408" t="str">
        <f t="shared" si="106"/>
        <v/>
      </c>
      <c r="AQ32" s="1408" t="str">
        <f t="shared" si="106"/>
        <v/>
      </c>
      <c r="AR32" s="1408" t="str">
        <f t="shared" si="106"/>
        <v/>
      </c>
      <c r="AS32" s="1408" t="str">
        <f t="shared" si="106"/>
        <v/>
      </c>
      <c r="AT32" s="1408" t="str">
        <f t="shared" si="106"/>
        <v/>
      </c>
      <c r="AU32" s="1408" t="str">
        <f t="shared" si="106"/>
        <v/>
      </c>
      <c r="AV32" s="1408" t="str">
        <f t="shared" si="106"/>
        <v/>
      </c>
      <c r="AW32" s="1408" t="str">
        <f t="shared" si="106"/>
        <v/>
      </c>
      <c r="AX32" s="1408" t="str">
        <f t="shared" si="106"/>
        <v/>
      </c>
      <c r="AY32" s="1408" t="str">
        <f t="shared" si="106"/>
        <v/>
      </c>
      <c r="AZ32" s="1408" t="str">
        <f t="shared" si="106"/>
        <v/>
      </c>
      <c r="BA32" s="1408" t="str">
        <f t="shared" si="106"/>
        <v/>
      </c>
      <c r="BB32" s="1408" t="str">
        <f t="shared" si="106"/>
        <v/>
      </c>
      <c r="BC32" s="1772"/>
      <c r="BD32" s="1408" t="str">
        <f t="shared" ref="BD32:BT32" si="107">IF(BD30="","",BD29*BD30*BD31)</f>
        <v/>
      </c>
      <c r="BE32" s="1408" t="str">
        <f t="shared" si="107"/>
        <v/>
      </c>
      <c r="BF32" s="1408" t="str">
        <f t="shared" si="107"/>
        <v/>
      </c>
      <c r="BG32" s="1408" t="str">
        <f t="shared" si="107"/>
        <v/>
      </c>
      <c r="BH32" s="1408" t="str">
        <f t="shared" si="107"/>
        <v/>
      </c>
      <c r="BI32" s="1408" t="str">
        <f t="shared" si="107"/>
        <v/>
      </c>
      <c r="BJ32" s="1408" t="str">
        <f t="shared" si="107"/>
        <v/>
      </c>
      <c r="BK32" s="1408" t="str">
        <f t="shared" si="107"/>
        <v/>
      </c>
      <c r="BL32" s="1408" t="str">
        <f t="shared" si="107"/>
        <v/>
      </c>
      <c r="BM32" s="1408" t="str">
        <f t="shared" si="107"/>
        <v/>
      </c>
      <c r="BN32" s="1408" t="str">
        <f t="shared" si="107"/>
        <v/>
      </c>
      <c r="BO32" s="1408" t="str">
        <f t="shared" si="107"/>
        <v/>
      </c>
      <c r="BP32" s="1408" t="str">
        <f t="shared" si="107"/>
        <v/>
      </c>
      <c r="BQ32" s="1408" t="str">
        <f t="shared" si="107"/>
        <v/>
      </c>
      <c r="BR32" s="1408" t="str">
        <f t="shared" si="107"/>
        <v/>
      </c>
      <c r="BS32" s="1408" t="str">
        <f t="shared" si="107"/>
        <v/>
      </c>
      <c r="BT32" s="1408" t="str">
        <f t="shared" si="107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03"/>
        <v/>
      </c>
      <c r="CE32" s="1740" t="str">
        <f t="shared" si="81"/>
        <v/>
      </c>
      <c r="CF32" s="1741" t="str">
        <f t="shared" si="81"/>
        <v/>
      </c>
      <c r="CG32" s="1741" t="str">
        <f t="shared" si="81"/>
        <v/>
      </c>
      <c r="CH32" s="1741" t="str">
        <f t="shared" si="81"/>
        <v/>
      </c>
      <c r="CI32" s="1741" t="str">
        <f t="shared" si="81"/>
        <v/>
      </c>
      <c r="CJ32" s="1741" t="str">
        <f t="shared" si="81"/>
        <v/>
      </c>
      <c r="CK32" s="1742" t="str">
        <f t="shared" si="81"/>
        <v/>
      </c>
      <c r="CL32" s="1742" t="str">
        <f t="shared" si="81"/>
        <v/>
      </c>
      <c r="CM32" s="1742" t="str">
        <f t="shared" si="81"/>
        <v/>
      </c>
      <c r="CN32" s="1741" t="str">
        <f t="shared" si="81"/>
        <v/>
      </c>
      <c r="CO32" s="1741" t="str">
        <f t="shared" si="81"/>
        <v/>
      </c>
      <c r="CP32" s="1741" t="str">
        <f t="shared" si="81"/>
        <v/>
      </c>
      <c r="CQ32" s="1741" t="str">
        <f t="shared" si="81"/>
        <v/>
      </c>
      <c r="CR32" s="1741" t="str">
        <f t="shared" si="81"/>
        <v/>
      </c>
      <c r="CS32" s="1740" t="str">
        <f t="shared" si="81"/>
        <v/>
      </c>
      <c r="CT32" s="1743" t="str">
        <f t="shared" si="81"/>
        <v/>
      </c>
      <c r="CU32" s="1752" t="str">
        <f t="shared" si="82"/>
        <v/>
      </c>
      <c r="CV32" s="1753" t="str">
        <f t="shared" si="83"/>
        <v/>
      </c>
      <c r="CW32" s="1754" t="str">
        <f t="shared" si="84"/>
        <v/>
      </c>
      <c r="CX32" s="1754" t="str">
        <f t="shared" si="85"/>
        <v/>
      </c>
      <c r="CY32" s="1754" t="str">
        <f t="shared" si="86"/>
        <v/>
      </c>
      <c r="CZ32" s="1754" t="str">
        <f t="shared" si="87"/>
        <v/>
      </c>
      <c r="DA32" s="1754" t="str">
        <f t="shared" si="88"/>
        <v/>
      </c>
      <c r="DB32" s="1755" t="str">
        <f t="shared" si="89"/>
        <v/>
      </c>
      <c r="DC32" s="1755" t="str">
        <f t="shared" si="90"/>
        <v/>
      </c>
      <c r="DD32" s="1755" t="str">
        <f t="shared" si="91"/>
        <v/>
      </c>
      <c r="DE32" s="1754" t="str">
        <f t="shared" si="92"/>
        <v/>
      </c>
      <c r="DF32" s="1754" t="str">
        <f t="shared" si="93"/>
        <v/>
      </c>
      <c r="DG32" s="1754" t="str">
        <f t="shared" si="94"/>
        <v/>
      </c>
      <c r="DH32" s="1754" t="str">
        <f t="shared" si="95"/>
        <v/>
      </c>
      <c r="DI32" s="1754" t="str">
        <f t="shared" si="96"/>
        <v/>
      </c>
      <c r="DJ32" s="1753" t="str">
        <f t="shared" si="97"/>
        <v/>
      </c>
      <c r="DK32" s="1752" t="str">
        <f t="shared" si="98"/>
        <v/>
      </c>
      <c r="DL32" s="1829">
        <f t="shared" si="99"/>
        <v>0</v>
      </c>
      <c r="DM32" s="1439">
        <f t="shared" si="100"/>
        <v>0</v>
      </c>
      <c r="DN32" s="1439">
        <f t="shared" si="101"/>
        <v>0</v>
      </c>
      <c r="DO32" s="1439">
        <f t="shared" si="102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08">3540*$K$1</f>
        <v>14821.271999999999</v>
      </c>
      <c r="D33" s="1773">
        <f t="shared" si="108"/>
        <v>14821.271999999999</v>
      </c>
      <c r="E33" s="1773">
        <f t="shared" si="108"/>
        <v>14821.271999999999</v>
      </c>
      <c r="F33" s="1773">
        <f t="shared" si="108"/>
        <v>14821.271999999999</v>
      </c>
      <c r="G33" s="1773">
        <f t="shared" si="108"/>
        <v>14821.271999999999</v>
      </c>
      <c r="H33" s="1773">
        <f t="shared" si="108"/>
        <v>14821.271999999999</v>
      </c>
      <c r="I33" s="1773">
        <f t="shared" si="108"/>
        <v>14821.271999999999</v>
      </c>
      <c r="J33" s="1773">
        <f t="shared" si="108"/>
        <v>14821.271999999999</v>
      </c>
      <c r="K33" s="1773">
        <f t="shared" si="108"/>
        <v>14821.271999999999</v>
      </c>
      <c r="L33" s="1773">
        <f t="shared" si="108"/>
        <v>14821.271999999999</v>
      </c>
      <c r="M33" s="1773">
        <f t="shared" si="108"/>
        <v>14821.271999999999</v>
      </c>
      <c r="N33" s="1773">
        <f t="shared" si="108"/>
        <v>14821.271999999999</v>
      </c>
      <c r="O33" s="1773">
        <f t="shared" si="108"/>
        <v>14821.271999999999</v>
      </c>
      <c r="P33" s="1773">
        <f t="shared" si="108"/>
        <v>14821.271999999999</v>
      </c>
      <c r="Q33" s="1773">
        <f t="shared" si="108"/>
        <v>14821.271999999999</v>
      </c>
      <c r="R33" s="1773">
        <f t="shared" si="108"/>
        <v>14821.271999999999</v>
      </c>
      <c r="S33" s="1774"/>
      <c r="T33" s="1773">
        <f>3540*$K$1</f>
        <v>14821.271999999999</v>
      </c>
      <c r="U33" s="1773">
        <f t="shared" ref="U33:AJ33" si="109">3540*$K$1</f>
        <v>14821.271999999999</v>
      </c>
      <c r="V33" s="1773">
        <f t="shared" si="109"/>
        <v>14821.271999999999</v>
      </c>
      <c r="W33" s="1773">
        <f t="shared" si="109"/>
        <v>14821.271999999999</v>
      </c>
      <c r="X33" s="1773">
        <f t="shared" si="109"/>
        <v>14821.271999999999</v>
      </c>
      <c r="Y33" s="1773">
        <f t="shared" si="109"/>
        <v>14821.271999999999</v>
      </c>
      <c r="Z33" s="1773">
        <f t="shared" si="109"/>
        <v>14821.271999999999</v>
      </c>
      <c r="AA33" s="1773">
        <f t="shared" si="109"/>
        <v>14821.271999999999</v>
      </c>
      <c r="AB33" s="1773">
        <f t="shared" si="109"/>
        <v>14821.271999999999</v>
      </c>
      <c r="AC33" s="1773">
        <f t="shared" si="109"/>
        <v>14821.271999999999</v>
      </c>
      <c r="AD33" s="1773">
        <f t="shared" si="109"/>
        <v>14821.271999999999</v>
      </c>
      <c r="AE33" s="1773">
        <f t="shared" si="109"/>
        <v>14821.271999999999</v>
      </c>
      <c r="AF33" s="1773">
        <f t="shared" si="109"/>
        <v>14821.271999999999</v>
      </c>
      <c r="AG33" s="1773">
        <f t="shared" si="109"/>
        <v>14821.271999999999</v>
      </c>
      <c r="AH33" s="1773">
        <f t="shared" si="109"/>
        <v>14821.271999999999</v>
      </c>
      <c r="AI33" s="1773">
        <f t="shared" si="109"/>
        <v>14821.271999999999</v>
      </c>
      <c r="AJ33" s="1773">
        <f t="shared" si="109"/>
        <v>14821.271999999999</v>
      </c>
      <c r="AK33" s="1774"/>
      <c r="AL33" s="1773">
        <f>3540*$K$1</f>
        <v>14821.271999999999</v>
      </c>
      <c r="AM33" s="1773">
        <f t="shared" ref="AM33:BB33" si="110">3540*$K$1</f>
        <v>14821.271999999999</v>
      </c>
      <c r="AN33" s="1773">
        <f t="shared" si="110"/>
        <v>14821.271999999999</v>
      </c>
      <c r="AO33" s="1773">
        <f t="shared" si="110"/>
        <v>14821.271999999999</v>
      </c>
      <c r="AP33" s="1773">
        <f t="shared" si="110"/>
        <v>14821.271999999999</v>
      </c>
      <c r="AQ33" s="1773">
        <f t="shared" si="110"/>
        <v>14821.271999999999</v>
      </c>
      <c r="AR33" s="1773">
        <f t="shared" si="110"/>
        <v>14821.271999999999</v>
      </c>
      <c r="AS33" s="1773">
        <f t="shared" si="110"/>
        <v>14821.271999999999</v>
      </c>
      <c r="AT33" s="1773">
        <f t="shared" si="110"/>
        <v>14821.271999999999</v>
      </c>
      <c r="AU33" s="1773">
        <f t="shared" si="110"/>
        <v>14821.271999999999</v>
      </c>
      <c r="AV33" s="1773">
        <f t="shared" si="110"/>
        <v>14821.271999999999</v>
      </c>
      <c r="AW33" s="1773">
        <f t="shared" si="110"/>
        <v>14821.271999999999</v>
      </c>
      <c r="AX33" s="1773">
        <f t="shared" si="110"/>
        <v>14821.271999999999</v>
      </c>
      <c r="AY33" s="1773">
        <f t="shared" si="110"/>
        <v>14821.271999999999</v>
      </c>
      <c r="AZ33" s="1773">
        <f t="shared" si="110"/>
        <v>14821.271999999999</v>
      </c>
      <c r="BA33" s="1773">
        <f t="shared" si="110"/>
        <v>14821.271999999999</v>
      </c>
      <c r="BB33" s="1773">
        <f t="shared" si="110"/>
        <v>14821.271999999999</v>
      </c>
      <c r="BC33" s="1774"/>
      <c r="BD33" s="1773">
        <f>3540*$K$1</f>
        <v>14821.271999999999</v>
      </c>
      <c r="BE33" s="1773">
        <f t="shared" ref="BE33:BY33" si="111">3540*$K$1</f>
        <v>14821.271999999999</v>
      </c>
      <c r="BF33" s="1773">
        <f t="shared" si="111"/>
        <v>14821.271999999999</v>
      </c>
      <c r="BG33" s="1773">
        <f t="shared" si="111"/>
        <v>14821.271999999999</v>
      </c>
      <c r="BH33" s="1773">
        <f t="shared" si="111"/>
        <v>14821.271999999999</v>
      </c>
      <c r="BI33" s="1773">
        <f t="shared" si="111"/>
        <v>14821.271999999999</v>
      </c>
      <c r="BJ33" s="1773">
        <f t="shared" si="111"/>
        <v>14821.271999999999</v>
      </c>
      <c r="BK33" s="1773">
        <f t="shared" si="111"/>
        <v>14821.271999999999</v>
      </c>
      <c r="BL33" s="1773">
        <f t="shared" si="111"/>
        <v>14821.271999999999</v>
      </c>
      <c r="BM33" s="1773">
        <f t="shared" si="111"/>
        <v>14821.271999999999</v>
      </c>
      <c r="BN33" s="1773">
        <f t="shared" si="111"/>
        <v>14821.271999999999</v>
      </c>
      <c r="BO33" s="1773">
        <f t="shared" si="111"/>
        <v>14821.271999999999</v>
      </c>
      <c r="BP33" s="1773">
        <f t="shared" si="111"/>
        <v>14821.271999999999</v>
      </c>
      <c r="BQ33" s="1773">
        <f t="shared" si="111"/>
        <v>14821.271999999999</v>
      </c>
      <c r="BR33" s="1773">
        <f t="shared" si="111"/>
        <v>14821.271999999999</v>
      </c>
      <c r="BS33" s="1773">
        <f t="shared" si="111"/>
        <v>14821.271999999999</v>
      </c>
      <c r="BT33" s="1773">
        <f t="shared" si="111"/>
        <v>14821.271999999999</v>
      </c>
      <c r="BU33" s="1774"/>
      <c r="BV33" s="1773">
        <f t="shared" si="111"/>
        <v>14821.271999999999</v>
      </c>
      <c r="BW33" s="1773">
        <f t="shared" si="111"/>
        <v>14821.271999999999</v>
      </c>
      <c r="BX33" s="1773">
        <f t="shared" si="111"/>
        <v>14821.271999999999</v>
      </c>
      <c r="BY33" s="1773">
        <f t="shared" si="111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03"/>
        <v>14821.271999999999</v>
      </c>
      <c r="CE33" s="1740">
        <f t="shared" si="81"/>
        <v>14821.271999999999</v>
      </c>
      <c r="CF33" s="1741">
        <f t="shared" si="81"/>
        <v>14821.271999999999</v>
      </c>
      <c r="CG33" s="1741">
        <f t="shared" si="81"/>
        <v>14821.271999999999</v>
      </c>
      <c r="CH33" s="1741">
        <f t="shared" si="81"/>
        <v>14821.271999999999</v>
      </c>
      <c r="CI33" s="1741">
        <f t="shared" si="81"/>
        <v>14821.271999999999</v>
      </c>
      <c r="CJ33" s="1741">
        <f t="shared" si="81"/>
        <v>14821.271999999999</v>
      </c>
      <c r="CK33" s="1742">
        <f t="shared" si="81"/>
        <v>14821.271999999999</v>
      </c>
      <c r="CL33" s="1742">
        <f t="shared" si="81"/>
        <v>14821.271999999999</v>
      </c>
      <c r="CM33" s="1742">
        <f t="shared" si="81"/>
        <v>14821.271999999999</v>
      </c>
      <c r="CN33" s="1741">
        <f t="shared" si="81"/>
        <v>14821.271999999999</v>
      </c>
      <c r="CO33" s="1741">
        <f t="shared" si="81"/>
        <v>14821.271999999999</v>
      </c>
      <c r="CP33" s="1741">
        <f t="shared" si="81"/>
        <v>14821.271999999999</v>
      </c>
      <c r="CQ33" s="1741">
        <f t="shared" si="81"/>
        <v>14821.271999999999</v>
      </c>
      <c r="CR33" s="1741">
        <f t="shared" si="81"/>
        <v>14821.271999999999</v>
      </c>
      <c r="CS33" s="1740">
        <f t="shared" si="81"/>
        <v>14821.271999999999</v>
      </c>
      <c r="CT33" s="1743">
        <f t="shared" si="81"/>
        <v>14821.271999999999</v>
      </c>
      <c r="CU33" s="1752">
        <f t="shared" si="82"/>
        <v>14821.271999999999</v>
      </c>
      <c r="CV33" s="1753">
        <f t="shared" si="83"/>
        <v>14821.271999999999</v>
      </c>
      <c r="CW33" s="1754">
        <f t="shared" si="84"/>
        <v>14821.271999999999</v>
      </c>
      <c r="CX33" s="1754">
        <f t="shared" si="85"/>
        <v>14821.271999999999</v>
      </c>
      <c r="CY33" s="1754">
        <f t="shared" si="86"/>
        <v>14821.271999999999</v>
      </c>
      <c r="CZ33" s="1754">
        <f t="shared" si="87"/>
        <v>14821.271999999999</v>
      </c>
      <c r="DA33" s="1754">
        <f t="shared" si="88"/>
        <v>14821.271999999999</v>
      </c>
      <c r="DB33" s="1755">
        <f t="shared" si="89"/>
        <v>14821.271999999999</v>
      </c>
      <c r="DC33" s="1755">
        <f t="shared" si="90"/>
        <v>14821.271999999999</v>
      </c>
      <c r="DD33" s="1755">
        <f t="shared" si="91"/>
        <v>14821.271999999999</v>
      </c>
      <c r="DE33" s="1754">
        <f t="shared" si="92"/>
        <v>14821.271999999999</v>
      </c>
      <c r="DF33" s="1754">
        <f t="shared" si="93"/>
        <v>14821.271999999999</v>
      </c>
      <c r="DG33" s="1754">
        <f t="shared" si="94"/>
        <v>14821.271999999999</v>
      </c>
      <c r="DH33" s="1754">
        <f t="shared" si="95"/>
        <v>14821.271999999999</v>
      </c>
      <c r="DI33" s="1754">
        <f t="shared" si="96"/>
        <v>14821.271999999999</v>
      </c>
      <c r="DJ33" s="1753">
        <f t="shared" si="97"/>
        <v>14821.271999999999</v>
      </c>
      <c r="DK33" s="1752">
        <f t="shared" si="98"/>
        <v>14821.271999999999</v>
      </c>
      <c r="DL33" s="1829">
        <f t="shared" si="99"/>
        <v>17</v>
      </c>
      <c r="DM33" s="1439">
        <f t="shared" si="100"/>
        <v>17</v>
      </c>
      <c r="DN33" s="1439">
        <f t="shared" si="101"/>
        <v>17</v>
      </c>
      <c r="DO33" s="1439">
        <f t="shared" si="102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 t="shared" ref="B34:R34" si="112">IF(B32="","",B32*B33/B$7/365/$G$1)</f>
        <v/>
      </c>
      <c r="C34" s="1407" t="str">
        <f t="shared" si="112"/>
        <v/>
      </c>
      <c r="D34" s="1407" t="str">
        <f t="shared" si="112"/>
        <v/>
      </c>
      <c r="E34" s="1407" t="str">
        <f t="shared" si="112"/>
        <v/>
      </c>
      <c r="F34" s="1407" t="str">
        <f t="shared" si="112"/>
        <v/>
      </c>
      <c r="G34" s="1407" t="str">
        <f t="shared" si="112"/>
        <v/>
      </c>
      <c r="H34" s="1407" t="str">
        <f t="shared" si="112"/>
        <v/>
      </c>
      <c r="I34" s="1407" t="str">
        <f t="shared" si="112"/>
        <v/>
      </c>
      <c r="J34" s="1407" t="str">
        <f t="shared" si="112"/>
        <v/>
      </c>
      <c r="K34" s="1407" t="str">
        <f t="shared" si="112"/>
        <v/>
      </c>
      <c r="L34" s="1407" t="str">
        <f t="shared" si="112"/>
        <v/>
      </c>
      <c r="M34" s="1407" t="str">
        <f t="shared" si="112"/>
        <v/>
      </c>
      <c r="N34" s="1407" t="str">
        <f t="shared" si="112"/>
        <v/>
      </c>
      <c r="O34" s="1407" t="str">
        <f t="shared" si="112"/>
        <v/>
      </c>
      <c r="P34" s="1407" t="str">
        <f t="shared" si="112"/>
        <v/>
      </c>
      <c r="Q34" s="1407" t="str">
        <f t="shared" si="112"/>
        <v/>
      </c>
      <c r="R34" s="1407" t="str">
        <f t="shared" si="112"/>
        <v/>
      </c>
      <c r="S34" s="1775"/>
      <c r="T34" s="1407" t="str">
        <f t="shared" ref="T34:AJ34" si="113">IF(T32="","",T32*T33/T$7/365/$G$1)</f>
        <v/>
      </c>
      <c r="U34" s="1407" t="str">
        <f t="shared" si="113"/>
        <v/>
      </c>
      <c r="V34" s="1407" t="str">
        <f t="shared" si="113"/>
        <v/>
      </c>
      <c r="W34" s="1407" t="str">
        <f t="shared" si="113"/>
        <v/>
      </c>
      <c r="X34" s="1407" t="str">
        <f t="shared" si="113"/>
        <v/>
      </c>
      <c r="Y34" s="1407" t="str">
        <f t="shared" si="113"/>
        <v/>
      </c>
      <c r="Z34" s="1407" t="str">
        <f t="shared" si="113"/>
        <v/>
      </c>
      <c r="AA34" s="1407" t="str">
        <f t="shared" si="113"/>
        <v/>
      </c>
      <c r="AB34" s="1407" t="str">
        <f t="shared" si="113"/>
        <v/>
      </c>
      <c r="AC34" s="1407" t="str">
        <f t="shared" si="113"/>
        <v/>
      </c>
      <c r="AD34" s="1407" t="str">
        <f t="shared" si="113"/>
        <v/>
      </c>
      <c r="AE34" s="1407" t="str">
        <f t="shared" si="113"/>
        <v/>
      </c>
      <c r="AF34" s="1407" t="str">
        <f t="shared" si="113"/>
        <v/>
      </c>
      <c r="AG34" s="1407" t="str">
        <f t="shared" si="113"/>
        <v/>
      </c>
      <c r="AH34" s="1407" t="str">
        <f t="shared" si="113"/>
        <v/>
      </c>
      <c r="AI34" s="1407" t="str">
        <f t="shared" si="113"/>
        <v/>
      </c>
      <c r="AJ34" s="1407" t="str">
        <f t="shared" si="113"/>
        <v/>
      </c>
      <c r="AK34" s="1775"/>
      <c r="AL34" s="1407" t="str">
        <f t="shared" ref="AL34:BB34" si="114">IF(AL32="","",AL32*AL33/AL$7/365/$G$1)</f>
        <v/>
      </c>
      <c r="AM34" s="1407" t="str">
        <f t="shared" si="114"/>
        <v/>
      </c>
      <c r="AN34" s="1407" t="str">
        <f t="shared" si="114"/>
        <v/>
      </c>
      <c r="AO34" s="1407" t="str">
        <f t="shared" si="114"/>
        <v/>
      </c>
      <c r="AP34" s="1407" t="str">
        <f t="shared" si="114"/>
        <v/>
      </c>
      <c r="AQ34" s="1407" t="str">
        <f t="shared" si="114"/>
        <v/>
      </c>
      <c r="AR34" s="1407" t="str">
        <f t="shared" si="114"/>
        <v/>
      </c>
      <c r="AS34" s="1407" t="str">
        <f t="shared" si="114"/>
        <v/>
      </c>
      <c r="AT34" s="1407" t="str">
        <f t="shared" si="114"/>
        <v/>
      </c>
      <c r="AU34" s="1407" t="str">
        <f t="shared" si="114"/>
        <v/>
      </c>
      <c r="AV34" s="1407" t="str">
        <f t="shared" si="114"/>
        <v/>
      </c>
      <c r="AW34" s="1407" t="str">
        <f t="shared" si="114"/>
        <v/>
      </c>
      <c r="AX34" s="1407" t="str">
        <f t="shared" si="114"/>
        <v/>
      </c>
      <c r="AY34" s="1407" t="str">
        <f t="shared" si="114"/>
        <v/>
      </c>
      <c r="AZ34" s="1407" t="str">
        <f t="shared" si="114"/>
        <v/>
      </c>
      <c r="BA34" s="1407" t="str">
        <f t="shared" si="114"/>
        <v/>
      </c>
      <c r="BB34" s="1407" t="str">
        <f t="shared" si="114"/>
        <v/>
      </c>
      <c r="BC34" s="1775"/>
      <c r="BD34" s="1407" t="str">
        <f t="shared" ref="BD34:BT34" si="115">IF(BD32="","",BD32*BD33/BD$7/365/$G$1)</f>
        <v/>
      </c>
      <c r="BE34" s="1407" t="str">
        <f t="shared" si="115"/>
        <v/>
      </c>
      <c r="BF34" s="1407" t="str">
        <f t="shared" si="115"/>
        <v/>
      </c>
      <c r="BG34" s="1407" t="str">
        <f t="shared" si="115"/>
        <v/>
      </c>
      <c r="BH34" s="1407" t="str">
        <f t="shared" si="115"/>
        <v/>
      </c>
      <c r="BI34" s="1407" t="str">
        <f t="shared" si="115"/>
        <v/>
      </c>
      <c r="BJ34" s="1407" t="str">
        <f t="shared" si="115"/>
        <v/>
      </c>
      <c r="BK34" s="1407" t="str">
        <f t="shared" si="115"/>
        <v/>
      </c>
      <c r="BL34" s="1407" t="str">
        <f t="shared" si="115"/>
        <v/>
      </c>
      <c r="BM34" s="1407" t="str">
        <f t="shared" si="115"/>
        <v/>
      </c>
      <c r="BN34" s="1407" t="str">
        <f t="shared" si="115"/>
        <v/>
      </c>
      <c r="BO34" s="1407" t="str">
        <f t="shared" si="115"/>
        <v/>
      </c>
      <c r="BP34" s="1407" t="str">
        <f t="shared" si="115"/>
        <v/>
      </c>
      <c r="BQ34" s="1407" t="str">
        <f t="shared" si="115"/>
        <v/>
      </c>
      <c r="BR34" s="1407" t="str">
        <f t="shared" si="115"/>
        <v/>
      </c>
      <c r="BS34" s="1407" t="str">
        <f t="shared" si="115"/>
        <v/>
      </c>
      <c r="BT34" s="1407" t="str">
        <f t="shared" si="115"/>
        <v/>
      </c>
      <c r="BU34" s="1775"/>
      <c r="BV34" s="1407" t="str">
        <f>IF(BV32="","",BV32*BV33/BV$7/365/$G$1)</f>
        <v/>
      </c>
      <c r="BW34" s="1407" t="str">
        <f>IF(BW32="","",BW32*BW33/BW$7/365/$G$1)</f>
        <v/>
      </c>
      <c r="BX34" s="1407" t="str">
        <f>IF(BX32="","",BX32*BX33/BX$7/365/$G$1)</f>
        <v/>
      </c>
      <c r="BY34" s="1407" t="str">
        <f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03"/>
        <v/>
      </c>
      <c r="CE34" s="1757" t="str">
        <f t="shared" si="81"/>
        <v/>
      </c>
      <c r="CF34" s="1758" t="str">
        <f t="shared" si="81"/>
        <v/>
      </c>
      <c r="CG34" s="1758" t="str">
        <f t="shared" si="81"/>
        <v/>
      </c>
      <c r="CH34" s="1758" t="str">
        <f t="shared" si="81"/>
        <v/>
      </c>
      <c r="CI34" s="1758" t="str">
        <f t="shared" si="81"/>
        <v/>
      </c>
      <c r="CJ34" s="1758" t="str">
        <f t="shared" si="81"/>
        <v/>
      </c>
      <c r="CK34" s="1759" t="str">
        <f t="shared" si="81"/>
        <v/>
      </c>
      <c r="CL34" s="1759" t="str">
        <f t="shared" si="81"/>
        <v/>
      </c>
      <c r="CM34" s="1759" t="str">
        <f t="shared" si="81"/>
        <v/>
      </c>
      <c r="CN34" s="1758" t="str">
        <f t="shared" si="81"/>
        <v/>
      </c>
      <c r="CO34" s="1758" t="str">
        <f t="shared" si="81"/>
        <v/>
      </c>
      <c r="CP34" s="1758" t="str">
        <f t="shared" si="81"/>
        <v/>
      </c>
      <c r="CQ34" s="1758" t="str">
        <f t="shared" si="81"/>
        <v/>
      </c>
      <c r="CR34" s="1758" t="str">
        <f t="shared" si="81"/>
        <v/>
      </c>
      <c r="CS34" s="1757" t="str">
        <f t="shared" si="81"/>
        <v/>
      </c>
      <c r="CT34" s="1760" t="str">
        <f t="shared" si="81"/>
        <v/>
      </c>
      <c r="CU34" s="1761" t="str">
        <f t="shared" si="82"/>
        <v/>
      </c>
      <c r="CV34" s="1762" t="str">
        <f t="shared" si="83"/>
        <v/>
      </c>
      <c r="CW34" s="1763" t="str">
        <f t="shared" si="84"/>
        <v/>
      </c>
      <c r="CX34" s="1763" t="str">
        <f t="shared" si="85"/>
        <v/>
      </c>
      <c r="CY34" s="1763" t="str">
        <f t="shared" si="86"/>
        <v/>
      </c>
      <c r="CZ34" s="1763" t="str">
        <f t="shared" si="87"/>
        <v/>
      </c>
      <c r="DA34" s="1763" t="str">
        <f t="shared" si="88"/>
        <v/>
      </c>
      <c r="DB34" s="1764" t="str">
        <f t="shared" si="89"/>
        <v/>
      </c>
      <c r="DC34" s="1764" t="str">
        <f t="shared" si="90"/>
        <v/>
      </c>
      <c r="DD34" s="1764" t="str">
        <f t="shared" si="91"/>
        <v/>
      </c>
      <c r="DE34" s="1763" t="str">
        <f t="shared" si="92"/>
        <v/>
      </c>
      <c r="DF34" s="1763" t="str">
        <f t="shared" si="93"/>
        <v/>
      </c>
      <c r="DG34" s="1763" t="str">
        <f t="shared" si="94"/>
        <v/>
      </c>
      <c r="DH34" s="1763" t="str">
        <f t="shared" si="95"/>
        <v/>
      </c>
      <c r="DI34" s="1763" t="str">
        <f t="shared" si="96"/>
        <v/>
      </c>
      <c r="DJ34" s="1762" t="str">
        <f t="shared" si="97"/>
        <v/>
      </c>
      <c r="DK34" s="1761" t="str">
        <f t="shared" si="98"/>
        <v/>
      </c>
      <c r="DL34" s="1829">
        <f t="shared" si="99"/>
        <v>0</v>
      </c>
      <c r="DM34" s="1439">
        <f t="shared" si="100"/>
        <v>0</v>
      </c>
      <c r="DN34" s="1439">
        <f t="shared" si="101"/>
        <v>0</v>
      </c>
      <c r="DO34" s="1439">
        <f t="shared" si="102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03"/>
        <v/>
      </c>
      <c r="CE35" s="1740" t="str">
        <f t="shared" si="81"/>
        <v/>
      </c>
      <c r="CF35" s="1741" t="str">
        <f t="shared" si="81"/>
        <v/>
      </c>
      <c r="CG35" s="1741" t="str">
        <f t="shared" si="81"/>
        <v/>
      </c>
      <c r="CH35" s="1741" t="str">
        <f t="shared" si="81"/>
        <v/>
      </c>
      <c r="CI35" s="1741" t="str">
        <f t="shared" si="81"/>
        <v/>
      </c>
      <c r="CJ35" s="1741" t="str">
        <f t="shared" si="81"/>
        <v/>
      </c>
      <c r="CK35" s="1742" t="str">
        <f t="shared" si="81"/>
        <v/>
      </c>
      <c r="CL35" s="1742" t="str">
        <f t="shared" si="81"/>
        <v/>
      </c>
      <c r="CM35" s="1742" t="str">
        <f t="shared" si="81"/>
        <v/>
      </c>
      <c r="CN35" s="1741" t="str">
        <f t="shared" si="81"/>
        <v/>
      </c>
      <c r="CO35" s="1741" t="str">
        <f t="shared" si="81"/>
        <v/>
      </c>
      <c r="CP35" s="1741" t="str">
        <f t="shared" si="81"/>
        <v/>
      </c>
      <c r="CQ35" s="1741" t="str">
        <f t="shared" si="81"/>
        <v/>
      </c>
      <c r="CR35" s="1741" t="str">
        <f t="shared" si="81"/>
        <v/>
      </c>
      <c r="CS35" s="1740" t="str">
        <f t="shared" si="81"/>
        <v/>
      </c>
      <c r="CT35" s="1743" t="str">
        <f t="shared" si="81"/>
        <v/>
      </c>
      <c r="CU35" s="1752" t="str">
        <f t="shared" si="82"/>
        <v/>
      </c>
      <c r="CV35" s="1753" t="str">
        <f t="shared" si="83"/>
        <v/>
      </c>
      <c r="CW35" s="1754" t="str">
        <f t="shared" si="84"/>
        <v/>
      </c>
      <c r="CX35" s="1754" t="str">
        <f t="shared" si="85"/>
        <v/>
      </c>
      <c r="CY35" s="1754" t="str">
        <f t="shared" si="86"/>
        <v/>
      </c>
      <c r="CZ35" s="1754" t="str">
        <f t="shared" si="87"/>
        <v/>
      </c>
      <c r="DA35" s="1754" t="str">
        <f t="shared" si="88"/>
        <v/>
      </c>
      <c r="DB35" s="1755" t="str">
        <f t="shared" si="89"/>
        <v/>
      </c>
      <c r="DC35" s="1755" t="str">
        <f t="shared" si="90"/>
        <v/>
      </c>
      <c r="DD35" s="1755" t="str">
        <f t="shared" si="91"/>
        <v/>
      </c>
      <c r="DE35" s="1754" t="str">
        <f t="shared" si="92"/>
        <v/>
      </c>
      <c r="DF35" s="1754" t="str">
        <f t="shared" si="93"/>
        <v/>
      </c>
      <c r="DG35" s="1754" t="str">
        <f t="shared" si="94"/>
        <v/>
      </c>
      <c r="DH35" s="1754" t="str">
        <f t="shared" si="95"/>
        <v/>
      </c>
      <c r="DI35" s="1754" t="str">
        <f t="shared" si="96"/>
        <v/>
      </c>
      <c r="DJ35" s="1753" t="str">
        <f t="shared" si="97"/>
        <v/>
      </c>
      <c r="DK35" s="1752" t="str">
        <f t="shared" si="98"/>
        <v/>
      </c>
      <c r="DL35" s="1829">
        <f t="shared" si="99"/>
        <v>0</v>
      </c>
      <c r="DM35" s="1439">
        <f t="shared" si="100"/>
        <v>0</v>
      </c>
      <c r="DN35" s="1439">
        <f t="shared" si="101"/>
        <v>0</v>
      </c>
      <c r="DO35" s="1439">
        <f t="shared" si="102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116">IF(B35="","",B30*B35*B31)</f>
        <v/>
      </c>
      <c r="C36" s="1408" t="str">
        <f t="shared" si="116"/>
        <v/>
      </c>
      <c r="D36" s="1408" t="str">
        <f t="shared" si="116"/>
        <v/>
      </c>
      <c r="E36" s="1408" t="str">
        <f t="shared" si="116"/>
        <v/>
      </c>
      <c r="F36" s="1408" t="str">
        <f t="shared" si="116"/>
        <v/>
      </c>
      <c r="G36" s="1408" t="str">
        <f t="shared" si="116"/>
        <v/>
      </c>
      <c r="H36" s="1408" t="str">
        <f t="shared" si="116"/>
        <v/>
      </c>
      <c r="I36" s="1408" t="str">
        <f t="shared" si="116"/>
        <v/>
      </c>
      <c r="J36" s="1408" t="str">
        <f t="shared" si="116"/>
        <v/>
      </c>
      <c r="K36" s="1408" t="str">
        <f t="shared" si="116"/>
        <v/>
      </c>
      <c r="L36" s="1408" t="str">
        <f t="shared" si="116"/>
        <v/>
      </c>
      <c r="M36" s="1408" t="str">
        <f t="shared" si="116"/>
        <v/>
      </c>
      <c r="N36" s="1408" t="str">
        <f t="shared" si="116"/>
        <v/>
      </c>
      <c r="O36" s="1408" t="str">
        <f t="shared" si="116"/>
        <v/>
      </c>
      <c r="P36" s="1408" t="str">
        <f t="shared" si="116"/>
        <v/>
      </c>
      <c r="Q36" s="1408" t="str">
        <f t="shared" si="116"/>
        <v/>
      </c>
      <c r="R36" s="1408" t="str">
        <f t="shared" si="116"/>
        <v/>
      </c>
      <c r="S36" s="1772"/>
      <c r="T36" s="1408" t="str">
        <f t="shared" ref="T36:AJ36" si="117">IF(T35="","",T30*T35*T31)</f>
        <v/>
      </c>
      <c r="U36" s="1408" t="str">
        <f t="shared" si="117"/>
        <v/>
      </c>
      <c r="V36" s="1408" t="str">
        <f t="shared" si="117"/>
        <v/>
      </c>
      <c r="W36" s="1408" t="str">
        <f t="shared" si="117"/>
        <v/>
      </c>
      <c r="X36" s="1408" t="str">
        <f t="shared" si="117"/>
        <v/>
      </c>
      <c r="Y36" s="1408" t="str">
        <f t="shared" si="117"/>
        <v/>
      </c>
      <c r="Z36" s="1408" t="str">
        <f t="shared" si="117"/>
        <v/>
      </c>
      <c r="AA36" s="1408" t="str">
        <f t="shared" si="117"/>
        <v/>
      </c>
      <c r="AB36" s="1408" t="str">
        <f t="shared" si="117"/>
        <v/>
      </c>
      <c r="AC36" s="1408" t="str">
        <f t="shared" si="117"/>
        <v/>
      </c>
      <c r="AD36" s="1408" t="str">
        <f t="shared" si="117"/>
        <v/>
      </c>
      <c r="AE36" s="1408" t="str">
        <f t="shared" si="117"/>
        <v/>
      </c>
      <c r="AF36" s="1408" t="str">
        <f t="shared" si="117"/>
        <v/>
      </c>
      <c r="AG36" s="1408" t="str">
        <f t="shared" si="117"/>
        <v/>
      </c>
      <c r="AH36" s="1408" t="str">
        <f t="shared" si="117"/>
        <v/>
      </c>
      <c r="AI36" s="1408" t="str">
        <f t="shared" si="117"/>
        <v/>
      </c>
      <c r="AJ36" s="1408" t="str">
        <f t="shared" si="117"/>
        <v/>
      </c>
      <c r="AK36" s="1772"/>
      <c r="AL36" s="1408" t="str">
        <f t="shared" ref="AL36:BB36" si="118">IF(AL35="","",AL30*AL35*AL31)</f>
        <v/>
      </c>
      <c r="AM36" s="1408" t="str">
        <f t="shared" si="118"/>
        <v/>
      </c>
      <c r="AN36" s="1408" t="str">
        <f t="shared" si="118"/>
        <v/>
      </c>
      <c r="AO36" s="1408" t="str">
        <f t="shared" si="118"/>
        <v/>
      </c>
      <c r="AP36" s="1408" t="str">
        <f t="shared" si="118"/>
        <v/>
      </c>
      <c r="AQ36" s="1408" t="str">
        <f t="shared" si="118"/>
        <v/>
      </c>
      <c r="AR36" s="1408" t="str">
        <f t="shared" si="118"/>
        <v/>
      </c>
      <c r="AS36" s="1408" t="str">
        <f t="shared" si="118"/>
        <v/>
      </c>
      <c r="AT36" s="1408" t="str">
        <f t="shared" si="118"/>
        <v/>
      </c>
      <c r="AU36" s="1408" t="str">
        <f t="shared" si="118"/>
        <v/>
      </c>
      <c r="AV36" s="1408" t="str">
        <f t="shared" si="118"/>
        <v/>
      </c>
      <c r="AW36" s="1408" t="str">
        <f t="shared" si="118"/>
        <v/>
      </c>
      <c r="AX36" s="1408" t="str">
        <f t="shared" si="118"/>
        <v/>
      </c>
      <c r="AY36" s="1408" t="str">
        <f t="shared" si="118"/>
        <v/>
      </c>
      <c r="AZ36" s="1408" t="str">
        <f t="shared" si="118"/>
        <v/>
      </c>
      <c r="BA36" s="1408" t="str">
        <f t="shared" si="118"/>
        <v/>
      </c>
      <c r="BB36" s="1408" t="str">
        <f t="shared" si="118"/>
        <v/>
      </c>
      <c r="BC36" s="1772"/>
      <c r="BD36" s="1408" t="str">
        <f t="shared" ref="BD36:BT36" si="119">IF(BD35="","",BD30*BD35*BD31)</f>
        <v/>
      </c>
      <c r="BE36" s="1408" t="str">
        <f t="shared" si="119"/>
        <v/>
      </c>
      <c r="BF36" s="1408" t="str">
        <f t="shared" si="119"/>
        <v/>
      </c>
      <c r="BG36" s="1408" t="str">
        <f t="shared" si="119"/>
        <v/>
      </c>
      <c r="BH36" s="1408" t="str">
        <f t="shared" si="119"/>
        <v/>
      </c>
      <c r="BI36" s="1408" t="str">
        <f t="shared" si="119"/>
        <v/>
      </c>
      <c r="BJ36" s="1408" t="str">
        <f t="shared" si="119"/>
        <v/>
      </c>
      <c r="BK36" s="1408" t="str">
        <f t="shared" si="119"/>
        <v/>
      </c>
      <c r="BL36" s="1408" t="str">
        <f t="shared" si="119"/>
        <v/>
      </c>
      <c r="BM36" s="1408" t="str">
        <f t="shared" si="119"/>
        <v/>
      </c>
      <c r="BN36" s="1408" t="str">
        <f t="shared" si="119"/>
        <v/>
      </c>
      <c r="BO36" s="1408" t="str">
        <f t="shared" si="119"/>
        <v/>
      </c>
      <c r="BP36" s="1408" t="str">
        <f t="shared" si="119"/>
        <v/>
      </c>
      <c r="BQ36" s="1408" t="str">
        <f t="shared" si="119"/>
        <v/>
      </c>
      <c r="BR36" s="1408" t="str">
        <f t="shared" si="119"/>
        <v/>
      </c>
      <c r="BS36" s="1408" t="str">
        <f t="shared" si="119"/>
        <v/>
      </c>
      <c r="BT36" s="1408" t="str">
        <f t="shared" si="119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03"/>
        <v/>
      </c>
      <c r="CE36" s="1740" t="str">
        <f t="shared" si="81"/>
        <v/>
      </c>
      <c r="CF36" s="1741" t="str">
        <f t="shared" si="81"/>
        <v/>
      </c>
      <c r="CG36" s="1741" t="str">
        <f t="shared" si="81"/>
        <v/>
      </c>
      <c r="CH36" s="1741" t="str">
        <f t="shared" si="81"/>
        <v/>
      </c>
      <c r="CI36" s="1741" t="str">
        <f t="shared" si="81"/>
        <v/>
      </c>
      <c r="CJ36" s="1741" t="str">
        <f t="shared" si="81"/>
        <v/>
      </c>
      <c r="CK36" s="1742" t="str">
        <f t="shared" si="81"/>
        <v/>
      </c>
      <c r="CL36" s="1742" t="str">
        <f t="shared" si="81"/>
        <v/>
      </c>
      <c r="CM36" s="1742" t="str">
        <f t="shared" si="81"/>
        <v/>
      </c>
      <c r="CN36" s="1741" t="str">
        <f t="shared" si="81"/>
        <v/>
      </c>
      <c r="CO36" s="1741" t="str">
        <f t="shared" si="81"/>
        <v/>
      </c>
      <c r="CP36" s="1741" t="str">
        <f t="shared" si="81"/>
        <v/>
      </c>
      <c r="CQ36" s="1741" t="str">
        <f t="shared" si="81"/>
        <v/>
      </c>
      <c r="CR36" s="1741" t="str">
        <f t="shared" si="81"/>
        <v/>
      </c>
      <c r="CS36" s="1740" t="str">
        <f t="shared" si="81"/>
        <v/>
      </c>
      <c r="CT36" s="1743" t="str">
        <f t="shared" si="81"/>
        <v/>
      </c>
      <c r="CU36" s="1752" t="str">
        <f t="shared" si="82"/>
        <v/>
      </c>
      <c r="CV36" s="1753" t="str">
        <f t="shared" si="83"/>
        <v/>
      </c>
      <c r="CW36" s="1754" t="str">
        <f t="shared" si="84"/>
        <v/>
      </c>
      <c r="CX36" s="1754" t="str">
        <f t="shared" si="85"/>
        <v/>
      </c>
      <c r="CY36" s="1754" t="str">
        <f t="shared" si="86"/>
        <v/>
      </c>
      <c r="CZ36" s="1754" t="str">
        <f t="shared" si="87"/>
        <v/>
      </c>
      <c r="DA36" s="1754" t="str">
        <f t="shared" si="88"/>
        <v/>
      </c>
      <c r="DB36" s="1755" t="str">
        <f t="shared" si="89"/>
        <v/>
      </c>
      <c r="DC36" s="1755" t="str">
        <f t="shared" si="90"/>
        <v/>
      </c>
      <c r="DD36" s="1755" t="str">
        <f t="shared" si="91"/>
        <v/>
      </c>
      <c r="DE36" s="1754" t="str">
        <f t="shared" si="92"/>
        <v/>
      </c>
      <c r="DF36" s="1754" t="str">
        <f t="shared" si="93"/>
        <v/>
      </c>
      <c r="DG36" s="1754" t="str">
        <f t="shared" si="94"/>
        <v/>
      </c>
      <c r="DH36" s="1754" t="str">
        <f t="shared" si="95"/>
        <v/>
      </c>
      <c r="DI36" s="1754" t="str">
        <f t="shared" si="96"/>
        <v/>
      </c>
      <c r="DJ36" s="1753" t="str">
        <f t="shared" si="97"/>
        <v/>
      </c>
      <c r="DK36" s="1752" t="str">
        <f t="shared" si="98"/>
        <v/>
      </c>
      <c r="DL36" s="1829">
        <f t="shared" si="99"/>
        <v>0</v>
      </c>
      <c r="DM36" s="1439">
        <f t="shared" si="100"/>
        <v>0</v>
      </c>
      <c r="DN36" s="1439">
        <f t="shared" si="101"/>
        <v>0</v>
      </c>
      <c r="DO36" s="1439">
        <f t="shared" si="102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/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120"/>
        <v/>
      </c>
      <c r="CF38" s="1741" t="str">
        <f t="shared" si="120"/>
        <v/>
      </c>
      <c r="CG38" s="1741" t="str">
        <f t="shared" si="120"/>
        <v/>
      </c>
      <c r="CH38" s="1741" t="str">
        <f t="shared" si="120"/>
        <v/>
      </c>
      <c r="CI38" s="1741" t="str">
        <f t="shared" si="120"/>
        <v/>
      </c>
      <c r="CJ38" s="1741" t="str">
        <f t="shared" si="120"/>
        <v/>
      </c>
      <c r="CK38" s="1742" t="str">
        <f t="shared" si="120"/>
        <v/>
      </c>
      <c r="CL38" s="1742" t="str">
        <f t="shared" si="120"/>
        <v/>
      </c>
      <c r="CM38" s="1742" t="str">
        <f t="shared" si="120"/>
        <v/>
      </c>
      <c r="CN38" s="1741" t="str">
        <f t="shared" ref="CN38:CT40" si="121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121"/>
        <v/>
      </c>
      <c r="CP38" s="1741" t="str">
        <f t="shared" si="121"/>
        <v/>
      </c>
      <c r="CQ38" s="1741" t="str">
        <f t="shared" si="121"/>
        <v/>
      </c>
      <c r="CR38" s="1741" t="str">
        <f t="shared" si="121"/>
        <v/>
      </c>
      <c r="CS38" s="1740" t="str">
        <f t="shared" si="121"/>
        <v/>
      </c>
      <c r="CT38" s="1743" t="str">
        <f t="shared" si="121"/>
        <v/>
      </c>
      <c r="CU38" s="1752" t="str">
        <f t="shared" ref="CU38:DD40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122"/>
        <v/>
      </c>
      <c r="CW38" s="1754" t="str">
        <f t="shared" si="122"/>
        <v/>
      </c>
      <c r="CX38" s="1754" t="str">
        <f t="shared" si="122"/>
        <v/>
      </c>
      <c r="CY38" s="1754" t="str">
        <f t="shared" si="122"/>
        <v/>
      </c>
      <c r="CZ38" s="1754" t="str">
        <f t="shared" si="122"/>
        <v/>
      </c>
      <c r="DA38" s="1754" t="str">
        <f t="shared" si="122"/>
        <v/>
      </c>
      <c r="DB38" s="1755" t="str">
        <f t="shared" si="122"/>
        <v/>
      </c>
      <c r="DC38" s="1755" t="str">
        <f t="shared" si="122"/>
        <v/>
      </c>
      <c r="DD38" s="1755" t="str">
        <f t="shared" si="122"/>
        <v/>
      </c>
      <c r="DE38" s="1754" t="str">
        <f t="shared" ref="DE38:DK40" si="12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123"/>
        <v/>
      </c>
      <c r="DG38" s="1754" t="str">
        <f t="shared" si="123"/>
        <v/>
      </c>
      <c r="DH38" s="1754" t="str">
        <f t="shared" si="123"/>
        <v/>
      </c>
      <c r="DI38" s="1754" t="str">
        <f t="shared" si="123"/>
        <v/>
      </c>
      <c r="DJ38" s="1753" t="str">
        <f t="shared" si="123"/>
        <v/>
      </c>
      <c r="DK38" s="1752" t="str">
        <f t="shared" si="123"/>
        <v/>
      </c>
      <c r="DL38" s="1829">
        <f t="shared" ref="DL38:DL45" si="124">COUNT(B38:R38)</f>
        <v>7</v>
      </c>
      <c r="DM38" s="1439">
        <f t="shared" ref="DM38:DM45" si="125">COUNT(T38:AJ38)</f>
        <v>7</v>
      </c>
      <c r="DN38" s="1439">
        <f t="shared" ref="DN38:DN45" si="126">COUNT(AL38:BB38)</f>
        <v>7</v>
      </c>
      <c r="DO38" s="1439">
        <f t="shared" ref="DO38:DO45" si="127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/>
      <c r="BZ39" s="1833"/>
      <c r="CA39" s="1833"/>
      <c r="CB39" s="1833"/>
      <c r="CC39" s="1834"/>
      <c r="CD39" s="1739" t="str">
        <f t="shared" si="120"/>
        <v/>
      </c>
      <c r="CE39" s="1740" t="str">
        <f t="shared" si="120"/>
        <v/>
      </c>
      <c r="CF39" s="1741" t="str">
        <f t="shared" si="120"/>
        <v/>
      </c>
      <c r="CG39" s="1741" t="str">
        <f t="shared" si="120"/>
        <v/>
      </c>
      <c r="CH39" s="1741" t="str">
        <f t="shared" si="120"/>
        <v/>
      </c>
      <c r="CI39" s="1741" t="str">
        <f t="shared" si="120"/>
        <v/>
      </c>
      <c r="CJ39" s="1741" t="str">
        <f t="shared" si="120"/>
        <v/>
      </c>
      <c r="CK39" s="1742" t="str">
        <f t="shared" si="120"/>
        <v/>
      </c>
      <c r="CL39" s="1742" t="str">
        <f t="shared" si="120"/>
        <v/>
      </c>
      <c r="CM39" s="1742" t="str">
        <f t="shared" si="120"/>
        <v/>
      </c>
      <c r="CN39" s="1741" t="str">
        <f t="shared" si="121"/>
        <v/>
      </c>
      <c r="CO39" s="1741" t="str">
        <f t="shared" si="121"/>
        <v/>
      </c>
      <c r="CP39" s="1741" t="str">
        <f t="shared" si="121"/>
        <v/>
      </c>
      <c r="CQ39" s="1741" t="str">
        <f t="shared" si="121"/>
        <v/>
      </c>
      <c r="CR39" s="1741" t="str">
        <f t="shared" si="121"/>
        <v/>
      </c>
      <c r="CS39" s="1740" t="str">
        <f t="shared" si="121"/>
        <v/>
      </c>
      <c r="CT39" s="1743" t="str">
        <f t="shared" si="121"/>
        <v/>
      </c>
      <c r="CU39" s="1752" t="str">
        <f t="shared" si="122"/>
        <v/>
      </c>
      <c r="CV39" s="1753" t="str">
        <f t="shared" si="122"/>
        <v/>
      </c>
      <c r="CW39" s="1754" t="str">
        <f t="shared" si="122"/>
        <v/>
      </c>
      <c r="CX39" s="1754" t="str">
        <f t="shared" si="122"/>
        <v/>
      </c>
      <c r="CY39" s="1754" t="str">
        <f t="shared" si="122"/>
        <v/>
      </c>
      <c r="CZ39" s="1754" t="str">
        <f t="shared" si="122"/>
        <v/>
      </c>
      <c r="DA39" s="1754" t="str">
        <f t="shared" si="122"/>
        <v/>
      </c>
      <c r="DB39" s="1755" t="str">
        <f t="shared" si="122"/>
        <v/>
      </c>
      <c r="DC39" s="1755" t="str">
        <f t="shared" si="122"/>
        <v/>
      </c>
      <c r="DD39" s="1755" t="str">
        <f t="shared" si="122"/>
        <v/>
      </c>
      <c r="DE39" s="1754" t="str">
        <f t="shared" si="123"/>
        <v/>
      </c>
      <c r="DF39" s="1754" t="str">
        <f t="shared" si="123"/>
        <v/>
      </c>
      <c r="DG39" s="1754" t="str">
        <f t="shared" si="123"/>
        <v/>
      </c>
      <c r="DH39" s="1754" t="str">
        <f t="shared" si="123"/>
        <v/>
      </c>
      <c r="DI39" s="1754" t="str">
        <f t="shared" si="123"/>
        <v/>
      </c>
      <c r="DJ39" s="1753" t="str">
        <f t="shared" si="123"/>
        <v/>
      </c>
      <c r="DK39" s="1752" t="str">
        <f t="shared" si="123"/>
        <v/>
      </c>
      <c r="DL39" s="1829">
        <f t="shared" si="124"/>
        <v>0</v>
      </c>
      <c r="DM39" s="1439">
        <f t="shared" si="125"/>
        <v>0</v>
      </c>
      <c r="DN39" s="1439">
        <f t="shared" si="126"/>
        <v>0</v>
      </c>
      <c r="DO39" s="1439">
        <f t="shared" si="127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/>
      <c r="BZ40" s="1833"/>
      <c r="CA40" s="1833"/>
      <c r="CB40" s="1833"/>
      <c r="CC40" s="1834"/>
      <c r="CD40" s="1739" t="str">
        <f t="shared" si="120"/>
        <v/>
      </c>
      <c r="CE40" s="1740" t="str">
        <f t="shared" si="120"/>
        <v/>
      </c>
      <c r="CF40" s="1741" t="str">
        <f t="shared" si="120"/>
        <v/>
      </c>
      <c r="CG40" s="1741" t="str">
        <f t="shared" si="120"/>
        <v/>
      </c>
      <c r="CH40" s="1741" t="str">
        <f t="shared" si="120"/>
        <v/>
      </c>
      <c r="CI40" s="1741" t="str">
        <f t="shared" si="120"/>
        <v/>
      </c>
      <c r="CJ40" s="1741" t="str">
        <f t="shared" si="120"/>
        <v/>
      </c>
      <c r="CK40" s="1742" t="str">
        <f t="shared" si="120"/>
        <v/>
      </c>
      <c r="CL40" s="1742" t="str">
        <f t="shared" si="120"/>
        <v/>
      </c>
      <c r="CM40" s="1742" t="str">
        <f t="shared" si="120"/>
        <v/>
      </c>
      <c r="CN40" s="1741" t="str">
        <f t="shared" si="121"/>
        <v/>
      </c>
      <c r="CO40" s="1741" t="str">
        <f t="shared" si="121"/>
        <v/>
      </c>
      <c r="CP40" s="1741" t="str">
        <f t="shared" si="121"/>
        <v/>
      </c>
      <c r="CQ40" s="1741" t="str">
        <f t="shared" si="121"/>
        <v/>
      </c>
      <c r="CR40" s="1741" t="str">
        <f t="shared" si="121"/>
        <v/>
      </c>
      <c r="CS40" s="1740" t="str">
        <f t="shared" si="121"/>
        <v/>
      </c>
      <c r="CT40" s="1743" t="str">
        <f t="shared" si="121"/>
        <v/>
      </c>
      <c r="CU40" s="1752" t="str">
        <f t="shared" si="122"/>
        <v/>
      </c>
      <c r="CV40" s="1753" t="str">
        <f t="shared" si="122"/>
        <v/>
      </c>
      <c r="CW40" s="1754" t="str">
        <f t="shared" si="122"/>
        <v/>
      </c>
      <c r="CX40" s="1754" t="str">
        <f t="shared" si="122"/>
        <v/>
      </c>
      <c r="CY40" s="1754" t="str">
        <f t="shared" si="122"/>
        <v/>
      </c>
      <c r="CZ40" s="1754" t="str">
        <f t="shared" si="122"/>
        <v/>
      </c>
      <c r="DA40" s="1754" t="str">
        <f t="shared" si="122"/>
        <v/>
      </c>
      <c r="DB40" s="1755" t="str">
        <f t="shared" si="122"/>
        <v/>
      </c>
      <c r="DC40" s="1755" t="str">
        <f t="shared" si="122"/>
        <v/>
      </c>
      <c r="DD40" s="1755" t="str">
        <f t="shared" si="122"/>
        <v/>
      </c>
      <c r="DE40" s="1754" t="str">
        <f t="shared" si="123"/>
        <v/>
      </c>
      <c r="DF40" s="1754" t="str">
        <f t="shared" si="123"/>
        <v/>
      </c>
      <c r="DG40" s="1754" t="str">
        <f t="shared" si="123"/>
        <v/>
      </c>
      <c r="DH40" s="1754" t="str">
        <f t="shared" si="123"/>
        <v/>
      </c>
      <c r="DI40" s="1754" t="str">
        <f t="shared" si="123"/>
        <v/>
      </c>
      <c r="DJ40" s="1753" t="str">
        <f t="shared" si="123"/>
        <v/>
      </c>
      <c r="DK40" s="1752" t="str">
        <f t="shared" si="123"/>
        <v/>
      </c>
      <c r="DL40" s="1829">
        <f t="shared" si="124"/>
        <v>0</v>
      </c>
      <c r="DM40" s="1439">
        <f t="shared" si="125"/>
        <v>0</v>
      </c>
      <c r="DN40" s="1439">
        <f t="shared" si="126"/>
        <v>0</v>
      </c>
      <c r="DO40" s="1439">
        <f t="shared" si="127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128">IF(B39="","",B38*B39*B40)</f>
        <v/>
      </c>
      <c r="C41" s="1408" t="str">
        <f t="shared" si="128"/>
        <v/>
      </c>
      <c r="D41" s="1408" t="str">
        <f t="shared" si="128"/>
        <v/>
      </c>
      <c r="E41" s="1408" t="str">
        <f t="shared" si="128"/>
        <v/>
      </c>
      <c r="F41" s="1408" t="str">
        <f t="shared" si="128"/>
        <v/>
      </c>
      <c r="G41" s="1408" t="str">
        <f t="shared" si="128"/>
        <v/>
      </c>
      <c r="H41" s="1408" t="str">
        <f t="shared" si="128"/>
        <v/>
      </c>
      <c r="I41" s="1408" t="str">
        <f t="shared" si="128"/>
        <v/>
      </c>
      <c r="J41" s="1408" t="str">
        <f t="shared" si="128"/>
        <v/>
      </c>
      <c r="K41" s="1408" t="str">
        <f t="shared" si="128"/>
        <v/>
      </c>
      <c r="L41" s="1408" t="str">
        <f t="shared" ref="L41:R41" si="129">IF(L39="","",L38*L39*L40)</f>
        <v/>
      </c>
      <c r="M41" s="1408" t="str">
        <f t="shared" si="129"/>
        <v/>
      </c>
      <c r="N41" s="1408" t="str">
        <f t="shared" si="129"/>
        <v/>
      </c>
      <c r="O41" s="1408" t="str">
        <f t="shared" si="129"/>
        <v/>
      </c>
      <c r="P41" s="1408" t="str">
        <f t="shared" si="129"/>
        <v/>
      </c>
      <c r="Q41" s="1408" t="str">
        <f t="shared" si="129"/>
        <v/>
      </c>
      <c r="R41" s="1408" t="str">
        <f t="shared" si="129"/>
        <v/>
      </c>
      <c r="S41" s="1772"/>
      <c r="T41" s="1408" t="str">
        <f t="shared" ref="T41:AC41" si="130">IF(T39="","",T38*T39*T40)</f>
        <v/>
      </c>
      <c r="U41" s="1408" t="str">
        <f t="shared" si="130"/>
        <v/>
      </c>
      <c r="V41" s="1408" t="str">
        <f t="shared" si="130"/>
        <v/>
      </c>
      <c r="W41" s="1408" t="str">
        <f t="shared" si="130"/>
        <v/>
      </c>
      <c r="X41" s="1408" t="str">
        <f t="shared" si="130"/>
        <v/>
      </c>
      <c r="Y41" s="1408" t="str">
        <f t="shared" si="130"/>
        <v/>
      </c>
      <c r="Z41" s="1408" t="str">
        <f t="shared" si="130"/>
        <v/>
      </c>
      <c r="AA41" s="1408" t="str">
        <f t="shared" si="130"/>
        <v/>
      </c>
      <c r="AB41" s="1408" t="str">
        <f t="shared" si="130"/>
        <v/>
      </c>
      <c r="AC41" s="1408" t="str">
        <f t="shared" si="130"/>
        <v/>
      </c>
      <c r="AD41" s="1408" t="str">
        <f t="shared" ref="AD41:AJ41" si="131">IF(AD39="","",AD38*AD39*AD40)</f>
        <v/>
      </c>
      <c r="AE41" s="1408" t="str">
        <f t="shared" si="131"/>
        <v/>
      </c>
      <c r="AF41" s="1408" t="str">
        <f t="shared" si="131"/>
        <v/>
      </c>
      <c r="AG41" s="1408" t="str">
        <f t="shared" si="131"/>
        <v/>
      </c>
      <c r="AH41" s="1408" t="str">
        <f t="shared" si="131"/>
        <v/>
      </c>
      <c r="AI41" s="1408" t="str">
        <f t="shared" si="131"/>
        <v/>
      </c>
      <c r="AJ41" s="1408" t="str">
        <f t="shared" si="131"/>
        <v/>
      </c>
      <c r="AK41" s="1772"/>
      <c r="AL41" s="1408" t="str">
        <f t="shared" ref="AL41:BB41" si="132">IF(AL39="","",AL38*AL39*AL40)</f>
        <v/>
      </c>
      <c r="AM41" s="1408" t="str">
        <f t="shared" si="132"/>
        <v/>
      </c>
      <c r="AN41" s="1408" t="str">
        <f t="shared" si="132"/>
        <v/>
      </c>
      <c r="AO41" s="1408" t="str">
        <f t="shared" si="132"/>
        <v/>
      </c>
      <c r="AP41" s="1408" t="str">
        <f t="shared" si="132"/>
        <v/>
      </c>
      <c r="AQ41" s="1408" t="str">
        <f t="shared" si="132"/>
        <v/>
      </c>
      <c r="AR41" s="1408" t="str">
        <f t="shared" si="132"/>
        <v/>
      </c>
      <c r="AS41" s="1408" t="str">
        <f t="shared" si="132"/>
        <v/>
      </c>
      <c r="AT41" s="1408" t="str">
        <f t="shared" si="132"/>
        <v/>
      </c>
      <c r="AU41" s="1408" t="str">
        <f t="shared" si="132"/>
        <v/>
      </c>
      <c r="AV41" s="1408" t="str">
        <f t="shared" si="132"/>
        <v/>
      </c>
      <c r="AW41" s="1408" t="str">
        <f t="shared" si="132"/>
        <v/>
      </c>
      <c r="AX41" s="1408" t="str">
        <f t="shared" si="132"/>
        <v/>
      </c>
      <c r="AY41" s="1408" t="str">
        <f t="shared" si="132"/>
        <v/>
      </c>
      <c r="AZ41" s="1408" t="str">
        <f t="shared" si="132"/>
        <v/>
      </c>
      <c r="BA41" s="1408" t="str">
        <f t="shared" si="132"/>
        <v/>
      </c>
      <c r="BB41" s="1408" t="str">
        <f t="shared" si="132"/>
        <v/>
      </c>
      <c r="BC41" s="1772"/>
      <c r="BD41" s="1408" t="str">
        <f t="shared" ref="BD41:BT41" si="133">IF(BD39="","",BD38*BD39*BD40)</f>
        <v/>
      </c>
      <c r="BE41" s="1408" t="str">
        <f t="shared" si="133"/>
        <v/>
      </c>
      <c r="BF41" s="1408" t="str">
        <f t="shared" si="133"/>
        <v/>
      </c>
      <c r="BG41" s="1408" t="str">
        <f t="shared" si="133"/>
        <v/>
      </c>
      <c r="BH41" s="1408" t="str">
        <f t="shared" si="133"/>
        <v/>
      </c>
      <c r="BI41" s="1408" t="str">
        <f t="shared" si="133"/>
        <v/>
      </c>
      <c r="BJ41" s="1408" t="str">
        <f t="shared" si="133"/>
        <v/>
      </c>
      <c r="BK41" s="1408" t="str">
        <f t="shared" si="133"/>
        <v/>
      </c>
      <c r="BL41" s="1408" t="str">
        <f t="shared" si="133"/>
        <v/>
      </c>
      <c r="BM41" s="1408" t="str">
        <f t="shared" si="133"/>
        <v/>
      </c>
      <c r="BN41" s="1408" t="str">
        <f t="shared" si="133"/>
        <v/>
      </c>
      <c r="BO41" s="1408" t="str">
        <f t="shared" si="133"/>
        <v/>
      </c>
      <c r="BP41" s="1408" t="str">
        <f t="shared" si="133"/>
        <v/>
      </c>
      <c r="BQ41" s="1408" t="str">
        <f t="shared" si="133"/>
        <v/>
      </c>
      <c r="BR41" s="1408" t="str">
        <f t="shared" si="133"/>
        <v/>
      </c>
      <c r="BS41" s="1408" t="str">
        <f t="shared" si="133"/>
        <v/>
      </c>
      <c r="BT41" s="1408" t="str">
        <f t="shared" si="133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 t="str">
        <f>IF(BY39="","",BY38*BY39*BY40)</f>
        <v/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13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134"/>
        <v/>
      </c>
      <c r="CG41" s="1741" t="str">
        <f t="shared" si="134"/>
        <v/>
      </c>
      <c r="CH41" s="1741" t="str">
        <f t="shared" si="134"/>
        <v/>
      </c>
      <c r="CI41" s="1741" t="str">
        <f t="shared" si="134"/>
        <v/>
      </c>
      <c r="CJ41" s="1741" t="str">
        <f t="shared" si="134"/>
        <v/>
      </c>
      <c r="CK41" s="1742" t="str">
        <f t="shared" si="134"/>
        <v/>
      </c>
      <c r="CL41" s="1742" t="str">
        <f t="shared" si="134"/>
        <v/>
      </c>
      <c r="CM41" s="1742" t="str">
        <f t="shared" si="134"/>
        <v/>
      </c>
      <c r="CN41" s="1741" t="str">
        <f t="shared" si="134"/>
        <v/>
      </c>
      <c r="CO41" s="1741" t="str">
        <f t="shared" si="134"/>
        <v/>
      </c>
      <c r="CP41" s="1741" t="str">
        <f t="shared" si="134"/>
        <v/>
      </c>
      <c r="CQ41" s="1741" t="str">
        <f t="shared" si="134"/>
        <v/>
      </c>
      <c r="CR41" s="1741" t="str">
        <f t="shared" si="134"/>
        <v/>
      </c>
      <c r="CS41" s="1740" t="str">
        <f t="shared" si="134"/>
        <v/>
      </c>
      <c r="CT41" s="1743" t="str">
        <f t="shared" si="134"/>
        <v/>
      </c>
      <c r="CU41" s="1752" t="str">
        <f t="shared" ref="CU41:DD45" si="135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si="135"/>
        <v/>
      </c>
      <c r="CW41" s="1754" t="str">
        <f t="shared" si="135"/>
        <v/>
      </c>
      <c r="CX41" s="1754" t="str">
        <f t="shared" si="135"/>
        <v/>
      </c>
      <c r="CY41" s="1754" t="str">
        <f t="shared" si="135"/>
        <v/>
      </c>
      <c r="CZ41" s="1754" t="str">
        <f t="shared" si="135"/>
        <v/>
      </c>
      <c r="DA41" s="1754" t="str">
        <f t="shared" si="135"/>
        <v/>
      </c>
      <c r="DB41" s="1755" t="str">
        <f t="shared" si="135"/>
        <v/>
      </c>
      <c r="DC41" s="1755" t="str">
        <f t="shared" si="135"/>
        <v/>
      </c>
      <c r="DD41" s="1755" t="str">
        <f t="shared" si="135"/>
        <v/>
      </c>
      <c r="DE41" s="1754" t="str">
        <f t="shared" ref="DE41:DK45" si="136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si="136"/>
        <v/>
      </c>
      <c r="DG41" s="1754" t="str">
        <f t="shared" si="136"/>
        <v/>
      </c>
      <c r="DH41" s="1754" t="str">
        <f t="shared" si="136"/>
        <v/>
      </c>
      <c r="DI41" s="1754" t="str">
        <f t="shared" si="136"/>
        <v/>
      </c>
      <c r="DJ41" s="1753" t="str">
        <f t="shared" si="136"/>
        <v/>
      </c>
      <c r="DK41" s="1752" t="str">
        <f t="shared" si="136"/>
        <v/>
      </c>
      <c r="DL41" s="1829">
        <f t="shared" si="124"/>
        <v>0</v>
      </c>
      <c r="DM41" s="1439">
        <f t="shared" si="125"/>
        <v>0</v>
      </c>
      <c r="DN41" s="1439">
        <f t="shared" si="126"/>
        <v>0</v>
      </c>
      <c r="DO41" s="1439">
        <f t="shared" si="127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 t="str">
        <f>IF(SUM(BY41)&gt;0,(BY41*SUM(BY44)*(DS44=""))*'Exp factors'!F$69,"")</f>
        <v/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137">3390*$K$1</f>
        <v>14193.252</v>
      </c>
      <c r="D42" s="1773">
        <f t="shared" si="137"/>
        <v>14193.252</v>
      </c>
      <c r="E42" s="1773">
        <f t="shared" si="137"/>
        <v>14193.252</v>
      </c>
      <c r="F42" s="1773">
        <f t="shared" si="137"/>
        <v>14193.252</v>
      </c>
      <c r="G42" s="1773">
        <f t="shared" si="137"/>
        <v>14193.252</v>
      </c>
      <c r="H42" s="1773">
        <f t="shared" si="137"/>
        <v>14193.252</v>
      </c>
      <c r="I42" s="1773">
        <f t="shared" si="137"/>
        <v>14193.252</v>
      </c>
      <c r="J42" s="1773">
        <f t="shared" si="137"/>
        <v>14193.252</v>
      </c>
      <c r="K42" s="1773">
        <f t="shared" si="137"/>
        <v>14193.252</v>
      </c>
      <c r="L42" s="1773">
        <f t="shared" si="137"/>
        <v>14193.252</v>
      </c>
      <c r="M42" s="1773">
        <f t="shared" si="137"/>
        <v>14193.252</v>
      </c>
      <c r="N42" s="1773">
        <f t="shared" si="137"/>
        <v>14193.252</v>
      </c>
      <c r="O42" s="1773">
        <f t="shared" si="137"/>
        <v>14193.252</v>
      </c>
      <c r="P42" s="1773">
        <f t="shared" si="137"/>
        <v>14193.252</v>
      </c>
      <c r="Q42" s="1773">
        <f t="shared" si="137"/>
        <v>14193.252</v>
      </c>
      <c r="R42" s="1773">
        <f t="shared" si="137"/>
        <v>14193.252</v>
      </c>
      <c r="S42" s="1774"/>
      <c r="T42" s="1773">
        <f>3390*$K$1</f>
        <v>14193.252</v>
      </c>
      <c r="U42" s="1773">
        <f t="shared" ref="U42:AJ42" si="138">3390*$K$1</f>
        <v>14193.252</v>
      </c>
      <c r="V42" s="1773">
        <f t="shared" si="138"/>
        <v>14193.252</v>
      </c>
      <c r="W42" s="1773">
        <f t="shared" si="138"/>
        <v>14193.252</v>
      </c>
      <c r="X42" s="1773">
        <f t="shared" si="138"/>
        <v>14193.252</v>
      </c>
      <c r="Y42" s="1773">
        <f t="shared" si="138"/>
        <v>14193.252</v>
      </c>
      <c r="Z42" s="1773">
        <f t="shared" si="138"/>
        <v>14193.252</v>
      </c>
      <c r="AA42" s="1773">
        <f t="shared" si="138"/>
        <v>14193.252</v>
      </c>
      <c r="AB42" s="1773">
        <f t="shared" si="138"/>
        <v>14193.252</v>
      </c>
      <c r="AC42" s="1773">
        <f t="shared" si="138"/>
        <v>14193.252</v>
      </c>
      <c r="AD42" s="1773">
        <f t="shared" si="138"/>
        <v>14193.252</v>
      </c>
      <c r="AE42" s="1773">
        <f t="shared" si="138"/>
        <v>14193.252</v>
      </c>
      <c r="AF42" s="1773">
        <f t="shared" si="138"/>
        <v>14193.252</v>
      </c>
      <c r="AG42" s="1773">
        <f t="shared" si="138"/>
        <v>14193.252</v>
      </c>
      <c r="AH42" s="1773">
        <f t="shared" si="138"/>
        <v>14193.252</v>
      </c>
      <c r="AI42" s="1773">
        <f t="shared" si="138"/>
        <v>14193.252</v>
      </c>
      <c r="AJ42" s="1773">
        <f t="shared" si="138"/>
        <v>14193.252</v>
      </c>
      <c r="AK42" s="1774"/>
      <c r="AL42" s="1773">
        <f>3390*$K$1</f>
        <v>14193.252</v>
      </c>
      <c r="AM42" s="1773">
        <f t="shared" ref="AM42:BB42" si="139">3390*$K$1</f>
        <v>14193.252</v>
      </c>
      <c r="AN42" s="1773">
        <f t="shared" si="139"/>
        <v>14193.252</v>
      </c>
      <c r="AO42" s="1773">
        <f t="shared" si="139"/>
        <v>14193.252</v>
      </c>
      <c r="AP42" s="1773">
        <f t="shared" si="139"/>
        <v>14193.252</v>
      </c>
      <c r="AQ42" s="1773">
        <f t="shared" si="139"/>
        <v>14193.252</v>
      </c>
      <c r="AR42" s="1773">
        <f t="shared" si="139"/>
        <v>14193.252</v>
      </c>
      <c r="AS42" s="1773">
        <f t="shared" si="139"/>
        <v>14193.252</v>
      </c>
      <c r="AT42" s="1773">
        <f t="shared" si="139"/>
        <v>14193.252</v>
      </c>
      <c r="AU42" s="1773">
        <f t="shared" si="139"/>
        <v>14193.252</v>
      </c>
      <c r="AV42" s="1773">
        <f t="shared" si="139"/>
        <v>14193.252</v>
      </c>
      <c r="AW42" s="1773">
        <f t="shared" si="139"/>
        <v>14193.252</v>
      </c>
      <c r="AX42" s="1773">
        <f t="shared" si="139"/>
        <v>14193.252</v>
      </c>
      <c r="AY42" s="1773">
        <f t="shared" si="139"/>
        <v>14193.252</v>
      </c>
      <c r="AZ42" s="1773">
        <f t="shared" si="139"/>
        <v>14193.252</v>
      </c>
      <c r="BA42" s="1773">
        <f t="shared" si="139"/>
        <v>14193.252</v>
      </c>
      <c r="BB42" s="1773">
        <f t="shared" si="139"/>
        <v>14193.252</v>
      </c>
      <c r="BC42" s="1774"/>
      <c r="BD42" s="1773">
        <f>3390*$K$1</f>
        <v>14193.252</v>
      </c>
      <c r="BE42" s="1773">
        <f t="shared" ref="BE42:BY42" si="140">3390*$K$1</f>
        <v>14193.252</v>
      </c>
      <c r="BF42" s="1773">
        <f t="shared" si="140"/>
        <v>14193.252</v>
      </c>
      <c r="BG42" s="1773">
        <f t="shared" si="140"/>
        <v>14193.252</v>
      </c>
      <c r="BH42" s="1773">
        <f t="shared" si="140"/>
        <v>14193.252</v>
      </c>
      <c r="BI42" s="1773">
        <f t="shared" si="140"/>
        <v>14193.252</v>
      </c>
      <c r="BJ42" s="1773">
        <f t="shared" si="140"/>
        <v>14193.252</v>
      </c>
      <c r="BK42" s="1773">
        <f t="shared" si="140"/>
        <v>14193.252</v>
      </c>
      <c r="BL42" s="1773">
        <f t="shared" si="140"/>
        <v>14193.252</v>
      </c>
      <c r="BM42" s="1773">
        <f t="shared" si="140"/>
        <v>14193.252</v>
      </c>
      <c r="BN42" s="1773">
        <f t="shared" si="140"/>
        <v>14193.252</v>
      </c>
      <c r="BO42" s="1773">
        <f t="shared" si="140"/>
        <v>14193.252</v>
      </c>
      <c r="BP42" s="1773">
        <f t="shared" si="140"/>
        <v>14193.252</v>
      </c>
      <c r="BQ42" s="1773">
        <f t="shared" si="140"/>
        <v>14193.252</v>
      </c>
      <c r="BR42" s="1773">
        <f t="shared" si="140"/>
        <v>14193.252</v>
      </c>
      <c r="BS42" s="1773">
        <f t="shared" si="140"/>
        <v>14193.252</v>
      </c>
      <c r="BT42" s="1773">
        <f t="shared" si="140"/>
        <v>14193.252</v>
      </c>
      <c r="BU42" s="1774"/>
      <c r="BV42" s="1773">
        <f t="shared" si="140"/>
        <v>14193.252</v>
      </c>
      <c r="BW42" s="1773">
        <f t="shared" si="140"/>
        <v>14193.252</v>
      </c>
      <c r="BX42" s="1773">
        <f t="shared" si="140"/>
        <v>14193.252</v>
      </c>
      <c r="BY42" s="1773">
        <f t="shared" si="140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>IF(UPPER($CD$4)=UPPER($BZ$4),IF(OR(-FLOOR(((17-COUNT($B42:$R42))/2),1)+CD$7&lt;1,-FLOOR(((17-COUNT($B42:$R42))/2),1)+CD$7&gt;COUNT($B42:$R42)),"",LARGE($B42:$R42,-FLOOR(((17-COUNT($B42:$R42))/2),1)+CD$7)),IF(UPPER($CD$4)=UPPER($CA$4),IF(OR(-FLOOR(((17-COUNT($T42:$AJ42))/2),1)+CD$7&lt;1,-FLOOR(((17-COUNT($T42:$AJ42))/2),1)+CD$7&gt;COUNT($T42:$AJ42)),"",LARGE($T42:$AJ42,-FLOOR(((17-COUNT($T42:$AJ42))/2),1)+CD$7)),IF(UPPER($CD$4)=UPPER($CB$4),IF(OR(-FLOOR(((17-COUNT($AL42:$BB42))/2),1)+CD$7&lt;1,-FLOOR(((17-COUNT($AL42:$BB42))/2),1)+CD$7&gt;COUNT($AL42:$BB42)),"",LARGE($AL42:$BB42,-FLOOR(((17-COUNT($AL42:$BB42))/2),1)+CD$7)),IF(OR(-FLOOR(((17-COUNT($BD42:$BT42))/2),1)+CD$7&lt;1,-FLOOR(((17-COUNT($BD42:$BT42))/2),1)+CD$7&gt;COUNT($BD42:$BT42)),"",LARGE($BD42:$BT42,-FLOOR(((17-COUNT($BD42:$BT42))/2),1)+CD$7)))))</f>
        <v>14193.252</v>
      </c>
      <c r="CE42" s="1740">
        <f t="shared" si="134"/>
        <v>14193.252</v>
      </c>
      <c r="CF42" s="1741">
        <f t="shared" si="134"/>
        <v>14193.252</v>
      </c>
      <c r="CG42" s="1741">
        <f t="shared" si="134"/>
        <v>14193.252</v>
      </c>
      <c r="CH42" s="1741">
        <f t="shared" si="134"/>
        <v>14193.252</v>
      </c>
      <c r="CI42" s="1741">
        <f t="shared" si="134"/>
        <v>14193.252</v>
      </c>
      <c r="CJ42" s="1741">
        <f t="shared" si="134"/>
        <v>14193.252</v>
      </c>
      <c r="CK42" s="1742">
        <f t="shared" si="134"/>
        <v>14193.252</v>
      </c>
      <c r="CL42" s="1742">
        <f t="shared" si="134"/>
        <v>14193.252</v>
      </c>
      <c r="CM42" s="1742">
        <f t="shared" si="134"/>
        <v>14193.252</v>
      </c>
      <c r="CN42" s="1741">
        <f t="shared" si="134"/>
        <v>14193.252</v>
      </c>
      <c r="CO42" s="1741">
        <f t="shared" si="134"/>
        <v>14193.252</v>
      </c>
      <c r="CP42" s="1741">
        <f t="shared" si="134"/>
        <v>14193.252</v>
      </c>
      <c r="CQ42" s="1741">
        <f t="shared" si="134"/>
        <v>14193.252</v>
      </c>
      <c r="CR42" s="1741">
        <f t="shared" si="134"/>
        <v>14193.252</v>
      </c>
      <c r="CS42" s="1740">
        <f t="shared" si="134"/>
        <v>14193.252</v>
      </c>
      <c r="CT42" s="1743">
        <f t="shared" si="134"/>
        <v>14193.252</v>
      </c>
      <c r="CU42" s="1752">
        <f t="shared" si="135"/>
        <v>14193.252</v>
      </c>
      <c r="CV42" s="1753">
        <f t="shared" si="135"/>
        <v>14193.252</v>
      </c>
      <c r="CW42" s="1754">
        <f t="shared" si="135"/>
        <v>14193.252</v>
      </c>
      <c r="CX42" s="1754">
        <f t="shared" si="135"/>
        <v>14193.252</v>
      </c>
      <c r="CY42" s="1754">
        <f t="shared" si="135"/>
        <v>14193.252</v>
      </c>
      <c r="CZ42" s="1754">
        <f t="shared" si="135"/>
        <v>14193.252</v>
      </c>
      <c r="DA42" s="1754">
        <f t="shared" si="135"/>
        <v>14193.252</v>
      </c>
      <c r="DB42" s="1755">
        <f t="shared" si="135"/>
        <v>14193.252</v>
      </c>
      <c r="DC42" s="1755">
        <f t="shared" si="135"/>
        <v>14193.252</v>
      </c>
      <c r="DD42" s="1755">
        <f t="shared" si="135"/>
        <v>14193.252</v>
      </c>
      <c r="DE42" s="1754">
        <f t="shared" si="136"/>
        <v>14193.252</v>
      </c>
      <c r="DF42" s="1754">
        <f t="shared" si="136"/>
        <v>14193.252</v>
      </c>
      <c r="DG42" s="1754">
        <f t="shared" si="136"/>
        <v>14193.252</v>
      </c>
      <c r="DH42" s="1754">
        <f t="shared" si="136"/>
        <v>14193.252</v>
      </c>
      <c r="DI42" s="1754">
        <f t="shared" si="136"/>
        <v>14193.252</v>
      </c>
      <c r="DJ42" s="1753">
        <f t="shared" si="136"/>
        <v>14193.252</v>
      </c>
      <c r="DK42" s="1752">
        <f t="shared" si="136"/>
        <v>14193.252</v>
      </c>
      <c r="DL42" s="1829">
        <f t="shared" si="124"/>
        <v>17</v>
      </c>
      <c r="DM42" s="1439">
        <f t="shared" si="125"/>
        <v>17</v>
      </c>
      <c r="DN42" s="1439">
        <f t="shared" si="126"/>
        <v>17</v>
      </c>
      <c r="DO42" s="1439">
        <f t="shared" si="127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 t="shared" ref="B43:R43" si="141">IF(B41="","",B41*B42/B$7/365/$G$1)</f>
        <v/>
      </c>
      <c r="C43" s="1407" t="str">
        <f t="shared" si="141"/>
        <v/>
      </c>
      <c r="D43" s="1407" t="str">
        <f t="shared" si="141"/>
        <v/>
      </c>
      <c r="E43" s="1407" t="str">
        <f t="shared" si="141"/>
        <v/>
      </c>
      <c r="F43" s="1407" t="str">
        <f t="shared" si="141"/>
        <v/>
      </c>
      <c r="G43" s="1407" t="str">
        <f t="shared" si="141"/>
        <v/>
      </c>
      <c r="H43" s="1407" t="str">
        <f t="shared" si="141"/>
        <v/>
      </c>
      <c r="I43" s="1407" t="str">
        <f t="shared" si="141"/>
        <v/>
      </c>
      <c r="J43" s="1407" t="str">
        <f t="shared" si="141"/>
        <v/>
      </c>
      <c r="K43" s="1407" t="str">
        <f t="shared" si="141"/>
        <v/>
      </c>
      <c r="L43" s="1407" t="str">
        <f t="shared" si="141"/>
        <v/>
      </c>
      <c r="M43" s="1407" t="str">
        <f t="shared" si="141"/>
        <v/>
      </c>
      <c r="N43" s="1407" t="str">
        <f t="shared" si="141"/>
        <v/>
      </c>
      <c r="O43" s="1407" t="str">
        <f t="shared" si="141"/>
        <v/>
      </c>
      <c r="P43" s="1407" t="str">
        <f t="shared" si="141"/>
        <v/>
      </c>
      <c r="Q43" s="1407" t="str">
        <f t="shared" si="141"/>
        <v/>
      </c>
      <c r="R43" s="1407" t="str">
        <f t="shared" si="141"/>
        <v/>
      </c>
      <c r="S43" s="1775"/>
      <c r="T43" s="1407" t="str">
        <f t="shared" ref="T43:AJ43" si="142">IF(T41="","",T41*T42/T$7/365/$G$1)</f>
        <v/>
      </c>
      <c r="U43" s="1407" t="str">
        <f t="shared" si="142"/>
        <v/>
      </c>
      <c r="V43" s="1407" t="str">
        <f t="shared" si="142"/>
        <v/>
      </c>
      <c r="W43" s="1407" t="str">
        <f t="shared" si="142"/>
        <v/>
      </c>
      <c r="X43" s="1407" t="str">
        <f t="shared" si="142"/>
        <v/>
      </c>
      <c r="Y43" s="1407" t="str">
        <f t="shared" si="142"/>
        <v/>
      </c>
      <c r="Z43" s="1407" t="str">
        <f t="shared" si="142"/>
        <v/>
      </c>
      <c r="AA43" s="1407" t="str">
        <f t="shared" si="142"/>
        <v/>
      </c>
      <c r="AB43" s="1407" t="str">
        <f t="shared" si="142"/>
        <v/>
      </c>
      <c r="AC43" s="1407" t="str">
        <f t="shared" si="142"/>
        <v/>
      </c>
      <c r="AD43" s="1407" t="str">
        <f t="shared" si="142"/>
        <v/>
      </c>
      <c r="AE43" s="1407" t="str">
        <f t="shared" si="142"/>
        <v/>
      </c>
      <c r="AF43" s="1407" t="str">
        <f t="shared" si="142"/>
        <v/>
      </c>
      <c r="AG43" s="1407" t="str">
        <f t="shared" si="142"/>
        <v/>
      </c>
      <c r="AH43" s="1407" t="str">
        <f t="shared" si="142"/>
        <v/>
      </c>
      <c r="AI43" s="1407" t="str">
        <f t="shared" si="142"/>
        <v/>
      </c>
      <c r="AJ43" s="1407" t="str">
        <f t="shared" si="142"/>
        <v/>
      </c>
      <c r="AK43" s="1775"/>
      <c r="AL43" s="1407" t="str">
        <f t="shared" ref="AL43:BB43" si="143">IF(AL41="","",AL41*AL42/AL$7/365/$G$1)</f>
        <v/>
      </c>
      <c r="AM43" s="1407" t="str">
        <f t="shared" si="143"/>
        <v/>
      </c>
      <c r="AN43" s="1407" t="str">
        <f t="shared" si="143"/>
        <v/>
      </c>
      <c r="AO43" s="1407" t="str">
        <f t="shared" si="143"/>
        <v/>
      </c>
      <c r="AP43" s="1407" t="str">
        <f t="shared" si="143"/>
        <v/>
      </c>
      <c r="AQ43" s="1407" t="str">
        <f t="shared" si="143"/>
        <v/>
      </c>
      <c r="AR43" s="1407" t="str">
        <f t="shared" si="143"/>
        <v/>
      </c>
      <c r="AS43" s="1407" t="str">
        <f t="shared" si="143"/>
        <v/>
      </c>
      <c r="AT43" s="1407" t="str">
        <f t="shared" si="143"/>
        <v/>
      </c>
      <c r="AU43" s="1407" t="str">
        <f t="shared" si="143"/>
        <v/>
      </c>
      <c r="AV43" s="1407" t="str">
        <f t="shared" si="143"/>
        <v/>
      </c>
      <c r="AW43" s="1407" t="str">
        <f t="shared" si="143"/>
        <v/>
      </c>
      <c r="AX43" s="1407" t="str">
        <f t="shared" si="143"/>
        <v/>
      </c>
      <c r="AY43" s="1407" t="str">
        <f t="shared" si="143"/>
        <v/>
      </c>
      <c r="AZ43" s="1407" t="str">
        <f t="shared" si="143"/>
        <v/>
      </c>
      <c r="BA43" s="1407" t="str">
        <f t="shared" si="143"/>
        <v/>
      </c>
      <c r="BB43" s="1407" t="str">
        <f t="shared" si="143"/>
        <v/>
      </c>
      <c r="BC43" s="1775"/>
      <c r="BD43" s="1407" t="str">
        <f t="shared" ref="BD43:BT43" si="144">IF(BD41="","",BD41*BD42/BD$7/365/$G$1)</f>
        <v/>
      </c>
      <c r="BE43" s="1407" t="str">
        <f t="shared" si="144"/>
        <v/>
      </c>
      <c r="BF43" s="1407" t="str">
        <f t="shared" si="144"/>
        <v/>
      </c>
      <c r="BG43" s="1407" t="str">
        <f t="shared" si="144"/>
        <v/>
      </c>
      <c r="BH43" s="1407" t="str">
        <f t="shared" si="144"/>
        <v/>
      </c>
      <c r="BI43" s="1407" t="str">
        <f t="shared" si="144"/>
        <v/>
      </c>
      <c r="BJ43" s="1407" t="str">
        <f t="shared" si="144"/>
        <v/>
      </c>
      <c r="BK43" s="1407" t="str">
        <f t="shared" si="144"/>
        <v/>
      </c>
      <c r="BL43" s="1407" t="str">
        <f t="shared" si="144"/>
        <v/>
      </c>
      <c r="BM43" s="1407" t="str">
        <f t="shared" si="144"/>
        <v/>
      </c>
      <c r="BN43" s="1407" t="str">
        <f t="shared" si="144"/>
        <v/>
      </c>
      <c r="BO43" s="1407" t="str">
        <f t="shared" si="144"/>
        <v/>
      </c>
      <c r="BP43" s="1407" t="str">
        <f t="shared" si="144"/>
        <v/>
      </c>
      <c r="BQ43" s="1407" t="str">
        <f t="shared" si="144"/>
        <v/>
      </c>
      <c r="BR43" s="1407" t="str">
        <f t="shared" si="144"/>
        <v/>
      </c>
      <c r="BS43" s="1407" t="str">
        <f t="shared" si="144"/>
        <v/>
      </c>
      <c r="BT43" s="1407" t="str">
        <f t="shared" si="144"/>
        <v/>
      </c>
      <c r="BU43" s="1775"/>
      <c r="BV43" s="1407">
        <f>IF(BV41="","",BV41*BV42/BV$7/365/$G$1)</f>
        <v>5.3025848069738479E-2</v>
      </c>
      <c r="BW43" s="1407">
        <f>IF(BW41="","",BW41*BW42/BW$7/365/$G$1)</f>
        <v>2.4303513698630135E-2</v>
      </c>
      <c r="BX43" s="1407">
        <f>IF(BX41="","",BX41*BX42/BX$7/365/$G$1)</f>
        <v>2.651292403486924E-2</v>
      </c>
      <c r="BY43" s="1407" t="str">
        <f>IF(BY41="","",BY41*BY42/BY$7/365/$G$1)</f>
        <v/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>IF(UPPER($CD$4)=UPPER($BZ$4),IF(OR(-FLOOR(((17-COUNT($B43:$R43))/2),1)+CD$7&lt;1,-FLOOR(((17-COUNT($B43:$R43))/2),1)+CD$7&gt;COUNT($B43:$R43)),"",LARGE($B43:$R43,-FLOOR(((17-COUNT($B43:$R43))/2),1)+CD$7)),IF(UPPER($CD$4)=UPPER($CA$4),IF(OR(-FLOOR(((17-COUNT($T43:$AJ43))/2),1)+CD$7&lt;1,-FLOOR(((17-COUNT($T43:$AJ43))/2),1)+CD$7&gt;COUNT($T43:$AJ43)),"",LARGE($T43:$AJ43,-FLOOR(((17-COUNT($T43:$AJ43))/2),1)+CD$7)),IF(UPPER($CD$4)=UPPER($CB$4),IF(OR(-FLOOR(((17-COUNT($AL43:$BB43))/2),1)+CD$7&lt;1,-FLOOR(((17-COUNT($AL43:$BB43))/2),1)+CD$7&gt;COUNT($AL43:$BB43)),"",LARGE($AL43:$BB43,-FLOOR(((17-COUNT($AL43:$BB43))/2),1)+CD$7)),IF(OR(-FLOOR(((17-COUNT($BD43:$BT43))/2),1)+CD$7&lt;1,-FLOOR(((17-COUNT($BD43:$BT43))/2),1)+CD$7&gt;COUNT($BD43:$BT43)),"",LARGE($BD43:$BT43,-FLOOR(((17-COUNT($BD43:$BT43))/2),1)+CD$7)))))</f>
        <v/>
      </c>
      <c r="CE43" s="1757" t="str">
        <f t="shared" si="134"/>
        <v/>
      </c>
      <c r="CF43" s="1758" t="str">
        <f t="shared" si="134"/>
        <v/>
      </c>
      <c r="CG43" s="1758" t="str">
        <f t="shared" si="134"/>
        <v/>
      </c>
      <c r="CH43" s="1758" t="str">
        <f t="shared" si="134"/>
        <v/>
      </c>
      <c r="CI43" s="1758" t="str">
        <f t="shared" si="134"/>
        <v/>
      </c>
      <c r="CJ43" s="1758" t="str">
        <f t="shared" si="134"/>
        <v/>
      </c>
      <c r="CK43" s="1759" t="str">
        <f t="shared" si="134"/>
        <v/>
      </c>
      <c r="CL43" s="1759" t="str">
        <f t="shared" si="134"/>
        <v/>
      </c>
      <c r="CM43" s="1759" t="str">
        <f t="shared" si="134"/>
        <v/>
      </c>
      <c r="CN43" s="1758" t="str">
        <f t="shared" si="134"/>
        <v/>
      </c>
      <c r="CO43" s="1758" t="str">
        <f t="shared" si="134"/>
        <v/>
      </c>
      <c r="CP43" s="1758" t="str">
        <f t="shared" si="134"/>
        <v/>
      </c>
      <c r="CQ43" s="1758" t="str">
        <f t="shared" si="134"/>
        <v/>
      </c>
      <c r="CR43" s="1758" t="str">
        <f t="shared" si="134"/>
        <v/>
      </c>
      <c r="CS43" s="1757" t="str">
        <f t="shared" si="134"/>
        <v/>
      </c>
      <c r="CT43" s="1760" t="str">
        <f t="shared" si="134"/>
        <v/>
      </c>
      <c r="CU43" s="1761" t="str">
        <f t="shared" si="135"/>
        <v/>
      </c>
      <c r="CV43" s="1762" t="str">
        <f t="shared" si="135"/>
        <v/>
      </c>
      <c r="CW43" s="1763" t="str">
        <f t="shared" si="135"/>
        <v/>
      </c>
      <c r="CX43" s="1763" t="str">
        <f t="shared" si="135"/>
        <v/>
      </c>
      <c r="CY43" s="1763" t="str">
        <f t="shared" si="135"/>
        <v/>
      </c>
      <c r="CZ43" s="1763" t="str">
        <f t="shared" si="135"/>
        <v/>
      </c>
      <c r="DA43" s="1763" t="str">
        <f t="shared" si="135"/>
        <v/>
      </c>
      <c r="DB43" s="1764" t="str">
        <f t="shared" si="135"/>
        <v/>
      </c>
      <c r="DC43" s="1764" t="str">
        <f t="shared" si="135"/>
        <v/>
      </c>
      <c r="DD43" s="1764" t="str">
        <f t="shared" si="135"/>
        <v/>
      </c>
      <c r="DE43" s="1763" t="str">
        <f t="shared" si="136"/>
        <v/>
      </c>
      <c r="DF43" s="1763" t="str">
        <f t="shared" si="136"/>
        <v/>
      </c>
      <c r="DG43" s="1763" t="str">
        <f t="shared" si="136"/>
        <v/>
      </c>
      <c r="DH43" s="1763" t="str">
        <f t="shared" si="136"/>
        <v/>
      </c>
      <c r="DI43" s="1763" t="str">
        <f t="shared" si="136"/>
        <v/>
      </c>
      <c r="DJ43" s="1762" t="str">
        <f t="shared" si="136"/>
        <v/>
      </c>
      <c r="DK43" s="1761" t="str">
        <f t="shared" si="136"/>
        <v/>
      </c>
      <c r="DL43" s="1829">
        <f t="shared" si="124"/>
        <v>0</v>
      </c>
      <c r="DM43" s="1439">
        <f t="shared" si="125"/>
        <v>0</v>
      </c>
      <c r="DN43" s="1439">
        <f t="shared" si="126"/>
        <v>0</v>
      </c>
      <c r="DO43" s="1439">
        <f t="shared" si="127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 t="str">
        <f>IF(DS41="","",DS41*BY42)</f>
        <v/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/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>IF(UPPER($CD$4)=UPPER($BZ$4),IF(OR(-FLOOR(((17-COUNT($B44:$R44))/2),1)+CD$7&lt;1,-FLOOR(((17-COUNT($B44:$R44))/2),1)+CD$7&gt;COUNT($B44:$R44)),"",LARGE($B44:$R44,-FLOOR(((17-COUNT($B44:$R44))/2),1)+CD$7)),IF(UPPER($CD$4)=UPPER($CA$4),IF(OR(-FLOOR(((17-COUNT($T44:$AJ44))/2),1)+CD$7&lt;1,-FLOOR(((17-COUNT($T44:$AJ44))/2),1)+CD$7&gt;COUNT($T44:$AJ44)),"",LARGE($T44:$AJ44,-FLOOR(((17-COUNT($T44:$AJ44))/2),1)+CD$7)),IF(UPPER($CD$4)=UPPER($CB$4),IF(OR(-FLOOR(((17-COUNT($AL44:$BB44))/2),1)+CD$7&lt;1,-FLOOR(((17-COUNT($AL44:$BB44))/2),1)+CD$7&gt;COUNT($AL44:$BB44)),"",LARGE($AL44:$BB44,-FLOOR(((17-COUNT($AL44:$BB44))/2),1)+CD$7)),IF(OR(-FLOOR(((17-COUNT($BD44:$BT44))/2),1)+CD$7&lt;1,-FLOOR(((17-COUNT($BD44:$BT44))/2),1)+CD$7&gt;COUNT($BD44:$BT44)),"",LARGE($BD44:$BT44,-FLOOR(((17-COUNT($BD44:$BT44))/2),1)+CD$7)))))</f>
        <v/>
      </c>
      <c r="CE44" s="1740" t="str">
        <f t="shared" si="134"/>
        <v/>
      </c>
      <c r="CF44" s="1741" t="str">
        <f t="shared" si="134"/>
        <v/>
      </c>
      <c r="CG44" s="1741" t="str">
        <f t="shared" si="134"/>
        <v/>
      </c>
      <c r="CH44" s="1741" t="str">
        <f t="shared" si="134"/>
        <v/>
      </c>
      <c r="CI44" s="1741" t="str">
        <f t="shared" si="134"/>
        <v/>
      </c>
      <c r="CJ44" s="1741" t="str">
        <f t="shared" si="134"/>
        <v/>
      </c>
      <c r="CK44" s="1742" t="str">
        <f t="shared" si="134"/>
        <v/>
      </c>
      <c r="CL44" s="1742" t="str">
        <f t="shared" si="134"/>
        <v/>
      </c>
      <c r="CM44" s="1742" t="str">
        <f t="shared" si="134"/>
        <v/>
      </c>
      <c r="CN44" s="1741" t="str">
        <f t="shared" si="134"/>
        <v/>
      </c>
      <c r="CO44" s="1741" t="str">
        <f t="shared" si="134"/>
        <v/>
      </c>
      <c r="CP44" s="1741" t="str">
        <f t="shared" si="134"/>
        <v/>
      </c>
      <c r="CQ44" s="1741" t="str">
        <f t="shared" si="134"/>
        <v/>
      </c>
      <c r="CR44" s="1741" t="str">
        <f t="shared" si="134"/>
        <v/>
      </c>
      <c r="CS44" s="1740" t="str">
        <f t="shared" si="134"/>
        <v/>
      </c>
      <c r="CT44" s="1743" t="str">
        <f t="shared" si="134"/>
        <v/>
      </c>
      <c r="CU44" s="1752" t="str">
        <f t="shared" si="135"/>
        <v/>
      </c>
      <c r="CV44" s="1753" t="str">
        <f t="shared" si="135"/>
        <v/>
      </c>
      <c r="CW44" s="1754" t="str">
        <f t="shared" si="135"/>
        <v/>
      </c>
      <c r="CX44" s="1754" t="str">
        <f t="shared" si="135"/>
        <v/>
      </c>
      <c r="CY44" s="1754" t="str">
        <f t="shared" si="135"/>
        <v/>
      </c>
      <c r="CZ44" s="1754" t="str">
        <f t="shared" si="135"/>
        <v/>
      </c>
      <c r="DA44" s="1754" t="str">
        <f t="shared" si="135"/>
        <v/>
      </c>
      <c r="DB44" s="1755" t="str">
        <f t="shared" si="135"/>
        <v/>
      </c>
      <c r="DC44" s="1755" t="str">
        <f t="shared" si="135"/>
        <v/>
      </c>
      <c r="DD44" s="1755" t="str">
        <f t="shared" si="135"/>
        <v/>
      </c>
      <c r="DE44" s="1754" t="str">
        <f t="shared" si="136"/>
        <v/>
      </c>
      <c r="DF44" s="1754" t="str">
        <f t="shared" si="136"/>
        <v/>
      </c>
      <c r="DG44" s="1754" t="str">
        <f t="shared" si="136"/>
        <v/>
      </c>
      <c r="DH44" s="1754" t="str">
        <f t="shared" si="136"/>
        <v/>
      </c>
      <c r="DI44" s="1754" t="str">
        <f t="shared" si="136"/>
        <v/>
      </c>
      <c r="DJ44" s="1753" t="str">
        <f t="shared" si="136"/>
        <v/>
      </c>
      <c r="DK44" s="1752" t="str">
        <f t="shared" si="136"/>
        <v/>
      </c>
      <c r="DL44" s="1829">
        <f t="shared" si="124"/>
        <v>0</v>
      </c>
      <c r="DM44" s="1439">
        <f t="shared" si="125"/>
        <v>0</v>
      </c>
      <c r="DN44" s="1439">
        <f t="shared" si="126"/>
        <v>0</v>
      </c>
      <c r="DO44" s="1439">
        <f t="shared" si="127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145">IF(B44="","",B39*B44*B40)</f>
        <v/>
      </c>
      <c r="C45" s="1408" t="str">
        <f t="shared" si="145"/>
        <v/>
      </c>
      <c r="D45" s="1408" t="str">
        <f t="shared" si="145"/>
        <v/>
      </c>
      <c r="E45" s="1408" t="str">
        <f t="shared" si="145"/>
        <v/>
      </c>
      <c r="F45" s="1408" t="str">
        <f t="shared" si="145"/>
        <v/>
      </c>
      <c r="G45" s="1408" t="str">
        <f t="shared" si="145"/>
        <v/>
      </c>
      <c r="H45" s="1408" t="str">
        <f t="shared" si="145"/>
        <v/>
      </c>
      <c r="I45" s="1408" t="str">
        <f t="shared" si="145"/>
        <v/>
      </c>
      <c r="J45" s="1408" t="str">
        <f t="shared" si="145"/>
        <v/>
      </c>
      <c r="K45" s="1408" t="str">
        <f t="shared" si="145"/>
        <v/>
      </c>
      <c r="L45" s="1408" t="str">
        <f t="shared" ref="L45:R45" si="146">IF(L44="","",L39*L44*L40)</f>
        <v/>
      </c>
      <c r="M45" s="1408" t="str">
        <f t="shared" si="146"/>
        <v/>
      </c>
      <c r="N45" s="1408" t="str">
        <f t="shared" si="146"/>
        <v/>
      </c>
      <c r="O45" s="1408" t="str">
        <f t="shared" si="146"/>
        <v/>
      </c>
      <c r="P45" s="1408" t="str">
        <f t="shared" si="146"/>
        <v/>
      </c>
      <c r="Q45" s="1408" t="str">
        <f t="shared" si="146"/>
        <v/>
      </c>
      <c r="R45" s="1408" t="str">
        <f t="shared" si="146"/>
        <v/>
      </c>
      <c r="S45" s="1772"/>
      <c r="T45" s="1408" t="str">
        <f t="shared" ref="T45:AJ45" si="147">IF(T44="","",T41*T44)</f>
        <v/>
      </c>
      <c r="U45" s="1408" t="str">
        <f t="shared" si="147"/>
        <v/>
      </c>
      <c r="V45" s="1408" t="str">
        <f t="shared" si="147"/>
        <v/>
      </c>
      <c r="W45" s="1408" t="str">
        <f t="shared" si="147"/>
        <v/>
      </c>
      <c r="X45" s="1408" t="str">
        <f t="shared" si="147"/>
        <v/>
      </c>
      <c r="Y45" s="1408" t="str">
        <f t="shared" si="147"/>
        <v/>
      </c>
      <c r="Z45" s="1408" t="str">
        <f t="shared" si="147"/>
        <v/>
      </c>
      <c r="AA45" s="1408" t="str">
        <f t="shared" si="147"/>
        <v/>
      </c>
      <c r="AB45" s="1408" t="str">
        <f t="shared" si="147"/>
        <v/>
      </c>
      <c r="AC45" s="1408" t="str">
        <f t="shared" si="147"/>
        <v/>
      </c>
      <c r="AD45" s="1408" t="str">
        <f t="shared" si="147"/>
        <v/>
      </c>
      <c r="AE45" s="1408" t="str">
        <f t="shared" si="147"/>
        <v/>
      </c>
      <c r="AF45" s="1408" t="str">
        <f t="shared" si="147"/>
        <v/>
      </c>
      <c r="AG45" s="1408" t="str">
        <f t="shared" si="147"/>
        <v/>
      </c>
      <c r="AH45" s="1408" t="str">
        <f t="shared" si="147"/>
        <v/>
      </c>
      <c r="AI45" s="1408" t="str">
        <f t="shared" si="147"/>
        <v/>
      </c>
      <c r="AJ45" s="1408" t="str">
        <f t="shared" si="147"/>
        <v/>
      </c>
      <c r="AK45" s="1772"/>
      <c r="AL45" s="1408" t="str">
        <f t="shared" ref="AL45:BB45" si="148">IF(AL44="","",AL41*AL44)</f>
        <v/>
      </c>
      <c r="AM45" s="1408" t="str">
        <f t="shared" si="148"/>
        <v/>
      </c>
      <c r="AN45" s="1408" t="str">
        <f t="shared" si="148"/>
        <v/>
      </c>
      <c r="AO45" s="1408" t="str">
        <f t="shared" si="148"/>
        <v/>
      </c>
      <c r="AP45" s="1408" t="str">
        <f t="shared" si="148"/>
        <v/>
      </c>
      <c r="AQ45" s="1408" t="str">
        <f t="shared" si="148"/>
        <v/>
      </c>
      <c r="AR45" s="1408" t="str">
        <f t="shared" si="148"/>
        <v/>
      </c>
      <c r="AS45" s="1408" t="str">
        <f t="shared" si="148"/>
        <v/>
      </c>
      <c r="AT45" s="1408" t="str">
        <f t="shared" si="148"/>
        <v/>
      </c>
      <c r="AU45" s="1408" t="str">
        <f t="shared" si="148"/>
        <v/>
      </c>
      <c r="AV45" s="1408" t="str">
        <f t="shared" si="148"/>
        <v/>
      </c>
      <c r="AW45" s="1408" t="str">
        <f t="shared" si="148"/>
        <v/>
      </c>
      <c r="AX45" s="1408" t="str">
        <f t="shared" si="148"/>
        <v/>
      </c>
      <c r="AY45" s="1408" t="str">
        <f t="shared" si="148"/>
        <v/>
      </c>
      <c r="AZ45" s="1408" t="str">
        <f t="shared" si="148"/>
        <v/>
      </c>
      <c r="BA45" s="1408" t="str">
        <f t="shared" si="148"/>
        <v/>
      </c>
      <c r="BB45" s="1408" t="str">
        <f t="shared" si="148"/>
        <v/>
      </c>
      <c r="BC45" s="1772"/>
      <c r="BD45" s="1408" t="str">
        <f t="shared" ref="BD45:BT45" si="149">IF(BD44="","",BD41*BD44)</f>
        <v/>
      </c>
      <c r="BE45" s="1408" t="str">
        <f t="shared" si="149"/>
        <v/>
      </c>
      <c r="BF45" s="1408" t="str">
        <f t="shared" si="149"/>
        <v/>
      </c>
      <c r="BG45" s="1408" t="str">
        <f t="shared" si="149"/>
        <v/>
      </c>
      <c r="BH45" s="1408" t="str">
        <f t="shared" si="149"/>
        <v/>
      </c>
      <c r="BI45" s="1408" t="str">
        <f t="shared" si="149"/>
        <v/>
      </c>
      <c r="BJ45" s="1408" t="str">
        <f t="shared" si="149"/>
        <v/>
      </c>
      <c r="BK45" s="1408" t="str">
        <f t="shared" si="149"/>
        <v/>
      </c>
      <c r="BL45" s="1408" t="str">
        <f t="shared" si="149"/>
        <v/>
      </c>
      <c r="BM45" s="1408" t="str">
        <f t="shared" si="149"/>
        <v/>
      </c>
      <c r="BN45" s="1408" t="str">
        <f t="shared" si="149"/>
        <v/>
      </c>
      <c r="BO45" s="1408" t="str">
        <f t="shared" si="149"/>
        <v/>
      </c>
      <c r="BP45" s="1408" t="str">
        <f t="shared" si="149"/>
        <v/>
      </c>
      <c r="BQ45" s="1408" t="str">
        <f t="shared" si="149"/>
        <v/>
      </c>
      <c r="BR45" s="1408" t="str">
        <f t="shared" si="149"/>
        <v/>
      </c>
      <c r="BS45" s="1408" t="str">
        <f t="shared" si="149"/>
        <v/>
      </c>
      <c r="BT45" s="1408" t="str">
        <f t="shared" si="149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 t="str">
        <f>IF(BY44="","",BY41*BY44)</f>
        <v/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/>
      </c>
      <c r="CE45" s="1740" t="str">
        <f t="shared" si="134"/>
        <v/>
      </c>
      <c r="CF45" s="1741" t="str">
        <f t="shared" si="134"/>
        <v/>
      </c>
      <c r="CG45" s="1741" t="str">
        <f t="shared" si="134"/>
        <v/>
      </c>
      <c r="CH45" s="1741" t="str">
        <f t="shared" si="134"/>
        <v/>
      </c>
      <c r="CI45" s="1741" t="str">
        <f t="shared" si="134"/>
        <v/>
      </c>
      <c r="CJ45" s="1741" t="str">
        <f t="shared" si="134"/>
        <v/>
      </c>
      <c r="CK45" s="1742" t="str">
        <f t="shared" si="134"/>
        <v/>
      </c>
      <c r="CL45" s="1742" t="str">
        <f t="shared" si="134"/>
        <v/>
      </c>
      <c r="CM45" s="1742" t="str">
        <f t="shared" si="134"/>
        <v/>
      </c>
      <c r="CN45" s="1741" t="str">
        <f t="shared" si="134"/>
        <v/>
      </c>
      <c r="CO45" s="1741" t="str">
        <f t="shared" si="134"/>
        <v/>
      </c>
      <c r="CP45" s="1741" t="str">
        <f t="shared" si="134"/>
        <v/>
      </c>
      <c r="CQ45" s="1741" t="str">
        <f t="shared" si="134"/>
        <v/>
      </c>
      <c r="CR45" s="1741" t="str">
        <f t="shared" si="134"/>
        <v/>
      </c>
      <c r="CS45" s="1740" t="str">
        <f t="shared" si="134"/>
        <v/>
      </c>
      <c r="CT45" s="1743" t="str">
        <f t="shared" si="134"/>
        <v/>
      </c>
      <c r="CU45" s="1752" t="str">
        <f t="shared" si="135"/>
        <v/>
      </c>
      <c r="CV45" s="1753" t="str">
        <f t="shared" si="135"/>
        <v/>
      </c>
      <c r="CW45" s="1754" t="str">
        <f t="shared" si="135"/>
        <v/>
      </c>
      <c r="CX45" s="1754" t="str">
        <f t="shared" si="135"/>
        <v/>
      </c>
      <c r="CY45" s="1754" t="str">
        <f t="shared" si="135"/>
        <v/>
      </c>
      <c r="CZ45" s="1754" t="str">
        <f t="shared" si="135"/>
        <v/>
      </c>
      <c r="DA45" s="1754" t="str">
        <f t="shared" si="135"/>
        <v/>
      </c>
      <c r="DB45" s="1755" t="str">
        <f t="shared" si="135"/>
        <v/>
      </c>
      <c r="DC45" s="1755" t="str">
        <f t="shared" si="135"/>
        <v/>
      </c>
      <c r="DD45" s="1755" t="str">
        <f t="shared" si="135"/>
        <v/>
      </c>
      <c r="DE45" s="1754" t="str">
        <f t="shared" si="136"/>
        <v/>
      </c>
      <c r="DF45" s="1754" t="str">
        <f t="shared" si="136"/>
        <v/>
      </c>
      <c r="DG45" s="1754" t="str">
        <f t="shared" si="136"/>
        <v/>
      </c>
      <c r="DH45" s="1754" t="str">
        <f t="shared" si="136"/>
        <v/>
      </c>
      <c r="DI45" s="1754" t="str">
        <f t="shared" si="136"/>
        <v/>
      </c>
      <c r="DJ45" s="1753" t="str">
        <f t="shared" si="136"/>
        <v/>
      </c>
      <c r="DK45" s="1752" t="str">
        <f t="shared" si="136"/>
        <v/>
      </c>
      <c r="DL45" s="1829">
        <f t="shared" si="124"/>
        <v>0</v>
      </c>
      <c r="DM45" s="1439">
        <f t="shared" si="125"/>
        <v>0</v>
      </c>
      <c r="DN45" s="1439">
        <f t="shared" si="126"/>
        <v>0</v>
      </c>
      <c r="DO45" s="1439">
        <f t="shared" si="127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1178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15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150"/>
        <v/>
      </c>
      <c r="CF47" s="1741" t="str">
        <f t="shared" si="150"/>
        <v/>
      </c>
      <c r="CG47" s="1741" t="str">
        <f t="shared" si="150"/>
        <v/>
      </c>
      <c r="CH47" s="1741" t="str">
        <f t="shared" si="150"/>
        <v/>
      </c>
      <c r="CI47" s="1741" t="str">
        <f t="shared" si="150"/>
        <v/>
      </c>
      <c r="CJ47" s="1741" t="str">
        <f t="shared" si="150"/>
        <v/>
      </c>
      <c r="CK47" s="1742" t="str">
        <f t="shared" si="150"/>
        <v/>
      </c>
      <c r="CL47" s="1742" t="str">
        <f t="shared" si="150"/>
        <v/>
      </c>
      <c r="CM47" s="1742" t="str">
        <f t="shared" si="150"/>
        <v/>
      </c>
      <c r="CN47" s="1741" t="str">
        <f t="shared" si="150"/>
        <v/>
      </c>
      <c r="CO47" s="1741" t="str">
        <f t="shared" si="150"/>
        <v/>
      </c>
      <c r="CP47" s="1741" t="str">
        <f t="shared" si="150"/>
        <v/>
      </c>
      <c r="CQ47" s="1741" t="str">
        <f t="shared" si="150"/>
        <v/>
      </c>
      <c r="CR47" s="1741" t="str">
        <f t="shared" si="150"/>
        <v/>
      </c>
      <c r="CS47" s="1740" t="str">
        <f t="shared" si="150"/>
        <v/>
      </c>
      <c r="CT47" s="1743" t="str">
        <f t="shared" ref="CE47:CT54" si="15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15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15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15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15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15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15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15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15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16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16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16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16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16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16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16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16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16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169">COUNT(B47:R47)</f>
        <v>0</v>
      </c>
      <c r="DM47" s="1439">
        <f t="shared" ref="DM47:DM54" si="170">COUNT(T47:AJ47)</f>
        <v>0</v>
      </c>
      <c r="DN47" s="1439">
        <f t="shared" ref="DN47:DN54" si="171">COUNT(AL47:BB47)</f>
        <v>0</v>
      </c>
      <c r="DO47" s="1439">
        <f t="shared" ref="DO47:DO54" si="172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17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151"/>
        <v/>
      </c>
      <c r="CF48" s="1741" t="str">
        <f t="shared" si="151"/>
        <v/>
      </c>
      <c r="CG48" s="1741" t="str">
        <f t="shared" si="151"/>
        <v/>
      </c>
      <c r="CH48" s="1741" t="str">
        <f t="shared" si="151"/>
        <v/>
      </c>
      <c r="CI48" s="1741" t="str">
        <f t="shared" si="151"/>
        <v/>
      </c>
      <c r="CJ48" s="1741" t="str">
        <f t="shared" si="151"/>
        <v/>
      </c>
      <c r="CK48" s="1742" t="str">
        <f t="shared" si="151"/>
        <v/>
      </c>
      <c r="CL48" s="1742" t="str">
        <f t="shared" si="151"/>
        <v/>
      </c>
      <c r="CM48" s="1742" t="str">
        <f t="shared" si="151"/>
        <v/>
      </c>
      <c r="CN48" s="1741" t="str">
        <f t="shared" si="151"/>
        <v/>
      </c>
      <c r="CO48" s="1741" t="str">
        <f t="shared" si="151"/>
        <v/>
      </c>
      <c r="CP48" s="1741" t="str">
        <f t="shared" si="151"/>
        <v/>
      </c>
      <c r="CQ48" s="1741" t="str">
        <f t="shared" si="151"/>
        <v/>
      </c>
      <c r="CR48" s="1741" t="str">
        <f t="shared" si="151"/>
        <v/>
      </c>
      <c r="CS48" s="1740" t="str">
        <f t="shared" si="151"/>
        <v/>
      </c>
      <c r="CT48" s="1743" t="str">
        <f t="shared" si="151"/>
        <v/>
      </c>
      <c r="CU48" s="1752" t="str">
        <f t="shared" si="152"/>
        <v/>
      </c>
      <c r="CV48" s="1753" t="str">
        <f t="shared" si="153"/>
        <v/>
      </c>
      <c r="CW48" s="1754" t="str">
        <f t="shared" si="154"/>
        <v/>
      </c>
      <c r="CX48" s="1754" t="str">
        <f t="shared" si="155"/>
        <v/>
      </c>
      <c r="CY48" s="1754" t="str">
        <f t="shared" si="156"/>
        <v/>
      </c>
      <c r="CZ48" s="1754" t="str">
        <f t="shared" si="157"/>
        <v/>
      </c>
      <c r="DA48" s="1754" t="str">
        <f t="shared" si="158"/>
        <v/>
      </c>
      <c r="DB48" s="1755" t="str">
        <f t="shared" si="159"/>
        <v/>
      </c>
      <c r="DC48" s="1755" t="str">
        <f t="shared" si="160"/>
        <v/>
      </c>
      <c r="DD48" s="1755" t="str">
        <f t="shared" si="161"/>
        <v/>
      </c>
      <c r="DE48" s="1754" t="str">
        <f t="shared" si="162"/>
        <v/>
      </c>
      <c r="DF48" s="1754" t="str">
        <f t="shared" si="163"/>
        <v/>
      </c>
      <c r="DG48" s="1754" t="str">
        <f t="shared" si="164"/>
        <v/>
      </c>
      <c r="DH48" s="1754" t="str">
        <f t="shared" si="165"/>
        <v/>
      </c>
      <c r="DI48" s="1754" t="str">
        <f t="shared" si="166"/>
        <v/>
      </c>
      <c r="DJ48" s="1753" t="str">
        <f t="shared" si="167"/>
        <v/>
      </c>
      <c r="DK48" s="1752" t="str">
        <f t="shared" si="168"/>
        <v/>
      </c>
      <c r="DL48" s="1829">
        <f t="shared" si="169"/>
        <v>0</v>
      </c>
      <c r="DM48" s="1439">
        <f t="shared" si="170"/>
        <v>0</v>
      </c>
      <c r="DN48" s="1439">
        <f t="shared" si="171"/>
        <v>0</v>
      </c>
      <c r="DO48" s="1439">
        <f t="shared" si="172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173"/>
        <v/>
      </c>
      <c r="CE49" s="1740" t="str">
        <f t="shared" si="151"/>
        <v/>
      </c>
      <c r="CF49" s="1741" t="str">
        <f t="shared" si="151"/>
        <v/>
      </c>
      <c r="CG49" s="1741" t="str">
        <f t="shared" si="151"/>
        <v/>
      </c>
      <c r="CH49" s="1741" t="str">
        <f t="shared" si="151"/>
        <v/>
      </c>
      <c r="CI49" s="1741" t="str">
        <f t="shared" si="151"/>
        <v/>
      </c>
      <c r="CJ49" s="1741" t="str">
        <f t="shared" si="151"/>
        <v/>
      </c>
      <c r="CK49" s="1742" t="str">
        <f t="shared" si="151"/>
        <v/>
      </c>
      <c r="CL49" s="1742" t="str">
        <f t="shared" si="151"/>
        <v/>
      </c>
      <c r="CM49" s="1742" t="str">
        <f t="shared" si="151"/>
        <v/>
      </c>
      <c r="CN49" s="1741" t="str">
        <f t="shared" si="151"/>
        <v/>
      </c>
      <c r="CO49" s="1741" t="str">
        <f t="shared" si="151"/>
        <v/>
      </c>
      <c r="CP49" s="1741" t="str">
        <f t="shared" si="151"/>
        <v/>
      </c>
      <c r="CQ49" s="1741" t="str">
        <f t="shared" si="151"/>
        <v/>
      </c>
      <c r="CR49" s="1741" t="str">
        <f t="shared" si="151"/>
        <v/>
      </c>
      <c r="CS49" s="1740" t="str">
        <f t="shared" si="151"/>
        <v/>
      </c>
      <c r="CT49" s="1743" t="str">
        <f t="shared" si="151"/>
        <v/>
      </c>
      <c r="CU49" s="1752" t="str">
        <f t="shared" si="152"/>
        <v/>
      </c>
      <c r="CV49" s="1753" t="str">
        <f t="shared" si="153"/>
        <v/>
      </c>
      <c r="CW49" s="1754" t="str">
        <f t="shared" si="154"/>
        <v/>
      </c>
      <c r="CX49" s="1754" t="str">
        <f t="shared" si="155"/>
        <v/>
      </c>
      <c r="CY49" s="1754" t="str">
        <f t="shared" si="156"/>
        <v/>
      </c>
      <c r="CZ49" s="1754" t="str">
        <f t="shared" si="157"/>
        <v/>
      </c>
      <c r="DA49" s="1754" t="str">
        <f t="shared" si="158"/>
        <v/>
      </c>
      <c r="DB49" s="1755" t="str">
        <f t="shared" si="159"/>
        <v/>
      </c>
      <c r="DC49" s="1755" t="str">
        <f t="shared" si="160"/>
        <v/>
      </c>
      <c r="DD49" s="1755" t="str">
        <f t="shared" si="161"/>
        <v/>
      </c>
      <c r="DE49" s="1754" t="str">
        <f t="shared" si="162"/>
        <v/>
      </c>
      <c r="DF49" s="1754" t="str">
        <f t="shared" si="163"/>
        <v/>
      </c>
      <c r="DG49" s="1754" t="str">
        <f t="shared" si="164"/>
        <v/>
      </c>
      <c r="DH49" s="1754" t="str">
        <f t="shared" si="165"/>
        <v/>
      </c>
      <c r="DI49" s="1754" t="str">
        <f t="shared" si="166"/>
        <v/>
      </c>
      <c r="DJ49" s="1753" t="str">
        <f t="shared" si="167"/>
        <v/>
      </c>
      <c r="DK49" s="1752" t="str">
        <f t="shared" si="168"/>
        <v/>
      </c>
      <c r="DL49" s="1829">
        <f t="shared" si="169"/>
        <v>0</v>
      </c>
      <c r="DM49" s="1439">
        <f t="shared" si="170"/>
        <v>0</v>
      </c>
      <c r="DN49" s="1439">
        <f t="shared" si="171"/>
        <v>0</v>
      </c>
      <c r="DO49" s="1439">
        <f t="shared" si="172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174">IF(B48="","",B47*B48*B49)</f>
        <v/>
      </c>
      <c r="C50" s="1408" t="str">
        <f t="shared" si="174"/>
        <v/>
      </c>
      <c r="D50" s="1408" t="str">
        <f t="shared" si="174"/>
        <v/>
      </c>
      <c r="E50" s="1408" t="str">
        <f t="shared" si="174"/>
        <v/>
      </c>
      <c r="F50" s="1408" t="str">
        <f t="shared" si="174"/>
        <v/>
      </c>
      <c r="G50" s="1408" t="str">
        <f t="shared" si="174"/>
        <v/>
      </c>
      <c r="H50" s="1408" t="str">
        <f t="shared" si="174"/>
        <v/>
      </c>
      <c r="I50" s="1408" t="str">
        <f t="shared" si="174"/>
        <v/>
      </c>
      <c r="J50" s="1408" t="str">
        <f t="shared" si="174"/>
        <v/>
      </c>
      <c r="K50" s="1408" t="str">
        <f t="shared" si="174"/>
        <v/>
      </c>
      <c r="L50" s="1408" t="str">
        <f t="shared" si="174"/>
        <v/>
      </c>
      <c r="M50" s="1408" t="str">
        <f t="shared" si="174"/>
        <v/>
      </c>
      <c r="N50" s="1408" t="str">
        <f t="shared" si="174"/>
        <v/>
      </c>
      <c r="O50" s="1408" t="str">
        <f t="shared" si="174"/>
        <v/>
      </c>
      <c r="P50" s="1408" t="str">
        <f t="shared" si="174"/>
        <v/>
      </c>
      <c r="Q50" s="1408" t="str">
        <f t="shared" si="174"/>
        <v/>
      </c>
      <c r="R50" s="1408" t="str">
        <f t="shared" si="174"/>
        <v/>
      </c>
      <c r="S50" s="1772"/>
      <c r="T50" s="1408" t="str">
        <f t="shared" ref="T50:AJ50" si="175">IF(T48="","",T47*T48*T49)</f>
        <v/>
      </c>
      <c r="U50" s="1408" t="str">
        <f t="shared" si="175"/>
        <v/>
      </c>
      <c r="V50" s="1408" t="str">
        <f t="shared" si="175"/>
        <v/>
      </c>
      <c r="W50" s="1408" t="str">
        <f t="shared" si="175"/>
        <v/>
      </c>
      <c r="X50" s="1408" t="str">
        <f t="shared" si="175"/>
        <v/>
      </c>
      <c r="Y50" s="1408" t="str">
        <f t="shared" si="175"/>
        <v/>
      </c>
      <c r="Z50" s="1408" t="str">
        <f t="shared" si="175"/>
        <v/>
      </c>
      <c r="AA50" s="1408" t="str">
        <f t="shared" si="175"/>
        <v/>
      </c>
      <c r="AB50" s="1408" t="str">
        <f t="shared" si="175"/>
        <v/>
      </c>
      <c r="AC50" s="1408" t="str">
        <f t="shared" si="175"/>
        <v/>
      </c>
      <c r="AD50" s="1408" t="str">
        <f t="shared" si="175"/>
        <v/>
      </c>
      <c r="AE50" s="1408" t="str">
        <f t="shared" si="175"/>
        <v/>
      </c>
      <c r="AF50" s="1408" t="str">
        <f t="shared" si="175"/>
        <v/>
      </c>
      <c r="AG50" s="1408" t="str">
        <f t="shared" si="175"/>
        <v/>
      </c>
      <c r="AH50" s="1408" t="str">
        <f t="shared" si="175"/>
        <v/>
      </c>
      <c r="AI50" s="1408" t="str">
        <f t="shared" si="175"/>
        <v/>
      </c>
      <c r="AJ50" s="1408" t="str">
        <f t="shared" si="175"/>
        <v/>
      </c>
      <c r="AK50" s="1772"/>
      <c r="AL50" s="1408" t="str">
        <f t="shared" ref="AL50:BB50" si="176">IF(AL48="","",AL47*AL48*AL49)</f>
        <v/>
      </c>
      <c r="AM50" s="1408" t="str">
        <f t="shared" si="176"/>
        <v/>
      </c>
      <c r="AN50" s="1408" t="str">
        <f t="shared" si="176"/>
        <v/>
      </c>
      <c r="AO50" s="1408" t="str">
        <f t="shared" si="176"/>
        <v/>
      </c>
      <c r="AP50" s="1408" t="str">
        <f t="shared" si="176"/>
        <v/>
      </c>
      <c r="AQ50" s="1408" t="str">
        <f t="shared" si="176"/>
        <v/>
      </c>
      <c r="AR50" s="1408" t="str">
        <f t="shared" si="176"/>
        <v/>
      </c>
      <c r="AS50" s="1408" t="str">
        <f t="shared" si="176"/>
        <v/>
      </c>
      <c r="AT50" s="1408" t="str">
        <f t="shared" si="176"/>
        <v/>
      </c>
      <c r="AU50" s="1408" t="str">
        <f t="shared" si="176"/>
        <v/>
      </c>
      <c r="AV50" s="1408" t="str">
        <f t="shared" si="176"/>
        <v/>
      </c>
      <c r="AW50" s="1408" t="str">
        <f t="shared" si="176"/>
        <v/>
      </c>
      <c r="AX50" s="1408" t="str">
        <f t="shared" si="176"/>
        <v/>
      </c>
      <c r="AY50" s="1408" t="str">
        <f t="shared" si="176"/>
        <v/>
      </c>
      <c r="AZ50" s="1408" t="str">
        <f t="shared" si="176"/>
        <v/>
      </c>
      <c r="BA50" s="1408" t="str">
        <f t="shared" si="176"/>
        <v/>
      </c>
      <c r="BB50" s="1408" t="str">
        <f t="shared" si="176"/>
        <v/>
      </c>
      <c r="BC50" s="1772"/>
      <c r="BD50" s="1408" t="str">
        <f t="shared" ref="BD50:BT50" si="177">IF(BD48="","",BD47*BD48*BD49)</f>
        <v/>
      </c>
      <c r="BE50" s="1408" t="str">
        <f t="shared" si="177"/>
        <v/>
      </c>
      <c r="BF50" s="1408" t="str">
        <f t="shared" si="177"/>
        <v/>
      </c>
      <c r="BG50" s="1408" t="str">
        <f t="shared" si="177"/>
        <v/>
      </c>
      <c r="BH50" s="1408" t="str">
        <f t="shared" si="177"/>
        <v/>
      </c>
      <c r="BI50" s="1408" t="str">
        <f t="shared" si="177"/>
        <v/>
      </c>
      <c r="BJ50" s="1408" t="str">
        <f t="shared" si="177"/>
        <v/>
      </c>
      <c r="BK50" s="1408" t="str">
        <f t="shared" si="177"/>
        <v/>
      </c>
      <c r="BL50" s="1408" t="str">
        <f t="shared" si="177"/>
        <v/>
      </c>
      <c r="BM50" s="1408" t="str">
        <f t="shared" si="177"/>
        <v/>
      </c>
      <c r="BN50" s="1408" t="str">
        <f t="shared" si="177"/>
        <v/>
      </c>
      <c r="BO50" s="1408" t="str">
        <f t="shared" si="177"/>
        <v/>
      </c>
      <c r="BP50" s="1408" t="str">
        <f t="shared" si="177"/>
        <v/>
      </c>
      <c r="BQ50" s="1408" t="str">
        <f t="shared" si="177"/>
        <v/>
      </c>
      <c r="BR50" s="1408" t="str">
        <f t="shared" si="177"/>
        <v/>
      </c>
      <c r="BS50" s="1408" t="str">
        <f t="shared" si="177"/>
        <v/>
      </c>
      <c r="BT50" s="1408" t="str">
        <f t="shared" si="177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173"/>
        <v/>
      </c>
      <c r="CE50" s="1740" t="str">
        <f t="shared" si="151"/>
        <v/>
      </c>
      <c r="CF50" s="1741" t="str">
        <f t="shared" si="151"/>
        <v/>
      </c>
      <c r="CG50" s="1741" t="str">
        <f t="shared" si="151"/>
        <v/>
      </c>
      <c r="CH50" s="1741" t="str">
        <f t="shared" si="151"/>
        <v/>
      </c>
      <c r="CI50" s="1741" t="str">
        <f t="shared" si="151"/>
        <v/>
      </c>
      <c r="CJ50" s="1741" t="str">
        <f t="shared" si="151"/>
        <v/>
      </c>
      <c r="CK50" s="1742" t="str">
        <f t="shared" si="151"/>
        <v/>
      </c>
      <c r="CL50" s="1742" t="str">
        <f t="shared" si="151"/>
        <v/>
      </c>
      <c r="CM50" s="1742" t="str">
        <f t="shared" si="151"/>
        <v/>
      </c>
      <c r="CN50" s="1741" t="str">
        <f t="shared" si="151"/>
        <v/>
      </c>
      <c r="CO50" s="1741" t="str">
        <f t="shared" si="151"/>
        <v/>
      </c>
      <c r="CP50" s="1741" t="str">
        <f t="shared" si="151"/>
        <v/>
      </c>
      <c r="CQ50" s="1741" t="str">
        <f t="shared" si="151"/>
        <v/>
      </c>
      <c r="CR50" s="1741" t="str">
        <f t="shared" si="151"/>
        <v/>
      </c>
      <c r="CS50" s="1740" t="str">
        <f t="shared" si="151"/>
        <v/>
      </c>
      <c r="CT50" s="1743" t="str">
        <f t="shared" si="151"/>
        <v/>
      </c>
      <c r="CU50" s="1752" t="str">
        <f t="shared" si="152"/>
        <v/>
      </c>
      <c r="CV50" s="1753" t="str">
        <f t="shared" si="153"/>
        <v/>
      </c>
      <c r="CW50" s="1754" t="str">
        <f t="shared" si="154"/>
        <v/>
      </c>
      <c r="CX50" s="1754" t="str">
        <f t="shared" si="155"/>
        <v/>
      </c>
      <c r="CY50" s="1754" t="str">
        <f t="shared" si="156"/>
        <v/>
      </c>
      <c r="CZ50" s="1754" t="str">
        <f t="shared" si="157"/>
        <v/>
      </c>
      <c r="DA50" s="1754" t="str">
        <f t="shared" si="158"/>
        <v/>
      </c>
      <c r="DB50" s="1755" t="str">
        <f t="shared" si="159"/>
        <v/>
      </c>
      <c r="DC50" s="1755" t="str">
        <f t="shared" si="160"/>
        <v/>
      </c>
      <c r="DD50" s="1755" t="str">
        <f t="shared" si="161"/>
        <v/>
      </c>
      <c r="DE50" s="1754" t="str">
        <f t="shared" si="162"/>
        <v/>
      </c>
      <c r="DF50" s="1754" t="str">
        <f t="shared" si="163"/>
        <v/>
      </c>
      <c r="DG50" s="1754" t="str">
        <f t="shared" si="164"/>
        <v/>
      </c>
      <c r="DH50" s="1754" t="str">
        <f t="shared" si="165"/>
        <v/>
      </c>
      <c r="DI50" s="1754" t="str">
        <f t="shared" si="166"/>
        <v/>
      </c>
      <c r="DJ50" s="1753" t="str">
        <f t="shared" si="167"/>
        <v/>
      </c>
      <c r="DK50" s="1752" t="str">
        <f t="shared" si="168"/>
        <v/>
      </c>
      <c r="DL50" s="1829">
        <f t="shared" si="169"/>
        <v>0</v>
      </c>
      <c r="DM50" s="1439">
        <f t="shared" si="170"/>
        <v>0</v>
      </c>
      <c r="DN50" s="1439">
        <f t="shared" si="171"/>
        <v>0</v>
      </c>
      <c r="DO50" s="1439">
        <f t="shared" si="172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178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178"/>
        <v/>
      </c>
      <c r="CF51" s="1741" t="str">
        <f t="shared" si="178"/>
        <v/>
      </c>
      <c r="CG51" s="1741" t="str">
        <f t="shared" si="178"/>
        <v/>
      </c>
      <c r="CH51" s="1741" t="str">
        <f t="shared" si="178"/>
        <v/>
      </c>
      <c r="CI51" s="1741" t="str">
        <f t="shared" si="178"/>
        <v/>
      </c>
      <c r="CJ51" s="1741" t="str">
        <f t="shared" si="178"/>
        <v/>
      </c>
      <c r="CK51" s="1742" t="str">
        <f t="shared" si="178"/>
        <v/>
      </c>
      <c r="CL51" s="1742" t="str">
        <f t="shared" si="178"/>
        <v/>
      </c>
      <c r="CM51" s="1742" t="str">
        <f t="shared" si="178"/>
        <v/>
      </c>
      <c r="CN51" s="1741" t="str">
        <f t="shared" si="178"/>
        <v/>
      </c>
      <c r="CO51" s="1741" t="str">
        <f t="shared" si="178"/>
        <v/>
      </c>
      <c r="CP51" s="1741" t="str">
        <f t="shared" si="178"/>
        <v/>
      </c>
      <c r="CQ51" s="1741" t="str">
        <f t="shared" si="178"/>
        <v/>
      </c>
      <c r="CR51" s="1741" t="str">
        <f t="shared" si="178"/>
        <v/>
      </c>
      <c r="CS51" s="1740" t="str">
        <f t="shared" si="178"/>
        <v/>
      </c>
      <c r="CT51" s="1743" t="str">
        <f t="shared" si="178"/>
        <v/>
      </c>
      <c r="CU51" s="1752" t="str">
        <f t="shared" si="152"/>
        <v/>
      </c>
      <c r="CV51" s="1753" t="str">
        <f t="shared" si="153"/>
        <v/>
      </c>
      <c r="CW51" s="1754" t="str">
        <f t="shared" si="154"/>
        <v/>
      </c>
      <c r="CX51" s="1754" t="str">
        <f t="shared" si="155"/>
        <v/>
      </c>
      <c r="CY51" s="1754" t="str">
        <f t="shared" si="156"/>
        <v/>
      </c>
      <c r="CZ51" s="1754" t="str">
        <f t="shared" si="157"/>
        <v/>
      </c>
      <c r="DA51" s="1754" t="str">
        <f t="shared" si="158"/>
        <v/>
      </c>
      <c r="DB51" s="1755" t="str">
        <f t="shared" si="159"/>
        <v/>
      </c>
      <c r="DC51" s="1755" t="str">
        <f t="shared" si="160"/>
        <v/>
      </c>
      <c r="DD51" s="1755" t="str">
        <f t="shared" si="161"/>
        <v/>
      </c>
      <c r="DE51" s="1754" t="str">
        <f t="shared" si="162"/>
        <v/>
      </c>
      <c r="DF51" s="1754" t="str">
        <f t="shared" si="163"/>
        <v/>
      </c>
      <c r="DG51" s="1754" t="str">
        <f t="shared" si="164"/>
        <v/>
      </c>
      <c r="DH51" s="1754" t="str">
        <f t="shared" si="165"/>
        <v/>
      </c>
      <c r="DI51" s="1754" t="str">
        <f t="shared" si="166"/>
        <v/>
      </c>
      <c r="DJ51" s="1753" t="str">
        <f t="shared" si="167"/>
        <v/>
      </c>
      <c r="DK51" s="1752" t="str">
        <f t="shared" si="168"/>
        <v/>
      </c>
      <c r="DL51" s="1829">
        <f>COUNT(B51:R51)</f>
        <v>0</v>
      </c>
      <c r="DM51" s="1439">
        <f t="shared" si="170"/>
        <v>0</v>
      </c>
      <c r="DN51" s="1439">
        <f t="shared" si="171"/>
        <v>0</v>
      </c>
      <c r="DO51" s="1439">
        <f t="shared" si="172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179">IF(C50="","",C50*C51/C$7/365/$G$1)</f>
        <v/>
      </c>
      <c r="D52" s="1407" t="str">
        <f t="shared" si="179"/>
        <v/>
      </c>
      <c r="E52" s="1407" t="str">
        <f t="shared" si="179"/>
        <v/>
      </c>
      <c r="F52" s="1407" t="str">
        <f t="shared" si="179"/>
        <v/>
      </c>
      <c r="G52" s="1407" t="str">
        <f>IF(G50="","",G50*G51/G$7/365/$G$1)</f>
        <v/>
      </c>
      <c r="H52" s="1407" t="str">
        <f t="shared" si="179"/>
        <v/>
      </c>
      <c r="I52" s="1407" t="str">
        <f t="shared" si="179"/>
        <v/>
      </c>
      <c r="J52" s="1407" t="str">
        <f t="shared" si="179"/>
        <v/>
      </c>
      <c r="K52" s="1407" t="str">
        <f t="shared" si="179"/>
        <v/>
      </c>
      <c r="L52" s="1407" t="str">
        <f t="shared" si="179"/>
        <v/>
      </c>
      <c r="M52" s="1407" t="str">
        <f t="shared" si="179"/>
        <v/>
      </c>
      <c r="N52" s="1407" t="str">
        <f t="shared" si="179"/>
        <v/>
      </c>
      <c r="O52" s="1407" t="str">
        <f t="shared" si="179"/>
        <v/>
      </c>
      <c r="P52" s="1407" t="str">
        <f t="shared" si="179"/>
        <v/>
      </c>
      <c r="Q52" s="1407" t="str">
        <f t="shared" si="179"/>
        <v/>
      </c>
      <c r="R52" s="1407" t="str">
        <f t="shared" si="179"/>
        <v/>
      </c>
      <c r="S52" s="1775"/>
      <c r="T52" s="1407" t="str">
        <f t="shared" ref="T52:AJ52" si="180">IF(T50="","",T50*T51/T$7/365/$G$1)</f>
        <v/>
      </c>
      <c r="U52" s="1407" t="str">
        <f t="shared" si="180"/>
        <v/>
      </c>
      <c r="V52" s="1407" t="str">
        <f t="shared" si="180"/>
        <v/>
      </c>
      <c r="W52" s="1407" t="str">
        <f t="shared" si="180"/>
        <v/>
      </c>
      <c r="X52" s="1407" t="str">
        <f t="shared" si="180"/>
        <v/>
      </c>
      <c r="Y52" s="1407" t="str">
        <f t="shared" si="180"/>
        <v/>
      </c>
      <c r="Z52" s="1407" t="str">
        <f t="shared" si="180"/>
        <v/>
      </c>
      <c r="AA52" s="1407" t="str">
        <f t="shared" si="180"/>
        <v/>
      </c>
      <c r="AB52" s="1407" t="str">
        <f t="shared" si="180"/>
        <v/>
      </c>
      <c r="AC52" s="1407" t="str">
        <f t="shared" si="180"/>
        <v/>
      </c>
      <c r="AD52" s="1407" t="str">
        <f t="shared" si="180"/>
        <v/>
      </c>
      <c r="AE52" s="1407" t="str">
        <f t="shared" si="180"/>
        <v/>
      </c>
      <c r="AF52" s="1407" t="str">
        <f t="shared" si="180"/>
        <v/>
      </c>
      <c r="AG52" s="1407" t="str">
        <f t="shared" si="180"/>
        <v/>
      </c>
      <c r="AH52" s="1407" t="str">
        <f t="shared" si="180"/>
        <v/>
      </c>
      <c r="AI52" s="1407" t="str">
        <f t="shared" si="180"/>
        <v/>
      </c>
      <c r="AJ52" s="1407" t="str">
        <f t="shared" si="180"/>
        <v/>
      </c>
      <c r="AK52" s="1775"/>
      <c r="AL52" s="1407" t="str">
        <f t="shared" ref="AL52:BB52" si="181">IF(AL50="","",AL50*AL51/AL$7/365/$G$1)</f>
        <v/>
      </c>
      <c r="AM52" s="1407" t="str">
        <f t="shared" si="181"/>
        <v/>
      </c>
      <c r="AN52" s="1407" t="str">
        <f t="shared" si="181"/>
        <v/>
      </c>
      <c r="AO52" s="1407" t="str">
        <f t="shared" si="181"/>
        <v/>
      </c>
      <c r="AP52" s="1407" t="str">
        <f t="shared" si="181"/>
        <v/>
      </c>
      <c r="AQ52" s="1407" t="str">
        <f t="shared" si="181"/>
        <v/>
      </c>
      <c r="AR52" s="1407" t="str">
        <f t="shared" si="181"/>
        <v/>
      </c>
      <c r="AS52" s="1407" t="str">
        <f t="shared" si="181"/>
        <v/>
      </c>
      <c r="AT52" s="1407" t="str">
        <f t="shared" si="181"/>
        <v/>
      </c>
      <c r="AU52" s="1407" t="str">
        <f t="shared" si="181"/>
        <v/>
      </c>
      <c r="AV52" s="1407" t="str">
        <f t="shared" si="181"/>
        <v/>
      </c>
      <c r="AW52" s="1407" t="str">
        <f t="shared" si="181"/>
        <v/>
      </c>
      <c r="AX52" s="1407" t="str">
        <f t="shared" si="181"/>
        <v/>
      </c>
      <c r="AY52" s="1407" t="str">
        <f t="shared" si="181"/>
        <v/>
      </c>
      <c r="AZ52" s="1407" t="str">
        <f t="shared" si="181"/>
        <v/>
      </c>
      <c r="BA52" s="1407" t="str">
        <f t="shared" si="181"/>
        <v/>
      </c>
      <c r="BB52" s="1407" t="str">
        <f t="shared" si="181"/>
        <v/>
      </c>
      <c r="BC52" s="1775"/>
      <c r="BD52" s="1407" t="str">
        <f t="shared" ref="BD52:BT52" si="182">IF(BD50="","",BD50*BD51/BD$7/365/$G$1)</f>
        <v/>
      </c>
      <c r="BE52" s="1407" t="str">
        <f t="shared" si="182"/>
        <v/>
      </c>
      <c r="BF52" s="1407" t="str">
        <f t="shared" si="182"/>
        <v/>
      </c>
      <c r="BG52" s="1407" t="str">
        <f t="shared" si="182"/>
        <v/>
      </c>
      <c r="BH52" s="1407" t="str">
        <f t="shared" si="182"/>
        <v/>
      </c>
      <c r="BI52" s="1407" t="str">
        <f t="shared" si="182"/>
        <v/>
      </c>
      <c r="BJ52" s="1407" t="str">
        <f t="shared" si="182"/>
        <v/>
      </c>
      <c r="BK52" s="1407" t="str">
        <f t="shared" si="182"/>
        <v/>
      </c>
      <c r="BL52" s="1407" t="str">
        <f t="shared" si="182"/>
        <v/>
      </c>
      <c r="BM52" s="1407" t="str">
        <f t="shared" si="182"/>
        <v/>
      </c>
      <c r="BN52" s="1407" t="str">
        <f t="shared" si="182"/>
        <v/>
      </c>
      <c r="BO52" s="1407" t="str">
        <f t="shared" si="182"/>
        <v/>
      </c>
      <c r="BP52" s="1407" t="str">
        <f t="shared" si="182"/>
        <v/>
      </c>
      <c r="BQ52" s="1407" t="str">
        <f t="shared" si="182"/>
        <v/>
      </c>
      <c r="BR52" s="1407" t="str">
        <f t="shared" si="182"/>
        <v/>
      </c>
      <c r="BS52" s="1407" t="str">
        <f t="shared" si="182"/>
        <v/>
      </c>
      <c r="BT52" s="1407" t="str">
        <f t="shared" si="182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173"/>
        <v/>
      </c>
      <c r="CE52" s="1757" t="str">
        <f t="shared" si="151"/>
        <v/>
      </c>
      <c r="CF52" s="1758" t="str">
        <f t="shared" si="151"/>
        <v/>
      </c>
      <c r="CG52" s="1758" t="str">
        <f t="shared" si="151"/>
        <v/>
      </c>
      <c r="CH52" s="1758" t="str">
        <f t="shared" si="151"/>
        <v/>
      </c>
      <c r="CI52" s="1758" t="str">
        <f t="shared" si="151"/>
        <v/>
      </c>
      <c r="CJ52" s="1758" t="str">
        <f t="shared" si="151"/>
        <v/>
      </c>
      <c r="CK52" s="1759" t="str">
        <f t="shared" si="151"/>
        <v/>
      </c>
      <c r="CL52" s="1759" t="str">
        <f t="shared" si="151"/>
        <v/>
      </c>
      <c r="CM52" s="1759" t="str">
        <f t="shared" si="151"/>
        <v/>
      </c>
      <c r="CN52" s="1758" t="str">
        <f t="shared" si="151"/>
        <v/>
      </c>
      <c r="CO52" s="1758" t="str">
        <f t="shared" si="151"/>
        <v/>
      </c>
      <c r="CP52" s="1758" t="str">
        <f t="shared" si="151"/>
        <v/>
      </c>
      <c r="CQ52" s="1758" t="str">
        <f t="shared" si="151"/>
        <v/>
      </c>
      <c r="CR52" s="1758" t="str">
        <f t="shared" si="151"/>
        <v/>
      </c>
      <c r="CS52" s="1757" t="str">
        <f t="shared" si="151"/>
        <v/>
      </c>
      <c r="CT52" s="1760" t="str">
        <f t="shared" si="151"/>
        <v/>
      </c>
      <c r="CU52" s="1761" t="str">
        <f t="shared" si="152"/>
        <v/>
      </c>
      <c r="CV52" s="1762" t="str">
        <f t="shared" si="153"/>
        <v/>
      </c>
      <c r="CW52" s="1763" t="str">
        <f t="shared" si="154"/>
        <v/>
      </c>
      <c r="CX52" s="1763" t="str">
        <f t="shared" si="155"/>
        <v/>
      </c>
      <c r="CY52" s="1763" t="str">
        <f t="shared" si="156"/>
        <v/>
      </c>
      <c r="CZ52" s="1763" t="str">
        <f t="shared" si="157"/>
        <v/>
      </c>
      <c r="DA52" s="1763" t="str">
        <f t="shared" si="158"/>
        <v/>
      </c>
      <c r="DB52" s="1764" t="str">
        <f t="shared" si="159"/>
        <v/>
      </c>
      <c r="DC52" s="1764" t="str">
        <f t="shared" si="160"/>
        <v/>
      </c>
      <c r="DD52" s="1764" t="str">
        <f t="shared" si="161"/>
        <v/>
      </c>
      <c r="DE52" s="1763" t="str">
        <f t="shared" si="162"/>
        <v/>
      </c>
      <c r="DF52" s="1763" t="str">
        <f t="shared" si="163"/>
        <v/>
      </c>
      <c r="DG52" s="1763" t="str">
        <f t="shared" si="164"/>
        <v/>
      </c>
      <c r="DH52" s="1763" t="str">
        <f t="shared" si="165"/>
        <v/>
      </c>
      <c r="DI52" s="1763" t="str">
        <f t="shared" si="166"/>
        <v/>
      </c>
      <c r="DJ52" s="1762" t="str">
        <f t="shared" si="167"/>
        <v/>
      </c>
      <c r="DK52" s="1761" t="str">
        <f t="shared" si="168"/>
        <v/>
      </c>
      <c r="DL52" s="1829">
        <f t="shared" si="169"/>
        <v>0</v>
      </c>
      <c r="DM52" s="1439">
        <f t="shared" si="170"/>
        <v>0</v>
      </c>
      <c r="DN52" s="1439">
        <f t="shared" si="171"/>
        <v>0</v>
      </c>
      <c r="DO52" s="1439">
        <f t="shared" si="172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173"/>
        <v/>
      </c>
      <c r="CE53" s="1740" t="str">
        <f t="shared" si="151"/>
        <v/>
      </c>
      <c r="CF53" s="1741" t="str">
        <f t="shared" si="151"/>
        <v/>
      </c>
      <c r="CG53" s="1741" t="str">
        <f t="shared" si="151"/>
        <v/>
      </c>
      <c r="CH53" s="1741" t="str">
        <f t="shared" si="151"/>
        <v/>
      </c>
      <c r="CI53" s="1741" t="str">
        <f t="shared" si="151"/>
        <v/>
      </c>
      <c r="CJ53" s="1741" t="str">
        <f t="shared" si="151"/>
        <v/>
      </c>
      <c r="CK53" s="1742" t="str">
        <f t="shared" si="151"/>
        <v/>
      </c>
      <c r="CL53" s="1742" t="str">
        <f t="shared" si="151"/>
        <v/>
      </c>
      <c r="CM53" s="1742" t="str">
        <f t="shared" si="151"/>
        <v/>
      </c>
      <c r="CN53" s="1741" t="str">
        <f t="shared" si="151"/>
        <v/>
      </c>
      <c r="CO53" s="1741" t="str">
        <f t="shared" si="151"/>
        <v/>
      </c>
      <c r="CP53" s="1741" t="str">
        <f t="shared" si="151"/>
        <v/>
      </c>
      <c r="CQ53" s="1741" t="str">
        <f t="shared" si="151"/>
        <v/>
      </c>
      <c r="CR53" s="1741" t="str">
        <f t="shared" si="151"/>
        <v/>
      </c>
      <c r="CS53" s="1740" t="str">
        <f t="shared" si="151"/>
        <v/>
      </c>
      <c r="CT53" s="1743" t="str">
        <f t="shared" si="151"/>
        <v/>
      </c>
      <c r="CU53" s="1752" t="str">
        <f t="shared" si="152"/>
        <v/>
      </c>
      <c r="CV53" s="1753" t="str">
        <f t="shared" si="153"/>
        <v/>
      </c>
      <c r="CW53" s="1754" t="str">
        <f t="shared" si="154"/>
        <v/>
      </c>
      <c r="CX53" s="1754" t="str">
        <f t="shared" si="155"/>
        <v/>
      </c>
      <c r="CY53" s="1754" t="str">
        <f t="shared" si="156"/>
        <v/>
      </c>
      <c r="CZ53" s="1754" t="str">
        <f t="shared" si="157"/>
        <v/>
      </c>
      <c r="DA53" s="1754" t="str">
        <f t="shared" si="158"/>
        <v/>
      </c>
      <c r="DB53" s="1755" t="str">
        <f t="shared" si="159"/>
        <v/>
      </c>
      <c r="DC53" s="1755" t="str">
        <f t="shared" si="160"/>
        <v/>
      </c>
      <c r="DD53" s="1755" t="str">
        <f t="shared" si="161"/>
        <v/>
      </c>
      <c r="DE53" s="1754" t="str">
        <f t="shared" si="162"/>
        <v/>
      </c>
      <c r="DF53" s="1754" t="str">
        <f t="shared" si="163"/>
        <v/>
      </c>
      <c r="DG53" s="1754" t="str">
        <f t="shared" si="164"/>
        <v/>
      </c>
      <c r="DH53" s="1754" t="str">
        <f t="shared" si="165"/>
        <v/>
      </c>
      <c r="DI53" s="1754" t="str">
        <f t="shared" si="166"/>
        <v/>
      </c>
      <c r="DJ53" s="1753" t="str">
        <f t="shared" si="167"/>
        <v/>
      </c>
      <c r="DK53" s="1752" t="str">
        <f t="shared" si="168"/>
        <v/>
      </c>
      <c r="DL53" s="1829">
        <f t="shared" si="169"/>
        <v>0</v>
      </c>
      <c r="DM53" s="1439">
        <f t="shared" si="170"/>
        <v>0</v>
      </c>
      <c r="DN53" s="1439">
        <f t="shared" si="171"/>
        <v>0</v>
      </c>
      <c r="DO53" s="1439">
        <f t="shared" si="172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183">IF(B53="","",B50*B53)</f>
        <v/>
      </c>
      <c r="C54" s="1408" t="str">
        <f t="shared" si="183"/>
        <v/>
      </c>
      <c r="D54" s="1408" t="str">
        <f t="shared" si="183"/>
        <v/>
      </c>
      <c r="E54" s="1408" t="str">
        <f t="shared" si="183"/>
        <v/>
      </c>
      <c r="F54" s="1408" t="str">
        <f t="shared" si="183"/>
        <v/>
      </c>
      <c r="G54" s="1408" t="str">
        <f t="shared" si="183"/>
        <v/>
      </c>
      <c r="H54" s="1408" t="str">
        <f t="shared" si="183"/>
        <v/>
      </c>
      <c r="I54" s="1408" t="str">
        <f t="shared" si="183"/>
        <v/>
      </c>
      <c r="J54" s="1408" t="str">
        <f t="shared" si="183"/>
        <v/>
      </c>
      <c r="K54" s="1408" t="str">
        <f t="shared" si="183"/>
        <v/>
      </c>
      <c r="L54" s="1408" t="str">
        <f t="shared" si="183"/>
        <v/>
      </c>
      <c r="M54" s="1408" t="str">
        <f t="shared" si="183"/>
        <v/>
      </c>
      <c r="N54" s="1408" t="str">
        <f t="shared" si="183"/>
        <v/>
      </c>
      <c r="O54" s="1408" t="str">
        <f t="shared" si="183"/>
        <v/>
      </c>
      <c r="P54" s="1408" t="str">
        <f t="shared" si="183"/>
        <v/>
      </c>
      <c r="Q54" s="1408" t="str">
        <f t="shared" si="183"/>
        <v/>
      </c>
      <c r="R54" s="1408" t="str">
        <f t="shared" si="183"/>
        <v/>
      </c>
      <c r="S54" s="1772"/>
      <c r="T54" s="1408" t="str">
        <f t="shared" ref="T54:AJ54" si="184">IF(T53="","",T50*T53)</f>
        <v/>
      </c>
      <c r="U54" s="1408" t="str">
        <f t="shared" si="184"/>
        <v/>
      </c>
      <c r="V54" s="1408" t="str">
        <f t="shared" si="184"/>
        <v/>
      </c>
      <c r="W54" s="1408" t="str">
        <f t="shared" si="184"/>
        <v/>
      </c>
      <c r="X54" s="1408" t="str">
        <f t="shared" si="184"/>
        <v/>
      </c>
      <c r="Y54" s="1408" t="str">
        <f t="shared" si="184"/>
        <v/>
      </c>
      <c r="Z54" s="1408" t="str">
        <f t="shared" si="184"/>
        <v/>
      </c>
      <c r="AA54" s="1408" t="str">
        <f t="shared" si="184"/>
        <v/>
      </c>
      <c r="AB54" s="1408" t="str">
        <f t="shared" si="184"/>
        <v/>
      </c>
      <c r="AC54" s="1408" t="str">
        <f t="shared" si="184"/>
        <v/>
      </c>
      <c r="AD54" s="1408" t="str">
        <f t="shared" si="184"/>
        <v/>
      </c>
      <c r="AE54" s="1408" t="str">
        <f t="shared" si="184"/>
        <v/>
      </c>
      <c r="AF54" s="1408" t="str">
        <f t="shared" si="184"/>
        <v/>
      </c>
      <c r="AG54" s="1408" t="str">
        <f t="shared" si="184"/>
        <v/>
      </c>
      <c r="AH54" s="1408" t="str">
        <f t="shared" si="184"/>
        <v/>
      </c>
      <c r="AI54" s="1408" t="str">
        <f t="shared" si="184"/>
        <v/>
      </c>
      <c r="AJ54" s="1408" t="str">
        <f t="shared" si="184"/>
        <v/>
      </c>
      <c r="AK54" s="1772"/>
      <c r="AL54" s="1408" t="str">
        <f t="shared" ref="AL54:BB54" si="185">IF(AL53="","",AL50*AL53)</f>
        <v/>
      </c>
      <c r="AM54" s="1408" t="str">
        <f t="shared" si="185"/>
        <v/>
      </c>
      <c r="AN54" s="1408" t="str">
        <f t="shared" si="185"/>
        <v/>
      </c>
      <c r="AO54" s="1408" t="str">
        <f t="shared" si="185"/>
        <v/>
      </c>
      <c r="AP54" s="1408" t="str">
        <f t="shared" si="185"/>
        <v/>
      </c>
      <c r="AQ54" s="1408" t="str">
        <f t="shared" si="185"/>
        <v/>
      </c>
      <c r="AR54" s="1408" t="str">
        <f t="shared" si="185"/>
        <v/>
      </c>
      <c r="AS54" s="1408" t="str">
        <f t="shared" si="185"/>
        <v/>
      </c>
      <c r="AT54" s="1408" t="str">
        <f t="shared" si="185"/>
        <v/>
      </c>
      <c r="AU54" s="1408" t="str">
        <f t="shared" si="185"/>
        <v/>
      </c>
      <c r="AV54" s="1408" t="str">
        <f t="shared" si="185"/>
        <v/>
      </c>
      <c r="AW54" s="1408" t="str">
        <f t="shared" si="185"/>
        <v/>
      </c>
      <c r="AX54" s="1408" t="str">
        <f t="shared" si="185"/>
        <v/>
      </c>
      <c r="AY54" s="1408" t="str">
        <f t="shared" si="185"/>
        <v/>
      </c>
      <c r="AZ54" s="1408" t="str">
        <f t="shared" si="185"/>
        <v/>
      </c>
      <c r="BA54" s="1408" t="str">
        <f t="shared" si="185"/>
        <v/>
      </c>
      <c r="BB54" s="1408" t="str">
        <f t="shared" si="185"/>
        <v/>
      </c>
      <c r="BC54" s="1772"/>
      <c r="BD54" s="1408" t="str">
        <f t="shared" ref="BD54:BT54" si="186">IF(BD53="","",BD50*BD53)</f>
        <v/>
      </c>
      <c r="BE54" s="1408" t="str">
        <f t="shared" si="186"/>
        <v/>
      </c>
      <c r="BF54" s="1408" t="str">
        <f t="shared" si="186"/>
        <v/>
      </c>
      <c r="BG54" s="1408" t="str">
        <f t="shared" si="186"/>
        <v/>
      </c>
      <c r="BH54" s="1408" t="str">
        <f t="shared" si="186"/>
        <v/>
      </c>
      <c r="BI54" s="1408" t="str">
        <f t="shared" si="186"/>
        <v/>
      </c>
      <c r="BJ54" s="1408" t="str">
        <f t="shared" si="186"/>
        <v/>
      </c>
      <c r="BK54" s="1408" t="str">
        <f t="shared" si="186"/>
        <v/>
      </c>
      <c r="BL54" s="1408" t="str">
        <f t="shared" si="186"/>
        <v/>
      </c>
      <c r="BM54" s="1408" t="str">
        <f t="shared" si="186"/>
        <v/>
      </c>
      <c r="BN54" s="1408" t="str">
        <f t="shared" si="186"/>
        <v/>
      </c>
      <c r="BO54" s="1408" t="str">
        <f t="shared" si="186"/>
        <v/>
      </c>
      <c r="BP54" s="1408" t="str">
        <f t="shared" si="186"/>
        <v/>
      </c>
      <c r="BQ54" s="1408" t="str">
        <f t="shared" si="186"/>
        <v/>
      </c>
      <c r="BR54" s="1408" t="str">
        <f t="shared" si="186"/>
        <v/>
      </c>
      <c r="BS54" s="1408" t="str">
        <f t="shared" si="186"/>
        <v/>
      </c>
      <c r="BT54" s="1408" t="str">
        <f t="shared" si="186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173"/>
        <v/>
      </c>
      <c r="CE54" s="1740" t="str">
        <f t="shared" si="151"/>
        <v/>
      </c>
      <c r="CF54" s="1741" t="str">
        <f t="shared" si="151"/>
        <v/>
      </c>
      <c r="CG54" s="1741" t="str">
        <f t="shared" si="151"/>
        <v/>
      </c>
      <c r="CH54" s="1741" t="str">
        <f t="shared" si="151"/>
        <v/>
      </c>
      <c r="CI54" s="1741" t="str">
        <f t="shared" si="151"/>
        <v/>
      </c>
      <c r="CJ54" s="1741" t="str">
        <f t="shared" si="151"/>
        <v/>
      </c>
      <c r="CK54" s="1742" t="str">
        <f t="shared" si="151"/>
        <v/>
      </c>
      <c r="CL54" s="1742" t="str">
        <f t="shared" si="151"/>
        <v/>
      </c>
      <c r="CM54" s="1742" t="str">
        <f t="shared" si="151"/>
        <v/>
      </c>
      <c r="CN54" s="1741" t="str">
        <f t="shared" si="151"/>
        <v/>
      </c>
      <c r="CO54" s="1741" t="str">
        <f t="shared" si="151"/>
        <v/>
      </c>
      <c r="CP54" s="1741" t="str">
        <f t="shared" si="151"/>
        <v/>
      </c>
      <c r="CQ54" s="1741" t="str">
        <f t="shared" si="151"/>
        <v/>
      </c>
      <c r="CR54" s="1741" t="str">
        <f t="shared" si="151"/>
        <v/>
      </c>
      <c r="CS54" s="1740" t="str">
        <f t="shared" si="151"/>
        <v/>
      </c>
      <c r="CT54" s="1743" t="str">
        <f t="shared" si="151"/>
        <v/>
      </c>
      <c r="CU54" s="1752" t="str">
        <f t="shared" si="152"/>
        <v/>
      </c>
      <c r="CV54" s="1753" t="str">
        <f t="shared" si="153"/>
        <v/>
      </c>
      <c r="CW54" s="1754" t="str">
        <f t="shared" si="154"/>
        <v/>
      </c>
      <c r="CX54" s="1754" t="str">
        <f t="shared" si="155"/>
        <v/>
      </c>
      <c r="CY54" s="1754" t="str">
        <f t="shared" si="156"/>
        <v/>
      </c>
      <c r="CZ54" s="1754" t="str">
        <f t="shared" si="157"/>
        <v/>
      </c>
      <c r="DA54" s="1754" t="str">
        <f t="shared" si="158"/>
        <v/>
      </c>
      <c r="DB54" s="1755" t="str">
        <f t="shared" si="159"/>
        <v/>
      </c>
      <c r="DC54" s="1755" t="str">
        <f t="shared" si="160"/>
        <v/>
      </c>
      <c r="DD54" s="1755" t="str">
        <f t="shared" si="161"/>
        <v/>
      </c>
      <c r="DE54" s="1754" t="str">
        <f t="shared" si="162"/>
        <v/>
      </c>
      <c r="DF54" s="1754" t="str">
        <f t="shared" si="163"/>
        <v/>
      </c>
      <c r="DG54" s="1754" t="str">
        <f t="shared" si="164"/>
        <v/>
      </c>
      <c r="DH54" s="1754" t="str">
        <f t="shared" si="165"/>
        <v/>
      </c>
      <c r="DI54" s="1754" t="str">
        <f t="shared" si="166"/>
        <v/>
      </c>
      <c r="DJ54" s="1753" t="str">
        <f t="shared" si="167"/>
        <v/>
      </c>
      <c r="DK54" s="1752" t="str">
        <f t="shared" si="168"/>
        <v/>
      </c>
      <c r="DL54" s="1829">
        <f t="shared" si="169"/>
        <v>0</v>
      </c>
      <c r="DM54" s="1439">
        <f t="shared" si="170"/>
        <v>0</v>
      </c>
      <c r="DN54" s="1439">
        <f t="shared" si="171"/>
        <v>0</v>
      </c>
      <c r="DO54" s="1439">
        <f t="shared" si="172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1179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18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187"/>
        <v/>
      </c>
      <c r="CF56" s="1741" t="str">
        <f t="shared" si="187"/>
        <v/>
      </c>
      <c r="CG56" s="1741" t="str">
        <f t="shared" si="187"/>
        <v/>
      </c>
      <c r="CH56" s="1741" t="str">
        <f t="shared" si="187"/>
        <v/>
      </c>
      <c r="CI56" s="1741" t="str">
        <f t="shared" si="187"/>
        <v/>
      </c>
      <c r="CJ56" s="1741" t="str">
        <f t="shared" si="187"/>
        <v/>
      </c>
      <c r="CK56" s="1742" t="str">
        <f t="shared" si="187"/>
        <v/>
      </c>
      <c r="CL56" s="1742" t="str">
        <f t="shared" si="187"/>
        <v/>
      </c>
      <c r="CM56" s="1742" t="str">
        <f t="shared" si="187"/>
        <v/>
      </c>
      <c r="CN56" s="1741" t="str">
        <f t="shared" si="187"/>
        <v/>
      </c>
      <c r="CO56" s="1741" t="str">
        <f t="shared" si="187"/>
        <v/>
      </c>
      <c r="CP56" s="1741" t="str">
        <f t="shared" si="187"/>
        <v/>
      </c>
      <c r="CQ56" s="1741" t="str">
        <f t="shared" si="187"/>
        <v/>
      </c>
      <c r="CR56" s="1741" t="str">
        <f t="shared" si="187"/>
        <v/>
      </c>
      <c r="CS56" s="1740" t="str">
        <f t="shared" si="187"/>
        <v/>
      </c>
      <c r="CT56" s="1743" t="str">
        <f t="shared" ref="CE56:CT63" si="18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18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19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19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19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19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19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19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19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19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19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19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20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20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20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20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20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20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206">COUNT(B56:R56)</f>
        <v>0</v>
      </c>
      <c r="DM56" s="1439">
        <f t="shared" ref="DM56:DM63" si="207">COUNT(T56:AJ56)</f>
        <v>0</v>
      </c>
      <c r="DN56" s="1439">
        <f t="shared" ref="DN56:DN63" si="208">COUNT(AL56:BB56)</f>
        <v>0</v>
      </c>
      <c r="DO56" s="1439">
        <f t="shared" ref="DO56:DO63" si="209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21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188"/>
        <v/>
      </c>
      <c r="CF57" s="1741" t="str">
        <f t="shared" si="188"/>
        <v/>
      </c>
      <c r="CG57" s="1741" t="str">
        <f t="shared" si="188"/>
        <v/>
      </c>
      <c r="CH57" s="1741" t="str">
        <f t="shared" si="188"/>
        <v/>
      </c>
      <c r="CI57" s="1741" t="str">
        <f t="shared" si="188"/>
        <v/>
      </c>
      <c r="CJ57" s="1741" t="str">
        <f t="shared" si="188"/>
        <v/>
      </c>
      <c r="CK57" s="1742" t="str">
        <f t="shared" si="188"/>
        <v/>
      </c>
      <c r="CL57" s="1742" t="str">
        <f t="shared" si="188"/>
        <v/>
      </c>
      <c r="CM57" s="1742" t="str">
        <f t="shared" si="188"/>
        <v/>
      </c>
      <c r="CN57" s="1741" t="str">
        <f t="shared" si="188"/>
        <v/>
      </c>
      <c r="CO57" s="1741" t="str">
        <f t="shared" si="188"/>
        <v/>
      </c>
      <c r="CP57" s="1741" t="str">
        <f t="shared" si="188"/>
        <v/>
      </c>
      <c r="CQ57" s="1741" t="str">
        <f t="shared" si="188"/>
        <v/>
      </c>
      <c r="CR57" s="1741" t="str">
        <f t="shared" si="188"/>
        <v/>
      </c>
      <c r="CS57" s="1740" t="str">
        <f t="shared" si="188"/>
        <v/>
      </c>
      <c r="CT57" s="1743" t="str">
        <f t="shared" si="188"/>
        <v/>
      </c>
      <c r="CU57" s="1752" t="str">
        <f t="shared" si="189"/>
        <v/>
      </c>
      <c r="CV57" s="1753" t="str">
        <f t="shared" si="190"/>
        <v/>
      </c>
      <c r="CW57" s="1754" t="str">
        <f t="shared" si="191"/>
        <v/>
      </c>
      <c r="CX57" s="1754" t="str">
        <f t="shared" si="192"/>
        <v/>
      </c>
      <c r="CY57" s="1754" t="str">
        <f t="shared" si="193"/>
        <v/>
      </c>
      <c r="CZ57" s="1754" t="str">
        <f t="shared" si="194"/>
        <v/>
      </c>
      <c r="DA57" s="1754" t="str">
        <f t="shared" si="195"/>
        <v/>
      </c>
      <c r="DB57" s="1755" t="str">
        <f t="shared" si="196"/>
        <v/>
      </c>
      <c r="DC57" s="1755" t="str">
        <f t="shared" si="197"/>
        <v/>
      </c>
      <c r="DD57" s="1755" t="str">
        <f t="shared" si="198"/>
        <v/>
      </c>
      <c r="DE57" s="1754" t="str">
        <f t="shared" si="199"/>
        <v/>
      </c>
      <c r="DF57" s="1754" t="str">
        <f t="shared" si="200"/>
        <v/>
      </c>
      <c r="DG57" s="1754" t="str">
        <f t="shared" si="201"/>
        <v/>
      </c>
      <c r="DH57" s="1754" t="str">
        <f t="shared" si="202"/>
        <v/>
      </c>
      <c r="DI57" s="1754" t="str">
        <f t="shared" si="203"/>
        <v/>
      </c>
      <c r="DJ57" s="1753" t="str">
        <f t="shared" si="204"/>
        <v/>
      </c>
      <c r="DK57" s="1752" t="str">
        <f t="shared" si="205"/>
        <v/>
      </c>
      <c r="DL57" s="1829">
        <f t="shared" si="206"/>
        <v>0</v>
      </c>
      <c r="DM57" s="1439">
        <f t="shared" si="207"/>
        <v>0</v>
      </c>
      <c r="DN57" s="1439">
        <f t="shared" si="208"/>
        <v>0</v>
      </c>
      <c r="DO57" s="1439">
        <f t="shared" si="209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210"/>
        <v/>
      </c>
      <c r="CE58" s="1740" t="str">
        <f t="shared" si="188"/>
        <v/>
      </c>
      <c r="CF58" s="1741" t="str">
        <f t="shared" si="188"/>
        <v/>
      </c>
      <c r="CG58" s="1741" t="str">
        <f t="shared" si="188"/>
        <v/>
      </c>
      <c r="CH58" s="1741" t="str">
        <f t="shared" si="188"/>
        <v/>
      </c>
      <c r="CI58" s="1741" t="str">
        <f t="shared" si="188"/>
        <v/>
      </c>
      <c r="CJ58" s="1741" t="str">
        <f t="shared" si="188"/>
        <v/>
      </c>
      <c r="CK58" s="1742" t="str">
        <f t="shared" si="188"/>
        <v/>
      </c>
      <c r="CL58" s="1742" t="str">
        <f t="shared" si="188"/>
        <v/>
      </c>
      <c r="CM58" s="1742" t="str">
        <f t="shared" si="188"/>
        <v/>
      </c>
      <c r="CN58" s="1741" t="str">
        <f t="shared" si="188"/>
        <v/>
      </c>
      <c r="CO58" s="1741" t="str">
        <f t="shared" si="188"/>
        <v/>
      </c>
      <c r="CP58" s="1741" t="str">
        <f t="shared" si="188"/>
        <v/>
      </c>
      <c r="CQ58" s="1741" t="str">
        <f t="shared" si="188"/>
        <v/>
      </c>
      <c r="CR58" s="1741" t="str">
        <f t="shared" si="188"/>
        <v/>
      </c>
      <c r="CS58" s="1740" t="str">
        <f t="shared" si="188"/>
        <v/>
      </c>
      <c r="CT58" s="1743" t="str">
        <f t="shared" si="188"/>
        <v/>
      </c>
      <c r="CU58" s="1752" t="str">
        <f t="shared" si="189"/>
        <v/>
      </c>
      <c r="CV58" s="1753" t="str">
        <f t="shared" si="190"/>
        <v/>
      </c>
      <c r="CW58" s="1754" t="str">
        <f t="shared" si="191"/>
        <v/>
      </c>
      <c r="CX58" s="1754" t="str">
        <f t="shared" si="192"/>
        <v/>
      </c>
      <c r="CY58" s="1754" t="str">
        <f t="shared" si="193"/>
        <v/>
      </c>
      <c r="CZ58" s="1754" t="str">
        <f t="shared" si="194"/>
        <v/>
      </c>
      <c r="DA58" s="1754" t="str">
        <f t="shared" si="195"/>
        <v/>
      </c>
      <c r="DB58" s="1755" t="str">
        <f t="shared" si="196"/>
        <v/>
      </c>
      <c r="DC58" s="1755" t="str">
        <f t="shared" si="197"/>
        <v/>
      </c>
      <c r="DD58" s="1755" t="str">
        <f t="shared" si="198"/>
        <v/>
      </c>
      <c r="DE58" s="1754" t="str">
        <f t="shared" si="199"/>
        <v/>
      </c>
      <c r="DF58" s="1754" t="str">
        <f t="shared" si="200"/>
        <v/>
      </c>
      <c r="DG58" s="1754" t="str">
        <f t="shared" si="201"/>
        <v/>
      </c>
      <c r="DH58" s="1754" t="str">
        <f t="shared" si="202"/>
        <v/>
      </c>
      <c r="DI58" s="1754" t="str">
        <f t="shared" si="203"/>
        <v/>
      </c>
      <c r="DJ58" s="1753" t="str">
        <f t="shared" si="204"/>
        <v/>
      </c>
      <c r="DK58" s="1752" t="str">
        <f t="shared" si="205"/>
        <v/>
      </c>
      <c r="DL58" s="1829">
        <f t="shared" si="206"/>
        <v>0</v>
      </c>
      <c r="DM58" s="1439">
        <f t="shared" si="207"/>
        <v>0</v>
      </c>
      <c r="DN58" s="1439">
        <f t="shared" si="208"/>
        <v>0</v>
      </c>
      <c r="DO58" s="1439">
        <f t="shared" si="209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211">IF(B57="","",B56*B57*B58)</f>
        <v/>
      </c>
      <c r="C59" s="1408" t="str">
        <f t="shared" si="211"/>
        <v/>
      </c>
      <c r="D59" s="1408" t="str">
        <f t="shared" si="211"/>
        <v/>
      </c>
      <c r="E59" s="1408" t="str">
        <f t="shared" si="211"/>
        <v/>
      </c>
      <c r="F59" s="1408" t="str">
        <f t="shared" si="211"/>
        <v/>
      </c>
      <c r="G59" s="1408" t="str">
        <f t="shared" si="211"/>
        <v/>
      </c>
      <c r="H59" s="1408" t="str">
        <f t="shared" si="211"/>
        <v/>
      </c>
      <c r="I59" s="1408" t="str">
        <f t="shared" si="211"/>
        <v/>
      </c>
      <c r="J59" s="1408" t="str">
        <f t="shared" si="211"/>
        <v/>
      </c>
      <c r="K59" s="1408" t="str">
        <f t="shared" si="211"/>
        <v/>
      </c>
      <c r="L59" s="1408" t="str">
        <f t="shared" si="211"/>
        <v/>
      </c>
      <c r="M59" s="1408" t="str">
        <f t="shared" si="211"/>
        <v/>
      </c>
      <c r="N59" s="1408" t="str">
        <f t="shared" si="211"/>
        <v/>
      </c>
      <c r="O59" s="1408" t="str">
        <f t="shared" si="211"/>
        <v/>
      </c>
      <c r="P59" s="1408" t="str">
        <f t="shared" si="211"/>
        <v/>
      </c>
      <c r="Q59" s="1408" t="str">
        <f t="shared" si="211"/>
        <v/>
      </c>
      <c r="R59" s="1408" t="str">
        <f t="shared" si="211"/>
        <v/>
      </c>
      <c r="S59" s="1772"/>
      <c r="T59" s="1408" t="str">
        <f t="shared" ref="T59:AJ59" si="212">IF(T57="","",T56*T57*T58)</f>
        <v/>
      </c>
      <c r="U59" s="1408" t="str">
        <f t="shared" si="212"/>
        <v/>
      </c>
      <c r="V59" s="1408" t="str">
        <f t="shared" si="212"/>
        <v/>
      </c>
      <c r="W59" s="1408" t="str">
        <f t="shared" si="212"/>
        <v/>
      </c>
      <c r="X59" s="1408" t="str">
        <f t="shared" si="212"/>
        <v/>
      </c>
      <c r="Y59" s="1408" t="str">
        <f t="shared" si="212"/>
        <v/>
      </c>
      <c r="Z59" s="1408" t="str">
        <f t="shared" si="212"/>
        <v/>
      </c>
      <c r="AA59" s="1408" t="str">
        <f t="shared" si="212"/>
        <v/>
      </c>
      <c r="AB59" s="1408" t="str">
        <f t="shared" si="212"/>
        <v/>
      </c>
      <c r="AC59" s="1408" t="str">
        <f t="shared" si="212"/>
        <v/>
      </c>
      <c r="AD59" s="1408" t="str">
        <f t="shared" si="212"/>
        <v/>
      </c>
      <c r="AE59" s="1408" t="str">
        <f t="shared" si="212"/>
        <v/>
      </c>
      <c r="AF59" s="1408" t="str">
        <f t="shared" si="212"/>
        <v/>
      </c>
      <c r="AG59" s="1408" t="str">
        <f t="shared" si="212"/>
        <v/>
      </c>
      <c r="AH59" s="1408" t="str">
        <f t="shared" si="212"/>
        <v/>
      </c>
      <c r="AI59" s="1408" t="str">
        <f t="shared" si="212"/>
        <v/>
      </c>
      <c r="AJ59" s="1408" t="str">
        <f t="shared" si="212"/>
        <v/>
      </c>
      <c r="AK59" s="1772"/>
      <c r="AL59" s="1408" t="str">
        <f t="shared" ref="AL59:BB59" si="213">IF(AL57="","",AL56*AL57*AL58)</f>
        <v/>
      </c>
      <c r="AM59" s="1408" t="str">
        <f t="shared" si="213"/>
        <v/>
      </c>
      <c r="AN59" s="1408" t="str">
        <f t="shared" si="213"/>
        <v/>
      </c>
      <c r="AO59" s="1408" t="str">
        <f t="shared" si="213"/>
        <v/>
      </c>
      <c r="AP59" s="1408" t="str">
        <f t="shared" si="213"/>
        <v/>
      </c>
      <c r="AQ59" s="1408" t="str">
        <f t="shared" si="213"/>
        <v/>
      </c>
      <c r="AR59" s="1408" t="str">
        <f t="shared" si="213"/>
        <v/>
      </c>
      <c r="AS59" s="1408" t="str">
        <f t="shared" si="213"/>
        <v/>
      </c>
      <c r="AT59" s="1408" t="str">
        <f t="shared" si="213"/>
        <v/>
      </c>
      <c r="AU59" s="1408" t="str">
        <f t="shared" si="213"/>
        <v/>
      </c>
      <c r="AV59" s="1408" t="str">
        <f t="shared" si="213"/>
        <v/>
      </c>
      <c r="AW59" s="1408" t="str">
        <f t="shared" si="213"/>
        <v/>
      </c>
      <c r="AX59" s="1408" t="str">
        <f t="shared" si="213"/>
        <v/>
      </c>
      <c r="AY59" s="1408" t="str">
        <f t="shared" si="213"/>
        <v/>
      </c>
      <c r="AZ59" s="1408" t="str">
        <f t="shared" si="213"/>
        <v/>
      </c>
      <c r="BA59" s="1408" t="str">
        <f t="shared" si="213"/>
        <v/>
      </c>
      <c r="BB59" s="1408" t="str">
        <f t="shared" si="213"/>
        <v/>
      </c>
      <c r="BC59" s="1772"/>
      <c r="BD59" s="1408" t="str">
        <f t="shared" ref="BD59:BT59" si="214">IF(BD57="","",BD56*BD57*BD58)</f>
        <v/>
      </c>
      <c r="BE59" s="1408" t="str">
        <f t="shared" si="214"/>
        <v/>
      </c>
      <c r="BF59" s="1408" t="str">
        <f t="shared" si="214"/>
        <v/>
      </c>
      <c r="BG59" s="1408" t="str">
        <f t="shared" si="214"/>
        <v/>
      </c>
      <c r="BH59" s="1408" t="str">
        <f t="shared" si="214"/>
        <v/>
      </c>
      <c r="BI59" s="1408" t="str">
        <f t="shared" si="214"/>
        <v/>
      </c>
      <c r="BJ59" s="1408" t="str">
        <f t="shared" si="214"/>
        <v/>
      </c>
      <c r="BK59" s="1408" t="str">
        <f t="shared" si="214"/>
        <v/>
      </c>
      <c r="BL59" s="1408" t="str">
        <f t="shared" si="214"/>
        <v/>
      </c>
      <c r="BM59" s="1408" t="str">
        <f t="shared" si="214"/>
        <v/>
      </c>
      <c r="BN59" s="1408" t="str">
        <f t="shared" si="214"/>
        <v/>
      </c>
      <c r="BO59" s="1408" t="str">
        <f t="shared" si="214"/>
        <v/>
      </c>
      <c r="BP59" s="1408" t="str">
        <f t="shared" si="214"/>
        <v/>
      </c>
      <c r="BQ59" s="1408" t="str">
        <f t="shared" si="214"/>
        <v/>
      </c>
      <c r="BR59" s="1408" t="str">
        <f t="shared" si="214"/>
        <v/>
      </c>
      <c r="BS59" s="1408" t="str">
        <f t="shared" si="214"/>
        <v/>
      </c>
      <c r="BT59" s="1408" t="str">
        <f t="shared" si="214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210"/>
        <v/>
      </c>
      <c r="CE59" s="1740" t="str">
        <f t="shared" si="188"/>
        <v/>
      </c>
      <c r="CF59" s="1741" t="str">
        <f t="shared" si="188"/>
        <v/>
      </c>
      <c r="CG59" s="1741" t="str">
        <f t="shared" si="188"/>
        <v/>
      </c>
      <c r="CH59" s="1741" t="str">
        <f t="shared" si="188"/>
        <v/>
      </c>
      <c r="CI59" s="1741" t="str">
        <f t="shared" si="188"/>
        <v/>
      </c>
      <c r="CJ59" s="1741" t="str">
        <f t="shared" si="188"/>
        <v/>
      </c>
      <c r="CK59" s="1742" t="str">
        <f t="shared" si="188"/>
        <v/>
      </c>
      <c r="CL59" s="1742" t="str">
        <f t="shared" si="188"/>
        <v/>
      </c>
      <c r="CM59" s="1742" t="str">
        <f t="shared" si="188"/>
        <v/>
      </c>
      <c r="CN59" s="1741" t="str">
        <f t="shared" si="188"/>
        <v/>
      </c>
      <c r="CO59" s="1741" t="str">
        <f t="shared" si="188"/>
        <v/>
      </c>
      <c r="CP59" s="1741" t="str">
        <f t="shared" si="188"/>
        <v/>
      </c>
      <c r="CQ59" s="1741" t="str">
        <f t="shared" si="188"/>
        <v/>
      </c>
      <c r="CR59" s="1741" t="str">
        <f t="shared" si="188"/>
        <v/>
      </c>
      <c r="CS59" s="1740" t="str">
        <f t="shared" si="188"/>
        <v/>
      </c>
      <c r="CT59" s="1743" t="str">
        <f t="shared" si="188"/>
        <v/>
      </c>
      <c r="CU59" s="1752" t="str">
        <f t="shared" si="189"/>
        <v/>
      </c>
      <c r="CV59" s="1753" t="str">
        <f t="shared" si="190"/>
        <v/>
      </c>
      <c r="CW59" s="1754" t="str">
        <f t="shared" si="191"/>
        <v/>
      </c>
      <c r="CX59" s="1754" t="str">
        <f t="shared" si="192"/>
        <v/>
      </c>
      <c r="CY59" s="1754" t="str">
        <f t="shared" si="193"/>
        <v/>
      </c>
      <c r="CZ59" s="1754" t="str">
        <f t="shared" si="194"/>
        <v/>
      </c>
      <c r="DA59" s="1754" t="str">
        <f t="shared" si="195"/>
        <v/>
      </c>
      <c r="DB59" s="1755" t="str">
        <f t="shared" si="196"/>
        <v/>
      </c>
      <c r="DC59" s="1755" t="str">
        <f t="shared" si="197"/>
        <v/>
      </c>
      <c r="DD59" s="1755" t="str">
        <f t="shared" si="198"/>
        <v/>
      </c>
      <c r="DE59" s="1754" t="str">
        <f t="shared" si="199"/>
        <v/>
      </c>
      <c r="DF59" s="1754" t="str">
        <f t="shared" si="200"/>
        <v/>
      </c>
      <c r="DG59" s="1754" t="str">
        <f t="shared" si="201"/>
        <v/>
      </c>
      <c r="DH59" s="1754" t="str">
        <f t="shared" si="202"/>
        <v/>
      </c>
      <c r="DI59" s="1754" t="str">
        <f t="shared" si="203"/>
        <v/>
      </c>
      <c r="DJ59" s="1753" t="str">
        <f t="shared" si="204"/>
        <v/>
      </c>
      <c r="DK59" s="1752" t="str">
        <f t="shared" si="205"/>
        <v/>
      </c>
      <c r="DL59" s="1829">
        <f t="shared" si="206"/>
        <v>0</v>
      </c>
      <c r="DM59" s="1439">
        <f t="shared" si="207"/>
        <v>0</v>
      </c>
      <c r="DN59" s="1439">
        <f t="shared" si="208"/>
        <v>0</v>
      </c>
      <c r="DO59" s="1439">
        <f t="shared" si="209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210"/>
        <v/>
      </c>
      <c r="CE60" s="1740" t="str">
        <f t="shared" si="188"/>
        <v/>
      </c>
      <c r="CF60" s="1741" t="str">
        <f t="shared" si="188"/>
        <v/>
      </c>
      <c r="CG60" s="1741" t="str">
        <f t="shared" si="188"/>
        <v/>
      </c>
      <c r="CH60" s="1741" t="str">
        <f t="shared" si="188"/>
        <v/>
      </c>
      <c r="CI60" s="1741" t="str">
        <f t="shared" si="188"/>
        <v/>
      </c>
      <c r="CJ60" s="1741" t="str">
        <f t="shared" si="188"/>
        <v/>
      </c>
      <c r="CK60" s="1742" t="str">
        <f t="shared" si="188"/>
        <v/>
      </c>
      <c r="CL60" s="1742" t="str">
        <f t="shared" si="188"/>
        <v/>
      </c>
      <c r="CM60" s="1742" t="str">
        <f t="shared" si="188"/>
        <v/>
      </c>
      <c r="CN60" s="1741" t="str">
        <f t="shared" si="188"/>
        <v/>
      </c>
      <c r="CO60" s="1741" t="str">
        <f t="shared" si="188"/>
        <v/>
      </c>
      <c r="CP60" s="1741" t="str">
        <f t="shared" si="188"/>
        <v/>
      </c>
      <c r="CQ60" s="1741" t="str">
        <f t="shared" si="188"/>
        <v/>
      </c>
      <c r="CR60" s="1741" t="str">
        <f t="shared" si="188"/>
        <v/>
      </c>
      <c r="CS60" s="1740" t="str">
        <f t="shared" si="188"/>
        <v/>
      </c>
      <c r="CT60" s="1743" t="str">
        <f t="shared" si="188"/>
        <v/>
      </c>
      <c r="CU60" s="1752" t="str">
        <f t="shared" si="189"/>
        <v/>
      </c>
      <c r="CV60" s="1753" t="str">
        <f t="shared" si="190"/>
        <v/>
      </c>
      <c r="CW60" s="1754" t="str">
        <f t="shared" si="191"/>
        <v/>
      </c>
      <c r="CX60" s="1754" t="str">
        <f t="shared" si="192"/>
        <v/>
      </c>
      <c r="CY60" s="1754" t="str">
        <f t="shared" si="193"/>
        <v/>
      </c>
      <c r="CZ60" s="1754" t="str">
        <f t="shared" si="194"/>
        <v/>
      </c>
      <c r="DA60" s="1754" t="str">
        <f t="shared" si="195"/>
        <v/>
      </c>
      <c r="DB60" s="1755" t="str">
        <f t="shared" si="196"/>
        <v/>
      </c>
      <c r="DC60" s="1755" t="str">
        <f t="shared" si="197"/>
        <v/>
      </c>
      <c r="DD60" s="1755" t="str">
        <f t="shared" si="198"/>
        <v/>
      </c>
      <c r="DE60" s="1754" t="str">
        <f t="shared" si="199"/>
        <v/>
      </c>
      <c r="DF60" s="1754" t="str">
        <f t="shared" si="200"/>
        <v/>
      </c>
      <c r="DG60" s="1754" t="str">
        <f t="shared" si="201"/>
        <v/>
      </c>
      <c r="DH60" s="1754" t="str">
        <f t="shared" si="202"/>
        <v/>
      </c>
      <c r="DI60" s="1754" t="str">
        <f t="shared" si="203"/>
        <v/>
      </c>
      <c r="DJ60" s="1753" t="str">
        <f t="shared" si="204"/>
        <v/>
      </c>
      <c r="DK60" s="1752" t="str">
        <f t="shared" si="205"/>
        <v/>
      </c>
      <c r="DL60" s="1829">
        <f t="shared" si="206"/>
        <v>10</v>
      </c>
      <c r="DM60" s="1439">
        <f t="shared" si="207"/>
        <v>0</v>
      </c>
      <c r="DN60" s="1439">
        <f t="shared" si="208"/>
        <v>0</v>
      </c>
      <c r="DO60" s="1439">
        <f t="shared" si="209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215">IF(B59="","",B59*B60/B$7/365/$G$1)</f>
        <v/>
      </c>
      <c r="C61" s="1407" t="str">
        <f t="shared" si="215"/>
        <v/>
      </c>
      <c r="D61" s="1407" t="str">
        <f t="shared" si="215"/>
        <v/>
      </c>
      <c r="E61" s="1407" t="str">
        <f t="shared" si="215"/>
        <v/>
      </c>
      <c r="F61" s="1407" t="str">
        <f t="shared" si="215"/>
        <v/>
      </c>
      <c r="G61" s="1407" t="str">
        <f t="shared" si="215"/>
        <v/>
      </c>
      <c r="H61" s="1407" t="str">
        <f t="shared" si="215"/>
        <v/>
      </c>
      <c r="I61" s="1407" t="str">
        <f t="shared" si="215"/>
        <v/>
      </c>
      <c r="J61" s="1407" t="str">
        <f t="shared" si="215"/>
        <v/>
      </c>
      <c r="K61" s="1407" t="str">
        <f t="shared" si="215"/>
        <v/>
      </c>
      <c r="L61" s="1407" t="str">
        <f t="shared" si="215"/>
        <v/>
      </c>
      <c r="M61" s="1407" t="str">
        <f t="shared" si="215"/>
        <v/>
      </c>
      <c r="N61" s="1407" t="str">
        <f t="shared" si="215"/>
        <v/>
      </c>
      <c r="O61" s="1407" t="str">
        <f t="shared" si="215"/>
        <v/>
      </c>
      <c r="P61" s="1407" t="str">
        <f t="shared" si="215"/>
        <v/>
      </c>
      <c r="Q61" s="1407" t="str">
        <f t="shared" si="215"/>
        <v/>
      </c>
      <c r="R61" s="1407" t="str">
        <f t="shared" si="215"/>
        <v/>
      </c>
      <c r="S61" s="1775"/>
      <c r="T61" s="1407" t="str">
        <f t="shared" ref="T61:AJ61" si="216">IF(T59="","",T59*T60/T$7/365/$G$1)</f>
        <v/>
      </c>
      <c r="U61" s="1407" t="str">
        <f t="shared" si="216"/>
        <v/>
      </c>
      <c r="V61" s="1407" t="str">
        <f t="shared" si="216"/>
        <v/>
      </c>
      <c r="W61" s="1407" t="str">
        <f t="shared" si="216"/>
        <v/>
      </c>
      <c r="X61" s="1407" t="str">
        <f t="shared" si="216"/>
        <v/>
      </c>
      <c r="Y61" s="1407" t="str">
        <f t="shared" si="216"/>
        <v/>
      </c>
      <c r="Z61" s="1407" t="str">
        <f t="shared" si="216"/>
        <v/>
      </c>
      <c r="AA61" s="1407" t="str">
        <f t="shared" si="216"/>
        <v/>
      </c>
      <c r="AB61" s="1407" t="str">
        <f t="shared" si="216"/>
        <v/>
      </c>
      <c r="AC61" s="1407" t="str">
        <f t="shared" si="216"/>
        <v/>
      </c>
      <c r="AD61" s="1407" t="str">
        <f t="shared" si="216"/>
        <v/>
      </c>
      <c r="AE61" s="1407" t="str">
        <f t="shared" si="216"/>
        <v/>
      </c>
      <c r="AF61" s="1407" t="str">
        <f t="shared" si="216"/>
        <v/>
      </c>
      <c r="AG61" s="1407" t="str">
        <f t="shared" si="216"/>
        <v/>
      </c>
      <c r="AH61" s="1407" t="str">
        <f t="shared" si="216"/>
        <v/>
      </c>
      <c r="AI61" s="1407" t="str">
        <f t="shared" si="216"/>
        <v/>
      </c>
      <c r="AJ61" s="1407" t="str">
        <f t="shared" si="216"/>
        <v/>
      </c>
      <c r="AK61" s="1775"/>
      <c r="AL61" s="1407" t="str">
        <f t="shared" ref="AL61:BB61" si="217">IF(AL59="","",AL59*AL60/AL$7/365/$G$1)</f>
        <v/>
      </c>
      <c r="AM61" s="1407" t="str">
        <f t="shared" si="217"/>
        <v/>
      </c>
      <c r="AN61" s="1407" t="str">
        <f t="shared" si="217"/>
        <v/>
      </c>
      <c r="AO61" s="1407" t="str">
        <f t="shared" si="217"/>
        <v/>
      </c>
      <c r="AP61" s="1407" t="str">
        <f t="shared" si="217"/>
        <v/>
      </c>
      <c r="AQ61" s="1407" t="str">
        <f t="shared" si="217"/>
        <v/>
      </c>
      <c r="AR61" s="1407" t="str">
        <f t="shared" si="217"/>
        <v/>
      </c>
      <c r="AS61" s="1407" t="str">
        <f t="shared" si="217"/>
        <v/>
      </c>
      <c r="AT61" s="1407" t="str">
        <f t="shared" si="217"/>
        <v/>
      </c>
      <c r="AU61" s="1407" t="str">
        <f t="shared" si="217"/>
        <v/>
      </c>
      <c r="AV61" s="1407" t="str">
        <f t="shared" si="217"/>
        <v/>
      </c>
      <c r="AW61" s="1407" t="str">
        <f t="shared" si="217"/>
        <v/>
      </c>
      <c r="AX61" s="1407" t="str">
        <f t="shared" si="217"/>
        <v/>
      </c>
      <c r="AY61" s="1407" t="str">
        <f t="shared" si="217"/>
        <v/>
      </c>
      <c r="AZ61" s="1407" t="str">
        <f t="shared" si="217"/>
        <v/>
      </c>
      <c r="BA61" s="1407" t="str">
        <f t="shared" si="217"/>
        <v/>
      </c>
      <c r="BB61" s="1407" t="str">
        <f t="shared" si="217"/>
        <v/>
      </c>
      <c r="BC61" s="1775"/>
      <c r="BD61" s="1407" t="str">
        <f t="shared" ref="BD61:BT61" si="218">IF(BD59="","",BD59*BD60/BD$7/365/$G$1)</f>
        <v/>
      </c>
      <c r="BE61" s="1407" t="str">
        <f t="shared" si="218"/>
        <v/>
      </c>
      <c r="BF61" s="1407" t="str">
        <f t="shared" si="218"/>
        <v/>
      </c>
      <c r="BG61" s="1407" t="str">
        <f t="shared" si="218"/>
        <v/>
      </c>
      <c r="BH61" s="1407" t="str">
        <f t="shared" si="218"/>
        <v/>
      </c>
      <c r="BI61" s="1407" t="str">
        <f t="shared" si="218"/>
        <v/>
      </c>
      <c r="BJ61" s="1407" t="str">
        <f t="shared" si="218"/>
        <v/>
      </c>
      <c r="BK61" s="1407" t="str">
        <f t="shared" si="218"/>
        <v/>
      </c>
      <c r="BL61" s="1407" t="str">
        <f t="shared" si="218"/>
        <v/>
      </c>
      <c r="BM61" s="1407" t="str">
        <f t="shared" si="218"/>
        <v/>
      </c>
      <c r="BN61" s="1407" t="str">
        <f t="shared" si="218"/>
        <v/>
      </c>
      <c r="BO61" s="1407" t="str">
        <f t="shared" si="218"/>
        <v/>
      </c>
      <c r="BP61" s="1407" t="str">
        <f t="shared" si="218"/>
        <v/>
      </c>
      <c r="BQ61" s="1407" t="str">
        <f t="shared" si="218"/>
        <v/>
      </c>
      <c r="BR61" s="1407" t="str">
        <f t="shared" si="218"/>
        <v/>
      </c>
      <c r="BS61" s="1407" t="str">
        <f t="shared" si="218"/>
        <v/>
      </c>
      <c r="BT61" s="1407" t="str">
        <f t="shared" si="218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210"/>
        <v/>
      </c>
      <c r="CE61" s="1757" t="str">
        <f t="shared" si="188"/>
        <v/>
      </c>
      <c r="CF61" s="1758" t="str">
        <f t="shared" si="188"/>
        <v/>
      </c>
      <c r="CG61" s="1758" t="str">
        <f t="shared" si="188"/>
        <v/>
      </c>
      <c r="CH61" s="1758" t="str">
        <f t="shared" si="188"/>
        <v/>
      </c>
      <c r="CI61" s="1758" t="str">
        <f t="shared" si="188"/>
        <v/>
      </c>
      <c r="CJ61" s="1758" t="str">
        <f t="shared" si="188"/>
        <v/>
      </c>
      <c r="CK61" s="1759" t="str">
        <f t="shared" si="188"/>
        <v/>
      </c>
      <c r="CL61" s="1759" t="str">
        <f t="shared" si="188"/>
        <v/>
      </c>
      <c r="CM61" s="1759" t="str">
        <f t="shared" si="188"/>
        <v/>
      </c>
      <c r="CN61" s="1758" t="str">
        <f t="shared" si="188"/>
        <v/>
      </c>
      <c r="CO61" s="1758" t="str">
        <f t="shared" si="188"/>
        <v/>
      </c>
      <c r="CP61" s="1758" t="str">
        <f t="shared" si="188"/>
        <v/>
      </c>
      <c r="CQ61" s="1758" t="str">
        <f t="shared" si="188"/>
        <v/>
      </c>
      <c r="CR61" s="1758" t="str">
        <f t="shared" si="188"/>
        <v/>
      </c>
      <c r="CS61" s="1757" t="str">
        <f t="shared" si="188"/>
        <v/>
      </c>
      <c r="CT61" s="1760" t="str">
        <f t="shared" si="188"/>
        <v/>
      </c>
      <c r="CU61" s="1761" t="str">
        <f t="shared" si="189"/>
        <v/>
      </c>
      <c r="CV61" s="1762" t="str">
        <f t="shared" si="190"/>
        <v/>
      </c>
      <c r="CW61" s="1763" t="str">
        <f t="shared" si="191"/>
        <v/>
      </c>
      <c r="CX61" s="1763" t="str">
        <f t="shared" si="192"/>
        <v/>
      </c>
      <c r="CY61" s="1763" t="str">
        <f t="shared" si="193"/>
        <v/>
      </c>
      <c r="CZ61" s="1763" t="str">
        <f t="shared" si="194"/>
        <v/>
      </c>
      <c r="DA61" s="1763" t="str">
        <f t="shared" si="195"/>
        <v/>
      </c>
      <c r="DB61" s="1764" t="str">
        <f t="shared" si="196"/>
        <v/>
      </c>
      <c r="DC61" s="1764" t="str">
        <f t="shared" si="197"/>
        <v/>
      </c>
      <c r="DD61" s="1764" t="str">
        <f t="shared" si="198"/>
        <v/>
      </c>
      <c r="DE61" s="1763" t="str">
        <f t="shared" si="199"/>
        <v/>
      </c>
      <c r="DF61" s="1763" t="str">
        <f t="shared" si="200"/>
        <v/>
      </c>
      <c r="DG61" s="1763" t="str">
        <f t="shared" si="201"/>
        <v/>
      </c>
      <c r="DH61" s="1763" t="str">
        <f t="shared" si="202"/>
        <v/>
      </c>
      <c r="DI61" s="1763" t="str">
        <f t="shared" si="203"/>
        <v/>
      </c>
      <c r="DJ61" s="1762" t="str">
        <f t="shared" si="204"/>
        <v/>
      </c>
      <c r="DK61" s="1761" t="str">
        <f t="shared" si="205"/>
        <v/>
      </c>
      <c r="DL61" s="1829">
        <f t="shared" si="206"/>
        <v>0</v>
      </c>
      <c r="DM61" s="1439">
        <f t="shared" si="207"/>
        <v>0</v>
      </c>
      <c r="DN61" s="1439">
        <f t="shared" si="208"/>
        <v>0</v>
      </c>
      <c r="DO61" s="1439">
        <f t="shared" si="209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210"/>
        <v/>
      </c>
      <c r="CE62" s="1740" t="str">
        <f t="shared" si="188"/>
        <v/>
      </c>
      <c r="CF62" s="1741" t="str">
        <f t="shared" si="188"/>
        <v/>
      </c>
      <c r="CG62" s="1741" t="str">
        <f t="shared" si="188"/>
        <v/>
      </c>
      <c r="CH62" s="1741" t="str">
        <f t="shared" si="188"/>
        <v/>
      </c>
      <c r="CI62" s="1741" t="str">
        <f t="shared" si="188"/>
        <v/>
      </c>
      <c r="CJ62" s="1741" t="str">
        <f t="shared" si="188"/>
        <v/>
      </c>
      <c r="CK62" s="1742" t="str">
        <f t="shared" si="188"/>
        <v/>
      </c>
      <c r="CL62" s="1742" t="str">
        <f t="shared" si="188"/>
        <v/>
      </c>
      <c r="CM62" s="1742" t="str">
        <f t="shared" si="188"/>
        <v/>
      </c>
      <c r="CN62" s="1741" t="str">
        <f t="shared" si="188"/>
        <v/>
      </c>
      <c r="CO62" s="1741" t="str">
        <f t="shared" si="188"/>
        <v/>
      </c>
      <c r="CP62" s="1741" t="str">
        <f t="shared" si="188"/>
        <v/>
      </c>
      <c r="CQ62" s="1741" t="str">
        <f t="shared" si="188"/>
        <v/>
      </c>
      <c r="CR62" s="1741" t="str">
        <f t="shared" si="188"/>
        <v/>
      </c>
      <c r="CS62" s="1740" t="str">
        <f t="shared" si="188"/>
        <v/>
      </c>
      <c r="CT62" s="1743" t="str">
        <f t="shared" si="188"/>
        <v/>
      </c>
      <c r="CU62" s="1752" t="str">
        <f t="shared" si="189"/>
        <v/>
      </c>
      <c r="CV62" s="1753" t="str">
        <f t="shared" si="190"/>
        <v/>
      </c>
      <c r="CW62" s="1754" t="str">
        <f t="shared" si="191"/>
        <v/>
      </c>
      <c r="CX62" s="1754" t="str">
        <f t="shared" si="192"/>
        <v/>
      </c>
      <c r="CY62" s="1754" t="str">
        <f t="shared" si="193"/>
        <v/>
      </c>
      <c r="CZ62" s="1754" t="str">
        <f t="shared" si="194"/>
        <v/>
      </c>
      <c r="DA62" s="1754" t="str">
        <f t="shared" si="195"/>
        <v/>
      </c>
      <c r="DB62" s="1755" t="str">
        <f t="shared" si="196"/>
        <v/>
      </c>
      <c r="DC62" s="1755" t="str">
        <f t="shared" si="197"/>
        <v/>
      </c>
      <c r="DD62" s="1755" t="str">
        <f t="shared" si="198"/>
        <v/>
      </c>
      <c r="DE62" s="1754" t="str">
        <f t="shared" si="199"/>
        <v/>
      </c>
      <c r="DF62" s="1754" t="str">
        <f t="shared" si="200"/>
        <v/>
      </c>
      <c r="DG62" s="1754" t="str">
        <f t="shared" si="201"/>
        <v/>
      </c>
      <c r="DH62" s="1754" t="str">
        <f t="shared" si="202"/>
        <v/>
      </c>
      <c r="DI62" s="1754" t="str">
        <f t="shared" si="203"/>
        <v/>
      </c>
      <c r="DJ62" s="1753" t="str">
        <f t="shared" si="204"/>
        <v/>
      </c>
      <c r="DK62" s="1752" t="str">
        <f t="shared" si="205"/>
        <v/>
      </c>
      <c r="DL62" s="1829">
        <f t="shared" si="206"/>
        <v>0</v>
      </c>
      <c r="DM62" s="1439">
        <f t="shared" si="207"/>
        <v>0</v>
      </c>
      <c r="DN62" s="1439">
        <f t="shared" si="208"/>
        <v>0</v>
      </c>
      <c r="DO62" s="1439">
        <f t="shared" si="209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219">IF(B62="","",B59*B62)</f>
        <v/>
      </c>
      <c r="C63" s="1408" t="str">
        <f t="shared" si="219"/>
        <v/>
      </c>
      <c r="D63" s="1408" t="str">
        <f t="shared" si="219"/>
        <v/>
      </c>
      <c r="E63" s="1408" t="str">
        <f t="shared" si="219"/>
        <v/>
      </c>
      <c r="F63" s="1408" t="str">
        <f t="shared" si="219"/>
        <v/>
      </c>
      <c r="G63" s="1408" t="str">
        <f t="shared" si="219"/>
        <v/>
      </c>
      <c r="H63" s="1408" t="str">
        <f t="shared" si="219"/>
        <v/>
      </c>
      <c r="I63" s="1408" t="str">
        <f t="shared" si="219"/>
        <v/>
      </c>
      <c r="J63" s="1408" t="str">
        <f t="shared" si="219"/>
        <v/>
      </c>
      <c r="K63" s="1408" t="str">
        <f t="shared" si="219"/>
        <v/>
      </c>
      <c r="L63" s="1408" t="str">
        <f t="shared" si="219"/>
        <v/>
      </c>
      <c r="M63" s="1408" t="str">
        <f t="shared" si="219"/>
        <v/>
      </c>
      <c r="N63" s="1408" t="str">
        <f t="shared" si="219"/>
        <v/>
      </c>
      <c r="O63" s="1408" t="str">
        <f t="shared" si="219"/>
        <v/>
      </c>
      <c r="P63" s="1408" t="str">
        <f t="shared" si="219"/>
        <v/>
      </c>
      <c r="Q63" s="1408" t="str">
        <f t="shared" si="219"/>
        <v/>
      </c>
      <c r="R63" s="1408" t="str">
        <f t="shared" si="219"/>
        <v/>
      </c>
      <c r="S63" s="1772"/>
      <c r="T63" s="1408" t="str">
        <f t="shared" ref="T63:AJ63" si="220">IF(T62="","",T59*T62)</f>
        <v/>
      </c>
      <c r="U63" s="1408" t="str">
        <f t="shared" si="220"/>
        <v/>
      </c>
      <c r="V63" s="1408" t="str">
        <f t="shared" si="220"/>
        <v/>
      </c>
      <c r="W63" s="1408" t="str">
        <f t="shared" si="220"/>
        <v/>
      </c>
      <c r="X63" s="1408" t="str">
        <f t="shared" si="220"/>
        <v/>
      </c>
      <c r="Y63" s="1408" t="str">
        <f t="shared" si="220"/>
        <v/>
      </c>
      <c r="Z63" s="1408" t="str">
        <f t="shared" si="220"/>
        <v/>
      </c>
      <c r="AA63" s="1408" t="str">
        <f t="shared" si="220"/>
        <v/>
      </c>
      <c r="AB63" s="1408" t="str">
        <f t="shared" si="220"/>
        <v/>
      </c>
      <c r="AC63" s="1408" t="str">
        <f t="shared" si="220"/>
        <v/>
      </c>
      <c r="AD63" s="1408" t="str">
        <f t="shared" si="220"/>
        <v/>
      </c>
      <c r="AE63" s="1408" t="str">
        <f t="shared" si="220"/>
        <v/>
      </c>
      <c r="AF63" s="1408" t="str">
        <f t="shared" si="220"/>
        <v/>
      </c>
      <c r="AG63" s="1408" t="str">
        <f t="shared" si="220"/>
        <v/>
      </c>
      <c r="AH63" s="1408" t="str">
        <f t="shared" si="220"/>
        <v/>
      </c>
      <c r="AI63" s="1408" t="str">
        <f t="shared" si="220"/>
        <v/>
      </c>
      <c r="AJ63" s="1408" t="str">
        <f t="shared" si="220"/>
        <v/>
      </c>
      <c r="AK63" s="1772"/>
      <c r="AL63" s="1408" t="str">
        <f t="shared" ref="AL63:BB63" si="221">IF(AL62="","",AL59*AL62)</f>
        <v/>
      </c>
      <c r="AM63" s="1408" t="str">
        <f t="shared" si="221"/>
        <v/>
      </c>
      <c r="AN63" s="1408" t="str">
        <f t="shared" si="221"/>
        <v/>
      </c>
      <c r="AO63" s="1408" t="str">
        <f t="shared" si="221"/>
        <v/>
      </c>
      <c r="AP63" s="1408" t="str">
        <f t="shared" si="221"/>
        <v/>
      </c>
      <c r="AQ63" s="1408" t="str">
        <f t="shared" si="221"/>
        <v/>
      </c>
      <c r="AR63" s="1408" t="str">
        <f t="shared" si="221"/>
        <v/>
      </c>
      <c r="AS63" s="1408" t="str">
        <f t="shared" si="221"/>
        <v/>
      </c>
      <c r="AT63" s="1408" t="str">
        <f t="shared" si="221"/>
        <v/>
      </c>
      <c r="AU63" s="1408" t="str">
        <f t="shared" si="221"/>
        <v/>
      </c>
      <c r="AV63" s="1408" t="str">
        <f t="shared" si="221"/>
        <v/>
      </c>
      <c r="AW63" s="1408" t="str">
        <f t="shared" si="221"/>
        <v/>
      </c>
      <c r="AX63" s="1408" t="str">
        <f t="shared" si="221"/>
        <v/>
      </c>
      <c r="AY63" s="1408" t="str">
        <f t="shared" si="221"/>
        <v/>
      </c>
      <c r="AZ63" s="1408" t="str">
        <f t="shared" si="221"/>
        <v/>
      </c>
      <c r="BA63" s="1408" t="str">
        <f t="shared" si="221"/>
        <v/>
      </c>
      <c r="BB63" s="1408" t="str">
        <f t="shared" si="221"/>
        <v/>
      </c>
      <c r="BC63" s="1772"/>
      <c r="BD63" s="1408" t="str">
        <f t="shared" ref="BD63:BT63" si="222">IF(BD62="","",BD59*BD62)</f>
        <v/>
      </c>
      <c r="BE63" s="1408" t="str">
        <f t="shared" si="222"/>
        <v/>
      </c>
      <c r="BF63" s="1408" t="str">
        <f t="shared" si="222"/>
        <v/>
      </c>
      <c r="BG63" s="1408" t="str">
        <f t="shared" si="222"/>
        <v/>
      </c>
      <c r="BH63" s="1408" t="str">
        <f t="shared" si="222"/>
        <v/>
      </c>
      <c r="BI63" s="1408" t="str">
        <f t="shared" si="222"/>
        <v/>
      </c>
      <c r="BJ63" s="1408" t="str">
        <f t="shared" si="222"/>
        <v/>
      </c>
      <c r="BK63" s="1408" t="str">
        <f t="shared" si="222"/>
        <v/>
      </c>
      <c r="BL63" s="1408" t="str">
        <f t="shared" si="222"/>
        <v/>
      </c>
      <c r="BM63" s="1408" t="str">
        <f t="shared" si="222"/>
        <v/>
      </c>
      <c r="BN63" s="1408" t="str">
        <f t="shared" si="222"/>
        <v/>
      </c>
      <c r="BO63" s="1408" t="str">
        <f t="shared" si="222"/>
        <v/>
      </c>
      <c r="BP63" s="1408" t="str">
        <f t="shared" si="222"/>
        <v/>
      </c>
      <c r="BQ63" s="1408" t="str">
        <f t="shared" si="222"/>
        <v/>
      </c>
      <c r="BR63" s="1408" t="str">
        <f t="shared" si="222"/>
        <v/>
      </c>
      <c r="BS63" s="1408" t="str">
        <f t="shared" si="222"/>
        <v/>
      </c>
      <c r="BT63" s="1408" t="str">
        <f t="shared" si="222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210"/>
        <v/>
      </c>
      <c r="CE63" s="1740" t="str">
        <f t="shared" si="188"/>
        <v/>
      </c>
      <c r="CF63" s="1741" t="str">
        <f t="shared" si="188"/>
        <v/>
      </c>
      <c r="CG63" s="1741" t="str">
        <f t="shared" si="188"/>
        <v/>
      </c>
      <c r="CH63" s="1741" t="str">
        <f t="shared" si="188"/>
        <v/>
      </c>
      <c r="CI63" s="1741" t="str">
        <f t="shared" si="188"/>
        <v/>
      </c>
      <c r="CJ63" s="1741" t="str">
        <f t="shared" si="188"/>
        <v/>
      </c>
      <c r="CK63" s="1742" t="str">
        <f t="shared" si="188"/>
        <v/>
      </c>
      <c r="CL63" s="1742" t="str">
        <f t="shared" si="188"/>
        <v/>
      </c>
      <c r="CM63" s="1742" t="str">
        <f t="shared" si="188"/>
        <v/>
      </c>
      <c r="CN63" s="1741" t="str">
        <f t="shared" si="188"/>
        <v/>
      </c>
      <c r="CO63" s="1741" t="str">
        <f t="shared" si="188"/>
        <v/>
      </c>
      <c r="CP63" s="1741" t="str">
        <f t="shared" si="188"/>
        <v/>
      </c>
      <c r="CQ63" s="1741" t="str">
        <f t="shared" si="188"/>
        <v/>
      </c>
      <c r="CR63" s="1741" t="str">
        <f t="shared" si="188"/>
        <v/>
      </c>
      <c r="CS63" s="1740" t="str">
        <f t="shared" si="188"/>
        <v/>
      </c>
      <c r="CT63" s="1743" t="str">
        <f t="shared" si="188"/>
        <v/>
      </c>
      <c r="CU63" s="1752" t="str">
        <f t="shared" si="189"/>
        <v/>
      </c>
      <c r="CV63" s="1753" t="str">
        <f t="shared" si="190"/>
        <v/>
      </c>
      <c r="CW63" s="1754" t="str">
        <f t="shared" si="191"/>
        <v/>
      </c>
      <c r="CX63" s="1754" t="str">
        <f t="shared" si="192"/>
        <v/>
      </c>
      <c r="CY63" s="1754" t="str">
        <f t="shared" si="193"/>
        <v/>
      </c>
      <c r="CZ63" s="1754" t="str">
        <f t="shared" si="194"/>
        <v/>
      </c>
      <c r="DA63" s="1754" t="str">
        <f t="shared" si="195"/>
        <v/>
      </c>
      <c r="DB63" s="1755" t="str">
        <f t="shared" si="196"/>
        <v/>
      </c>
      <c r="DC63" s="1755" t="str">
        <f t="shared" si="197"/>
        <v/>
      </c>
      <c r="DD63" s="1755" t="str">
        <f t="shared" si="198"/>
        <v/>
      </c>
      <c r="DE63" s="1754" t="str">
        <f t="shared" si="199"/>
        <v/>
      </c>
      <c r="DF63" s="1754" t="str">
        <f t="shared" si="200"/>
        <v/>
      </c>
      <c r="DG63" s="1754" t="str">
        <f t="shared" si="201"/>
        <v/>
      </c>
      <c r="DH63" s="1754" t="str">
        <f t="shared" si="202"/>
        <v/>
      </c>
      <c r="DI63" s="1754" t="str">
        <f t="shared" si="203"/>
        <v/>
      </c>
      <c r="DJ63" s="1753" t="str">
        <f t="shared" si="204"/>
        <v/>
      </c>
      <c r="DK63" s="1752" t="str">
        <f t="shared" si="205"/>
        <v/>
      </c>
      <c r="DL63" s="1829">
        <f t="shared" si="206"/>
        <v>0</v>
      </c>
      <c r="DM63" s="1439">
        <f t="shared" si="207"/>
        <v>0</v>
      </c>
      <c r="DN63" s="1439">
        <f t="shared" si="208"/>
        <v>0</v>
      </c>
      <c r="DO63" s="1439">
        <f t="shared" si="209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1180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2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223"/>
        <v/>
      </c>
      <c r="CF65" s="1741" t="str">
        <f t="shared" si="223"/>
        <v/>
      </c>
      <c r="CG65" s="1741" t="str">
        <f t="shared" si="223"/>
        <v/>
      </c>
      <c r="CH65" s="1741" t="str">
        <f t="shared" si="223"/>
        <v/>
      </c>
      <c r="CI65" s="1741" t="str">
        <f t="shared" si="223"/>
        <v/>
      </c>
      <c r="CJ65" s="1741" t="str">
        <f t="shared" si="223"/>
        <v/>
      </c>
      <c r="CK65" s="1742" t="str">
        <f t="shared" si="223"/>
        <v/>
      </c>
      <c r="CL65" s="1742" t="str">
        <f t="shared" si="223"/>
        <v/>
      </c>
      <c r="CM65" s="1742" t="str">
        <f t="shared" si="223"/>
        <v/>
      </c>
      <c r="CN65" s="1741" t="str">
        <f t="shared" si="223"/>
        <v/>
      </c>
      <c r="CO65" s="1741" t="str">
        <f t="shared" si="223"/>
        <v/>
      </c>
      <c r="CP65" s="1741" t="str">
        <f t="shared" si="223"/>
        <v/>
      </c>
      <c r="CQ65" s="1741" t="str">
        <f t="shared" si="223"/>
        <v/>
      </c>
      <c r="CR65" s="1741" t="str">
        <f t="shared" si="223"/>
        <v/>
      </c>
      <c r="CS65" s="1740" t="str">
        <f t="shared" si="223"/>
        <v/>
      </c>
      <c r="CT65" s="1743" t="str">
        <f t="shared" ref="CE65:CT72" si="2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2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2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2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2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2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2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2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2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2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2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2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2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2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2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2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2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2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242">COUNT(B65:R65)</f>
        <v>0</v>
      </c>
      <c r="DM65" s="1439">
        <f t="shared" ref="DM65:DM72" si="243">COUNT(T65:AJ65)</f>
        <v>0</v>
      </c>
      <c r="DN65" s="1439">
        <f t="shared" ref="DN65:DN72" si="244">COUNT(AL65:BB65)</f>
        <v>0</v>
      </c>
      <c r="DO65" s="1439">
        <f t="shared" ref="DO65:DO72" si="245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2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224"/>
        <v/>
      </c>
      <c r="CF66" s="1741" t="str">
        <f t="shared" si="224"/>
        <v/>
      </c>
      <c r="CG66" s="1741" t="str">
        <f t="shared" si="224"/>
        <v/>
      </c>
      <c r="CH66" s="1741" t="str">
        <f t="shared" si="224"/>
        <v/>
      </c>
      <c r="CI66" s="1741" t="str">
        <f t="shared" si="224"/>
        <v/>
      </c>
      <c r="CJ66" s="1741" t="str">
        <f t="shared" si="224"/>
        <v/>
      </c>
      <c r="CK66" s="1742" t="str">
        <f t="shared" si="224"/>
        <v/>
      </c>
      <c r="CL66" s="1742" t="str">
        <f t="shared" si="224"/>
        <v/>
      </c>
      <c r="CM66" s="1742" t="str">
        <f t="shared" si="224"/>
        <v/>
      </c>
      <c r="CN66" s="1741" t="str">
        <f t="shared" si="224"/>
        <v/>
      </c>
      <c r="CO66" s="1741" t="str">
        <f t="shared" si="224"/>
        <v/>
      </c>
      <c r="CP66" s="1741" t="str">
        <f t="shared" si="224"/>
        <v/>
      </c>
      <c r="CQ66" s="1741" t="str">
        <f t="shared" si="224"/>
        <v/>
      </c>
      <c r="CR66" s="1741" t="str">
        <f t="shared" si="224"/>
        <v/>
      </c>
      <c r="CS66" s="1740" t="str">
        <f t="shared" si="224"/>
        <v/>
      </c>
      <c r="CT66" s="1743" t="str">
        <f t="shared" si="224"/>
        <v/>
      </c>
      <c r="CU66" s="1752" t="str">
        <f t="shared" si="225"/>
        <v/>
      </c>
      <c r="CV66" s="1753" t="str">
        <f t="shared" si="226"/>
        <v/>
      </c>
      <c r="CW66" s="1754" t="str">
        <f t="shared" si="227"/>
        <v/>
      </c>
      <c r="CX66" s="1754" t="str">
        <f t="shared" si="228"/>
        <v/>
      </c>
      <c r="CY66" s="1754" t="str">
        <f t="shared" si="229"/>
        <v/>
      </c>
      <c r="CZ66" s="1754" t="str">
        <f t="shared" si="230"/>
        <v/>
      </c>
      <c r="DA66" s="1754" t="str">
        <f t="shared" si="231"/>
        <v/>
      </c>
      <c r="DB66" s="1755" t="str">
        <f t="shared" si="232"/>
        <v/>
      </c>
      <c r="DC66" s="1755" t="str">
        <f t="shared" si="233"/>
        <v/>
      </c>
      <c r="DD66" s="1755" t="str">
        <f t="shared" si="234"/>
        <v/>
      </c>
      <c r="DE66" s="1754" t="str">
        <f t="shared" si="235"/>
        <v/>
      </c>
      <c r="DF66" s="1754" t="str">
        <f t="shared" si="236"/>
        <v/>
      </c>
      <c r="DG66" s="1754" t="str">
        <f t="shared" si="237"/>
        <v/>
      </c>
      <c r="DH66" s="1754" t="str">
        <f t="shared" si="238"/>
        <v/>
      </c>
      <c r="DI66" s="1754" t="str">
        <f t="shared" si="239"/>
        <v/>
      </c>
      <c r="DJ66" s="1753" t="str">
        <f t="shared" si="240"/>
        <v/>
      </c>
      <c r="DK66" s="1752" t="str">
        <f t="shared" si="241"/>
        <v/>
      </c>
      <c r="DL66" s="1829">
        <f t="shared" si="242"/>
        <v>0</v>
      </c>
      <c r="DM66" s="1439">
        <f t="shared" si="243"/>
        <v>0</v>
      </c>
      <c r="DN66" s="1439">
        <f t="shared" si="244"/>
        <v>0</v>
      </c>
      <c r="DO66" s="1439">
        <f t="shared" si="245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246"/>
        <v/>
      </c>
      <c r="CE67" s="1740" t="str">
        <f t="shared" si="224"/>
        <v/>
      </c>
      <c r="CF67" s="1741" t="str">
        <f t="shared" si="224"/>
        <v/>
      </c>
      <c r="CG67" s="1741" t="str">
        <f t="shared" si="224"/>
        <v/>
      </c>
      <c r="CH67" s="1741" t="str">
        <f t="shared" si="224"/>
        <v/>
      </c>
      <c r="CI67" s="1741" t="str">
        <f t="shared" si="224"/>
        <v/>
      </c>
      <c r="CJ67" s="1741" t="str">
        <f t="shared" si="224"/>
        <v/>
      </c>
      <c r="CK67" s="1742" t="str">
        <f t="shared" si="224"/>
        <v/>
      </c>
      <c r="CL67" s="1742" t="str">
        <f t="shared" si="224"/>
        <v/>
      </c>
      <c r="CM67" s="1742" t="str">
        <f t="shared" si="224"/>
        <v/>
      </c>
      <c r="CN67" s="1741" t="str">
        <f t="shared" si="224"/>
        <v/>
      </c>
      <c r="CO67" s="1741" t="str">
        <f t="shared" si="224"/>
        <v/>
      </c>
      <c r="CP67" s="1741" t="str">
        <f t="shared" si="224"/>
        <v/>
      </c>
      <c r="CQ67" s="1741" t="str">
        <f t="shared" si="224"/>
        <v/>
      </c>
      <c r="CR67" s="1741" t="str">
        <f t="shared" si="224"/>
        <v/>
      </c>
      <c r="CS67" s="1740" t="str">
        <f t="shared" si="224"/>
        <v/>
      </c>
      <c r="CT67" s="1743" t="str">
        <f t="shared" si="224"/>
        <v/>
      </c>
      <c r="CU67" s="1752" t="str">
        <f t="shared" si="225"/>
        <v/>
      </c>
      <c r="CV67" s="1753" t="str">
        <f t="shared" si="226"/>
        <v/>
      </c>
      <c r="CW67" s="1754" t="str">
        <f t="shared" si="227"/>
        <v/>
      </c>
      <c r="CX67" s="1754" t="str">
        <f t="shared" si="228"/>
        <v/>
      </c>
      <c r="CY67" s="1754" t="str">
        <f t="shared" si="229"/>
        <v/>
      </c>
      <c r="CZ67" s="1754" t="str">
        <f t="shared" si="230"/>
        <v/>
      </c>
      <c r="DA67" s="1754" t="str">
        <f t="shared" si="231"/>
        <v/>
      </c>
      <c r="DB67" s="1755" t="str">
        <f t="shared" si="232"/>
        <v/>
      </c>
      <c r="DC67" s="1755" t="str">
        <f t="shared" si="233"/>
        <v/>
      </c>
      <c r="DD67" s="1755" t="str">
        <f t="shared" si="234"/>
        <v/>
      </c>
      <c r="DE67" s="1754" t="str">
        <f t="shared" si="235"/>
        <v/>
      </c>
      <c r="DF67" s="1754" t="str">
        <f t="shared" si="236"/>
        <v/>
      </c>
      <c r="DG67" s="1754" t="str">
        <f t="shared" si="237"/>
        <v/>
      </c>
      <c r="DH67" s="1754" t="str">
        <f t="shared" si="238"/>
        <v/>
      </c>
      <c r="DI67" s="1754" t="str">
        <f t="shared" si="239"/>
        <v/>
      </c>
      <c r="DJ67" s="1753" t="str">
        <f t="shared" si="240"/>
        <v/>
      </c>
      <c r="DK67" s="1752" t="str">
        <f t="shared" si="241"/>
        <v/>
      </c>
      <c r="DL67" s="1829">
        <f t="shared" si="242"/>
        <v>0</v>
      </c>
      <c r="DM67" s="1439">
        <f t="shared" si="243"/>
        <v>0</v>
      </c>
      <c r="DN67" s="1439">
        <f t="shared" si="244"/>
        <v>0</v>
      </c>
      <c r="DO67" s="1439">
        <f t="shared" si="245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247">IF(B66="","",B65*B66*B67)</f>
        <v/>
      </c>
      <c r="C68" s="1408" t="str">
        <f t="shared" si="247"/>
        <v/>
      </c>
      <c r="D68" s="1408" t="str">
        <f t="shared" si="247"/>
        <v/>
      </c>
      <c r="E68" s="1408" t="str">
        <f t="shared" si="247"/>
        <v/>
      </c>
      <c r="F68" s="1408" t="str">
        <f t="shared" si="247"/>
        <v/>
      </c>
      <c r="G68" s="1408" t="str">
        <f t="shared" si="247"/>
        <v/>
      </c>
      <c r="H68" s="1408" t="str">
        <f t="shared" si="247"/>
        <v/>
      </c>
      <c r="I68" s="1408" t="str">
        <f t="shared" si="247"/>
        <v/>
      </c>
      <c r="J68" s="1408" t="str">
        <f t="shared" si="247"/>
        <v/>
      </c>
      <c r="K68" s="1408" t="str">
        <f t="shared" si="247"/>
        <v/>
      </c>
      <c r="L68" s="1408" t="str">
        <f t="shared" si="247"/>
        <v/>
      </c>
      <c r="M68" s="1408" t="str">
        <f t="shared" si="247"/>
        <v/>
      </c>
      <c r="N68" s="1408" t="str">
        <f t="shared" si="247"/>
        <v/>
      </c>
      <c r="O68" s="1408" t="str">
        <f t="shared" si="247"/>
        <v/>
      </c>
      <c r="P68" s="1408" t="str">
        <f t="shared" si="247"/>
        <v/>
      </c>
      <c r="Q68" s="1408" t="str">
        <f t="shared" si="247"/>
        <v/>
      </c>
      <c r="R68" s="1408" t="str">
        <f t="shared" si="247"/>
        <v/>
      </c>
      <c r="S68" s="1772"/>
      <c r="T68" s="1408" t="str">
        <f t="shared" ref="T68:AJ68" si="248">IF(T66="","",T65*T66*T67)</f>
        <v/>
      </c>
      <c r="U68" s="1408" t="str">
        <f t="shared" si="248"/>
        <v/>
      </c>
      <c r="V68" s="1408" t="str">
        <f t="shared" si="248"/>
        <v/>
      </c>
      <c r="W68" s="1408" t="str">
        <f t="shared" si="248"/>
        <v/>
      </c>
      <c r="X68" s="1408" t="str">
        <f t="shared" si="248"/>
        <v/>
      </c>
      <c r="Y68" s="1408" t="str">
        <f t="shared" si="248"/>
        <v/>
      </c>
      <c r="Z68" s="1408" t="str">
        <f t="shared" si="248"/>
        <v/>
      </c>
      <c r="AA68" s="1408" t="str">
        <f t="shared" si="248"/>
        <v/>
      </c>
      <c r="AB68" s="1408" t="str">
        <f t="shared" si="248"/>
        <v/>
      </c>
      <c r="AC68" s="1408" t="str">
        <f t="shared" si="248"/>
        <v/>
      </c>
      <c r="AD68" s="1408" t="str">
        <f t="shared" si="248"/>
        <v/>
      </c>
      <c r="AE68" s="1408" t="str">
        <f t="shared" si="248"/>
        <v/>
      </c>
      <c r="AF68" s="1408" t="str">
        <f t="shared" si="248"/>
        <v/>
      </c>
      <c r="AG68" s="1408" t="str">
        <f t="shared" si="248"/>
        <v/>
      </c>
      <c r="AH68" s="1408" t="str">
        <f t="shared" si="248"/>
        <v/>
      </c>
      <c r="AI68" s="1408" t="str">
        <f t="shared" si="248"/>
        <v/>
      </c>
      <c r="AJ68" s="1408" t="str">
        <f t="shared" si="248"/>
        <v/>
      </c>
      <c r="AK68" s="1772"/>
      <c r="AL68" s="1408" t="str">
        <f t="shared" ref="AL68:BB68" si="249">IF(AL66="","",AL65*AL66*AL67)</f>
        <v/>
      </c>
      <c r="AM68" s="1408" t="str">
        <f t="shared" si="249"/>
        <v/>
      </c>
      <c r="AN68" s="1408" t="str">
        <f t="shared" si="249"/>
        <v/>
      </c>
      <c r="AO68" s="1408" t="str">
        <f t="shared" si="249"/>
        <v/>
      </c>
      <c r="AP68" s="1408" t="str">
        <f t="shared" si="249"/>
        <v/>
      </c>
      <c r="AQ68" s="1408" t="str">
        <f t="shared" si="249"/>
        <v/>
      </c>
      <c r="AR68" s="1408" t="str">
        <f t="shared" si="249"/>
        <v/>
      </c>
      <c r="AS68" s="1408" t="str">
        <f t="shared" si="249"/>
        <v/>
      </c>
      <c r="AT68" s="1408" t="str">
        <f t="shared" si="249"/>
        <v/>
      </c>
      <c r="AU68" s="1408" t="str">
        <f t="shared" si="249"/>
        <v/>
      </c>
      <c r="AV68" s="1408" t="str">
        <f t="shared" si="249"/>
        <v/>
      </c>
      <c r="AW68" s="1408" t="str">
        <f t="shared" si="249"/>
        <v/>
      </c>
      <c r="AX68" s="1408" t="str">
        <f t="shared" si="249"/>
        <v/>
      </c>
      <c r="AY68" s="1408" t="str">
        <f t="shared" si="249"/>
        <v/>
      </c>
      <c r="AZ68" s="1408" t="str">
        <f t="shared" si="249"/>
        <v/>
      </c>
      <c r="BA68" s="1408" t="str">
        <f t="shared" si="249"/>
        <v/>
      </c>
      <c r="BB68" s="1408" t="str">
        <f t="shared" si="249"/>
        <v/>
      </c>
      <c r="BC68" s="1772"/>
      <c r="BD68" s="1408" t="str">
        <f t="shared" ref="BD68:BT68" si="250">IF(BD66="","",BD65*BD66*BD67)</f>
        <v/>
      </c>
      <c r="BE68" s="1408" t="str">
        <f t="shared" si="250"/>
        <v/>
      </c>
      <c r="BF68" s="1408" t="str">
        <f t="shared" si="250"/>
        <v/>
      </c>
      <c r="BG68" s="1408" t="str">
        <f t="shared" si="250"/>
        <v/>
      </c>
      <c r="BH68" s="1408" t="str">
        <f t="shared" si="250"/>
        <v/>
      </c>
      <c r="BI68" s="1408" t="str">
        <f t="shared" si="250"/>
        <v/>
      </c>
      <c r="BJ68" s="1408" t="str">
        <f t="shared" si="250"/>
        <v/>
      </c>
      <c r="BK68" s="1408" t="str">
        <f t="shared" si="250"/>
        <v/>
      </c>
      <c r="BL68" s="1408" t="str">
        <f t="shared" si="250"/>
        <v/>
      </c>
      <c r="BM68" s="1408" t="str">
        <f t="shared" si="250"/>
        <v/>
      </c>
      <c r="BN68" s="1408" t="str">
        <f t="shared" si="250"/>
        <v/>
      </c>
      <c r="BO68" s="1408" t="str">
        <f t="shared" si="250"/>
        <v/>
      </c>
      <c r="BP68" s="1408" t="str">
        <f t="shared" si="250"/>
        <v/>
      </c>
      <c r="BQ68" s="1408" t="str">
        <f t="shared" si="250"/>
        <v/>
      </c>
      <c r="BR68" s="1408" t="str">
        <f t="shared" si="250"/>
        <v/>
      </c>
      <c r="BS68" s="1408" t="str">
        <f t="shared" si="250"/>
        <v/>
      </c>
      <c r="BT68" s="1408" t="str">
        <f t="shared" si="250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251">IF(DL68&lt;3,"",(SUM(B68:R68)-MIN(B68:R68)-MAX(B68:R68))/(DL68-2))</f>
        <v/>
      </c>
      <c r="CA68" s="1833" t="str">
        <f t="shared" ref="CA68:CA74" si="252">IF(DM68&lt;3,"",(SUM(T68:AJ68)-MIN(T68:AJ68)-MAX(T68:AJ68))/(DM68-2))</f>
        <v/>
      </c>
      <c r="CB68" s="1833" t="str">
        <f t="shared" ref="CB68:CB74" si="253">IF(DN68&lt;3,"",(SUM(AL68:BB68)-MIN(AL68:BB68)-MAX(AL68:BB68))/(DN68-2))</f>
        <v/>
      </c>
      <c r="CC68" s="1834" t="str">
        <f t="shared" ref="CC68:CC74" si="254">IF(DO68&lt;3,"",(SUM(BD68:BT68)-MIN(BD68:BT68)-MAX(BD68:BT68))/(DO68-2))</f>
        <v/>
      </c>
      <c r="CD68" s="1739" t="str">
        <f t="shared" si="246"/>
        <v/>
      </c>
      <c r="CE68" s="1740" t="str">
        <f t="shared" si="224"/>
        <v/>
      </c>
      <c r="CF68" s="1741" t="str">
        <f t="shared" si="224"/>
        <v/>
      </c>
      <c r="CG68" s="1741" t="str">
        <f t="shared" si="224"/>
        <v/>
      </c>
      <c r="CH68" s="1741" t="str">
        <f t="shared" si="224"/>
        <v/>
      </c>
      <c r="CI68" s="1741" t="str">
        <f t="shared" si="224"/>
        <v/>
      </c>
      <c r="CJ68" s="1741" t="str">
        <f t="shared" si="224"/>
        <v/>
      </c>
      <c r="CK68" s="1742" t="str">
        <f t="shared" si="224"/>
        <v/>
      </c>
      <c r="CL68" s="1742" t="str">
        <f t="shared" si="224"/>
        <v/>
      </c>
      <c r="CM68" s="1742" t="str">
        <f t="shared" si="224"/>
        <v/>
      </c>
      <c r="CN68" s="1741" t="str">
        <f t="shared" si="224"/>
        <v/>
      </c>
      <c r="CO68" s="1741" t="str">
        <f t="shared" si="224"/>
        <v/>
      </c>
      <c r="CP68" s="1741" t="str">
        <f t="shared" si="224"/>
        <v/>
      </c>
      <c r="CQ68" s="1741" t="str">
        <f t="shared" si="224"/>
        <v/>
      </c>
      <c r="CR68" s="1741" t="str">
        <f t="shared" si="224"/>
        <v/>
      </c>
      <c r="CS68" s="1740" t="str">
        <f t="shared" si="224"/>
        <v/>
      </c>
      <c r="CT68" s="1743" t="str">
        <f t="shared" si="224"/>
        <v/>
      </c>
      <c r="CU68" s="1752" t="str">
        <f t="shared" si="225"/>
        <v/>
      </c>
      <c r="CV68" s="1753" t="str">
        <f t="shared" si="226"/>
        <v/>
      </c>
      <c r="CW68" s="1754" t="str">
        <f t="shared" si="227"/>
        <v/>
      </c>
      <c r="CX68" s="1754" t="str">
        <f t="shared" si="228"/>
        <v/>
      </c>
      <c r="CY68" s="1754" t="str">
        <f t="shared" si="229"/>
        <v/>
      </c>
      <c r="CZ68" s="1754" t="str">
        <f t="shared" si="230"/>
        <v/>
      </c>
      <c r="DA68" s="1754" t="str">
        <f t="shared" si="231"/>
        <v/>
      </c>
      <c r="DB68" s="1755" t="str">
        <f t="shared" si="232"/>
        <v/>
      </c>
      <c r="DC68" s="1755" t="str">
        <f t="shared" si="233"/>
        <v/>
      </c>
      <c r="DD68" s="1755" t="str">
        <f t="shared" si="234"/>
        <v/>
      </c>
      <c r="DE68" s="1754" t="str">
        <f t="shared" si="235"/>
        <v/>
      </c>
      <c r="DF68" s="1754" t="str">
        <f t="shared" si="236"/>
        <v/>
      </c>
      <c r="DG68" s="1754" t="str">
        <f t="shared" si="237"/>
        <v/>
      </c>
      <c r="DH68" s="1754" t="str">
        <f t="shared" si="238"/>
        <v/>
      </c>
      <c r="DI68" s="1754" t="str">
        <f t="shared" si="239"/>
        <v/>
      </c>
      <c r="DJ68" s="1753" t="str">
        <f t="shared" si="240"/>
        <v/>
      </c>
      <c r="DK68" s="1752" t="str">
        <f t="shared" si="241"/>
        <v/>
      </c>
      <c r="DL68" s="1829">
        <f t="shared" si="242"/>
        <v>0</v>
      </c>
      <c r="DM68" s="1439">
        <f t="shared" si="243"/>
        <v>0</v>
      </c>
      <c r="DN68" s="1439">
        <f t="shared" si="244"/>
        <v>0</v>
      </c>
      <c r="DO68" s="1439">
        <f t="shared" si="245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251"/>
        <v/>
      </c>
      <c r="CA69" s="1833" t="str">
        <f t="shared" si="252"/>
        <v/>
      </c>
      <c r="CB69" s="1833" t="str">
        <f t="shared" si="253"/>
        <v/>
      </c>
      <c r="CC69" s="1834" t="str">
        <f t="shared" si="254"/>
        <v/>
      </c>
      <c r="CD69" s="1739" t="str">
        <f t="shared" si="246"/>
        <v/>
      </c>
      <c r="CE69" s="1740" t="str">
        <f t="shared" si="224"/>
        <v/>
      </c>
      <c r="CF69" s="1741" t="str">
        <f t="shared" si="224"/>
        <v/>
      </c>
      <c r="CG69" s="1741" t="str">
        <f t="shared" si="224"/>
        <v/>
      </c>
      <c r="CH69" s="1741" t="str">
        <f t="shared" si="224"/>
        <v/>
      </c>
      <c r="CI69" s="1741" t="str">
        <f t="shared" si="224"/>
        <v/>
      </c>
      <c r="CJ69" s="1741" t="str">
        <f t="shared" si="224"/>
        <v/>
      </c>
      <c r="CK69" s="1742" t="str">
        <f t="shared" si="224"/>
        <v/>
      </c>
      <c r="CL69" s="1742" t="str">
        <f t="shared" si="224"/>
        <v/>
      </c>
      <c r="CM69" s="1742" t="str">
        <f t="shared" si="224"/>
        <v/>
      </c>
      <c r="CN69" s="1741" t="str">
        <f t="shared" si="224"/>
        <v/>
      </c>
      <c r="CO69" s="1741" t="str">
        <f t="shared" si="224"/>
        <v/>
      </c>
      <c r="CP69" s="1741" t="str">
        <f t="shared" si="224"/>
        <v/>
      </c>
      <c r="CQ69" s="1741" t="str">
        <f t="shared" si="224"/>
        <v/>
      </c>
      <c r="CR69" s="1741" t="str">
        <f t="shared" si="224"/>
        <v/>
      </c>
      <c r="CS69" s="1740" t="str">
        <f t="shared" si="224"/>
        <v/>
      </c>
      <c r="CT69" s="1743" t="str">
        <f t="shared" si="224"/>
        <v/>
      </c>
      <c r="CU69" s="1752" t="str">
        <f t="shared" si="225"/>
        <v/>
      </c>
      <c r="CV69" s="1753" t="str">
        <f t="shared" si="226"/>
        <v/>
      </c>
      <c r="CW69" s="1754" t="str">
        <f t="shared" si="227"/>
        <v/>
      </c>
      <c r="CX69" s="1754" t="str">
        <f t="shared" si="228"/>
        <v/>
      </c>
      <c r="CY69" s="1754" t="str">
        <f t="shared" si="229"/>
        <v/>
      </c>
      <c r="CZ69" s="1754" t="str">
        <f t="shared" si="230"/>
        <v/>
      </c>
      <c r="DA69" s="1754" t="str">
        <f t="shared" si="231"/>
        <v/>
      </c>
      <c r="DB69" s="1755" t="str">
        <f t="shared" si="232"/>
        <v/>
      </c>
      <c r="DC69" s="1755" t="str">
        <f t="shared" si="233"/>
        <v/>
      </c>
      <c r="DD69" s="1755" t="str">
        <f t="shared" si="234"/>
        <v/>
      </c>
      <c r="DE69" s="1754" t="str">
        <f t="shared" si="235"/>
        <v/>
      </c>
      <c r="DF69" s="1754" t="str">
        <f t="shared" si="236"/>
        <v/>
      </c>
      <c r="DG69" s="1754" t="str">
        <f t="shared" si="237"/>
        <v/>
      </c>
      <c r="DH69" s="1754" t="str">
        <f t="shared" si="238"/>
        <v/>
      </c>
      <c r="DI69" s="1754" t="str">
        <f t="shared" si="239"/>
        <v/>
      </c>
      <c r="DJ69" s="1753" t="str">
        <f t="shared" si="240"/>
        <v/>
      </c>
      <c r="DK69" s="1752" t="str">
        <f t="shared" si="241"/>
        <v/>
      </c>
      <c r="DL69" s="1829">
        <f t="shared" si="242"/>
        <v>0</v>
      </c>
      <c r="DM69" s="1439">
        <f t="shared" si="243"/>
        <v>0</v>
      </c>
      <c r="DN69" s="1439">
        <f t="shared" si="244"/>
        <v>0</v>
      </c>
      <c r="DO69" s="1439">
        <f t="shared" si="245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255">IF(B68="","",B68*B69/B$7/365/$G$1)</f>
        <v/>
      </c>
      <c r="C70" s="1407" t="str">
        <f t="shared" si="255"/>
        <v/>
      </c>
      <c r="D70" s="1407" t="str">
        <f t="shared" si="255"/>
        <v/>
      </c>
      <c r="E70" s="1407" t="str">
        <f t="shared" si="255"/>
        <v/>
      </c>
      <c r="F70" s="1407" t="str">
        <f t="shared" si="255"/>
        <v/>
      </c>
      <c r="G70" s="1407" t="str">
        <f t="shared" si="255"/>
        <v/>
      </c>
      <c r="H70" s="1407" t="str">
        <f t="shared" si="255"/>
        <v/>
      </c>
      <c r="I70" s="1407" t="str">
        <f t="shared" si="255"/>
        <v/>
      </c>
      <c r="J70" s="1407" t="str">
        <f t="shared" si="255"/>
        <v/>
      </c>
      <c r="K70" s="1407" t="str">
        <f t="shared" si="255"/>
        <v/>
      </c>
      <c r="L70" s="1407" t="str">
        <f t="shared" si="255"/>
        <v/>
      </c>
      <c r="M70" s="1407" t="str">
        <f t="shared" si="255"/>
        <v/>
      </c>
      <c r="N70" s="1407" t="str">
        <f t="shared" si="255"/>
        <v/>
      </c>
      <c r="O70" s="1407" t="str">
        <f t="shared" si="255"/>
        <v/>
      </c>
      <c r="P70" s="1407" t="str">
        <f t="shared" si="255"/>
        <v/>
      </c>
      <c r="Q70" s="1407" t="str">
        <f t="shared" si="255"/>
        <v/>
      </c>
      <c r="R70" s="1407" t="str">
        <f t="shared" si="255"/>
        <v/>
      </c>
      <c r="S70" s="1775"/>
      <c r="T70" s="1407" t="str">
        <f t="shared" ref="T70:AJ70" si="256">IF(T68="","",T68*T69/T$7/365/$G$1)</f>
        <v/>
      </c>
      <c r="U70" s="1407" t="str">
        <f t="shared" si="256"/>
        <v/>
      </c>
      <c r="V70" s="1407" t="str">
        <f t="shared" si="256"/>
        <v/>
      </c>
      <c r="W70" s="1407" t="str">
        <f t="shared" si="256"/>
        <v/>
      </c>
      <c r="X70" s="1407" t="str">
        <f t="shared" si="256"/>
        <v/>
      </c>
      <c r="Y70" s="1407" t="str">
        <f t="shared" si="256"/>
        <v/>
      </c>
      <c r="Z70" s="1407" t="str">
        <f t="shared" si="256"/>
        <v/>
      </c>
      <c r="AA70" s="1407" t="str">
        <f t="shared" si="256"/>
        <v/>
      </c>
      <c r="AB70" s="1407" t="str">
        <f t="shared" si="256"/>
        <v/>
      </c>
      <c r="AC70" s="1407" t="str">
        <f t="shared" si="256"/>
        <v/>
      </c>
      <c r="AD70" s="1407" t="str">
        <f t="shared" si="256"/>
        <v/>
      </c>
      <c r="AE70" s="1407" t="str">
        <f t="shared" si="256"/>
        <v/>
      </c>
      <c r="AF70" s="1407" t="str">
        <f t="shared" si="256"/>
        <v/>
      </c>
      <c r="AG70" s="1407" t="str">
        <f t="shared" si="256"/>
        <v/>
      </c>
      <c r="AH70" s="1407" t="str">
        <f t="shared" si="256"/>
        <v/>
      </c>
      <c r="AI70" s="1407" t="str">
        <f t="shared" si="256"/>
        <v/>
      </c>
      <c r="AJ70" s="1407" t="str">
        <f t="shared" si="256"/>
        <v/>
      </c>
      <c r="AK70" s="1775"/>
      <c r="AL70" s="1407" t="str">
        <f t="shared" ref="AL70:BB70" si="257">IF(AL68="","",AL68*AL69/AL$7/365/$G$1)</f>
        <v/>
      </c>
      <c r="AM70" s="1407" t="str">
        <f t="shared" si="257"/>
        <v/>
      </c>
      <c r="AN70" s="1407" t="str">
        <f t="shared" si="257"/>
        <v/>
      </c>
      <c r="AO70" s="1407" t="str">
        <f t="shared" si="257"/>
        <v/>
      </c>
      <c r="AP70" s="1407" t="str">
        <f t="shared" si="257"/>
        <v/>
      </c>
      <c r="AQ70" s="1407" t="str">
        <f t="shared" si="257"/>
        <v/>
      </c>
      <c r="AR70" s="1407" t="str">
        <f t="shared" si="257"/>
        <v/>
      </c>
      <c r="AS70" s="1407" t="str">
        <f t="shared" si="257"/>
        <v/>
      </c>
      <c r="AT70" s="1407" t="str">
        <f t="shared" si="257"/>
        <v/>
      </c>
      <c r="AU70" s="1407" t="str">
        <f t="shared" si="257"/>
        <v/>
      </c>
      <c r="AV70" s="1407" t="str">
        <f t="shared" si="257"/>
        <v/>
      </c>
      <c r="AW70" s="1407" t="str">
        <f t="shared" si="257"/>
        <v/>
      </c>
      <c r="AX70" s="1407" t="str">
        <f t="shared" si="257"/>
        <v/>
      </c>
      <c r="AY70" s="1407" t="str">
        <f t="shared" si="257"/>
        <v/>
      </c>
      <c r="AZ70" s="1407" t="str">
        <f t="shared" si="257"/>
        <v/>
      </c>
      <c r="BA70" s="1407" t="str">
        <f t="shared" si="257"/>
        <v/>
      </c>
      <c r="BB70" s="1407" t="str">
        <f t="shared" si="257"/>
        <v/>
      </c>
      <c r="BC70" s="1775"/>
      <c r="BD70" s="1407" t="str">
        <f t="shared" ref="BD70:BT70" si="258">IF(BD68="","",BD68*BD69/BD$7/365/$G$1)</f>
        <v/>
      </c>
      <c r="BE70" s="1407" t="str">
        <f t="shared" si="258"/>
        <v/>
      </c>
      <c r="BF70" s="1407" t="str">
        <f t="shared" si="258"/>
        <v/>
      </c>
      <c r="BG70" s="1407" t="str">
        <f t="shared" si="258"/>
        <v/>
      </c>
      <c r="BH70" s="1407" t="str">
        <f t="shared" si="258"/>
        <v/>
      </c>
      <c r="BI70" s="1407" t="str">
        <f t="shared" si="258"/>
        <v/>
      </c>
      <c r="BJ70" s="1407" t="str">
        <f t="shared" si="258"/>
        <v/>
      </c>
      <c r="BK70" s="1407" t="str">
        <f t="shared" si="258"/>
        <v/>
      </c>
      <c r="BL70" s="1407" t="str">
        <f t="shared" si="258"/>
        <v/>
      </c>
      <c r="BM70" s="1407" t="str">
        <f t="shared" si="258"/>
        <v/>
      </c>
      <c r="BN70" s="1407" t="str">
        <f t="shared" si="258"/>
        <v/>
      </c>
      <c r="BO70" s="1407" t="str">
        <f t="shared" si="258"/>
        <v/>
      </c>
      <c r="BP70" s="1407" t="str">
        <f t="shared" si="258"/>
        <v/>
      </c>
      <c r="BQ70" s="1407" t="str">
        <f t="shared" si="258"/>
        <v/>
      </c>
      <c r="BR70" s="1407" t="str">
        <f t="shared" si="258"/>
        <v/>
      </c>
      <c r="BS70" s="1407" t="str">
        <f t="shared" si="258"/>
        <v/>
      </c>
      <c r="BT70" s="1407" t="str">
        <f t="shared" si="258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251"/>
        <v/>
      </c>
      <c r="CA70" s="1833" t="str">
        <f t="shared" si="252"/>
        <v/>
      </c>
      <c r="CB70" s="1833" t="str">
        <f t="shared" si="253"/>
        <v/>
      </c>
      <c r="CC70" s="1834" t="str">
        <f t="shared" si="254"/>
        <v/>
      </c>
      <c r="CD70" s="1756" t="str">
        <f t="shared" si="246"/>
        <v/>
      </c>
      <c r="CE70" s="1757" t="str">
        <f t="shared" si="224"/>
        <v/>
      </c>
      <c r="CF70" s="1758" t="str">
        <f t="shared" si="224"/>
        <v/>
      </c>
      <c r="CG70" s="1758" t="str">
        <f t="shared" si="224"/>
        <v/>
      </c>
      <c r="CH70" s="1758" t="str">
        <f t="shared" si="224"/>
        <v/>
      </c>
      <c r="CI70" s="1758" t="str">
        <f t="shared" si="224"/>
        <v/>
      </c>
      <c r="CJ70" s="1758" t="str">
        <f t="shared" si="224"/>
        <v/>
      </c>
      <c r="CK70" s="1759" t="str">
        <f t="shared" si="224"/>
        <v/>
      </c>
      <c r="CL70" s="1759" t="str">
        <f t="shared" si="224"/>
        <v/>
      </c>
      <c r="CM70" s="1759" t="str">
        <f t="shared" si="224"/>
        <v/>
      </c>
      <c r="CN70" s="1758" t="str">
        <f t="shared" si="224"/>
        <v/>
      </c>
      <c r="CO70" s="1758" t="str">
        <f t="shared" si="224"/>
        <v/>
      </c>
      <c r="CP70" s="1758" t="str">
        <f t="shared" si="224"/>
        <v/>
      </c>
      <c r="CQ70" s="1758" t="str">
        <f t="shared" si="224"/>
        <v/>
      </c>
      <c r="CR70" s="1758" t="str">
        <f t="shared" si="224"/>
        <v/>
      </c>
      <c r="CS70" s="1757" t="str">
        <f t="shared" si="224"/>
        <v/>
      </c>
      <c r="CT70" s="1760" t="str">
        <f t="shared" si="224"/>
        <v/>
      </c>
      <c r="CU70" s="1761" t="str">
        <f t="shared" si="225"/>
        <v/>
      </c>
      <c r="CV70" s="1762" t="str">
        <f t="shared" si="226"/>
        <v/>
      </c>
      <c r="CW70" s="1763" t="str">
        <f t="shared" si="227"/>
        <v/>
      </c>
      <c r="CX70" s="1763" t="str">
        <f t="shared" si="228"/>
        <v/>
      </c>
      <c r="CY70" s="1763" t="str">
        <f t="shared" si="229"/>
        <v/>
      </c>
      <c r="CZ70" s="1763" t="str">
        <f t="shared" si="230"/>
        <v/>
      </c>
      <c r="DA70" s="1763" t="str">
        <f t="shared" si="231"/>
        <v/>
      </c>
      <c r="DB70" s="1764" t="str">
        <f t="shared" si="232"/>
        <v/>
      </c>
      <c r="DC70" s="1764" t="str">
        <f t="shared" si="233"/>
        <v/>
      </c>
      <c r="DD70" s="1764" t="str">
        <f t="shared" si="234"/>
        <v/>
      </c>
      <c r="DE70" s="1763" t="str">
        <f t="shared" si="235"/>
        <v/>
      </c>
      <c r="DF70" s="1763" t="str">
        <f t="shared" si="236"/>
        <v/>
      </c>
      <c r="DG70" s="1763" t="str">
        <f t="shared" si="237"/>
        <v/>
      </c>
      <c r="DH70" s="1763" t="str">
        <f t="shared" si="238"/>
        <v/>
      </c>
      <c r="DI70" s="1763" t="str">
        <f t="shared" si="239"/>
        <v/>
      </c>
      <c r="DJ70" s="1762" t="str">
        <f t="shared" si="240"/>
        <v/>
      </c>
      <c r="DK70" s="1761" t="str">
        <f t="shared" si="241"/>
        <v/>
      </c>
      <c r="DL70" s="1829">
        <f t="shared" si="242"/>
        <v>0</v>
      </c>
      <c r="DM70" s="1439">
        <f t="shared" si="243"/>
        <v>0</v>
      </c>
      <c r="DN70" s="1439">
        <f t="shared" si="244"/>
        <v>0</v>
      </c>
      <c r="DO70" s="1439">
        <f t="shared" si="245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251"/>
        <v/>
      </c>
      <c r="CA71" s="1833" t="str">
        <f t="shared" si="252"/>
        <v/>
      </c>
      <c r="CB71" s="1833" t="str">
        <f t="shared" si="253"/>
        <v/>
      </c>
      <c r="CC71" s="1834" t="str">
        <f t="shared" si="254"/>
        <v/>
      </c>
      <c r="CD71" s="1739" t="str">
        <f t="shared" si="246"/>
        <v/>
      </c>
      <c r="CE71" s="1740" t="str">
        <f t="shared" si="224"/>
        <v/>
      </c>
      <c r="CF71" s="1741" t="str">
        <f t="shared" si="224"/>
        <v/>
      </c>
      <c r="CG71" s="1741" t="str">
        <f t="shared" si="224"/>
        <v/>
      </c>
      <c r="CH71" s="1741" t="str">
        <f t="shared" si="224"/>
        <v/>
      </c>
      <c r="CI71" s="1741" t="str">
        <f t="shared" si="224"/>
        <v/>
      </c>
      <c r="CJ71" s="1741" t="str">
        <f t="shared" si="224"/>
        <v/>
      </c>
      <c r="CK71" s="1742" t="str">
        <f t="shared" si="224"/>
        <v/>
      </c>
      <c r="CL71" s="1742" t="str">
        <f t="shared" si="224"/>
        <v/>
      </c>
      <c r="CM71" s="1742" t="str">
        <f t="shared" si="224"/>
        <v/>
      </c>
      <c r="CN71" s="1741" t="str">
        <f t="shared" si="224"/>
        <v/>
      </c>
      <c r="CO71" s="1741" t="str">
        <f t="shared" si="224"/>
        <v/>
      </c>
      <c r="CP71" s="1741" t="str">
        <f t="shared" si="224"/>
        <v/>
      </c>
      <c r="CQ71" s="1741" t="str">
        <f t="shared" si="224"/>
        <v/>
      </c>
      <c r="CR71" s="1741" t="str">
        <f t="shared" si="224"/>
        <v/>
      </c>
      <c r="CS71" s="1740" t="str">
        <f t="shared" si="224"/>
        <v/>
      </c>
      <c r="CT71" s="1743" t="str">
        <f t="shared" si="224"/>
        <v/>
      </c>
      <c r="CU71" s="1752" t="str">
        <f t="shared" si="225"/>
        <v/>
      </c>
      <c r="CV71" s="1753" t="str">
        <f t="shared" si="226"/>
        <v/>
      </c>
      <c r="CW71" s="1754" t="str">
        <f t="shared" si="227"/>
        <v/>
      </c>
      <c r="CX71" s="1754" t="str">
        <f t="shared" si="228"/>
        <v/>
      </c>
      <c r="CY71" s="1754" t="str">
        <f t="shared" si="229"/>
        <v/>
      </c>
      <c r="CZ71" s="1754" t="str">
        <f t="shared" si="230"/>
        <v/>
      </c>
      <c r="DA71" s="1754" t="str">
        <f t="shared" si="231"/>
        <v/>
      </c>
      <c r="DB71" s="1755" t="str">
        <f t="shared" si="232"/>
        <v/>
      </c>
      <c r="DC71" s="1755" t="str">
        <f t="shared" si="233"/>
        <v/>
      </c>
      <c r="DD71" s="1755" t="str">
        <f t="shared" si="234"/>
        <v/>
      </c>
      <c r="DE71" s="1754" t="str">
        <f t="shared" si="235"/>
        <v/>
      </c>
      <c r="DF71" s="1754" t="str">
        <f t="shared" si="236"/>
        <v/>
      </c>
      <c r="DG71" s="1754" t="str">
        <f t="shared" si="237"/>
        <v/>
      </c>
      <c r="DH71" s="1754" t="str">
        <f t="shared" si="238"/>
        <v/>
      </c>
      <c r="DI71" s="1754" t="str">
        <f t="shared" si="239"/>
        <v/>
      </c>
      <c r="DJ71" s="1753" t="str">
        <f t="shared" si="240"/>
        <v/>
      </c>
      <c r="DK71" s="1752" t="str">
        <f t="shared" si="241"/>
        <v/>
      </c>
      <c r="DL71" s="1829">
        <f t="shared" si="242"/>
        <v>0</v>
      </c>
      <c r="DM71" s="1439">
        <f t="shared" si="243"/>
        <v>0</v>
      </c>
      <c r="DN71" s="1439">
        <f t="shared" si="244"/>
        <v>0</v>
      </c>
      <c r="DO71" s="1439">
        <f t="shared" si="245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259">IF(B71="","",B68*B71)</f>
        <v/>
      </c>
      <c r="C72" s="1408" t="str">
        <f t="shared" si="259"/>
        <v/>
      </c>
      <c r="D72" s="1408" t="str">
        <f t="shared" si="259"/>
        <v/>
      </c>
      <c r="E72" s="1408" t="str">
        <f t="shared" si="259"/>
        <v/>
      </c>
      <c r="F72" s="1408" t="str">
        <f t="shared" si="259"/>
        <v/>
      </c>
      <c r="G72" s="1408" t="str">
        <f t="shared" si="259"/>
        <v/>
      </c>
      <c r="H72" s="1408" t="str">
        <f t="shared" si="259"/>
        <v/>
      </c>
      <c r="I72" s="1408" t="str">
        <f t="shared" si="259"/>
        <v/>
      </c>
      <c r="J72" s="1408" t="str">
        <f t="shared" si="259"/>
        <v/>
      </c>
      <c r="K72" s="1408" t="str">
        <f t="shared" si="259"/>
        <v/>
      </c>
      <c r="L72" s="1408" t="str">
        <f t="shared" si="259"/>
        <v/>
      </c>
      <c r="M72" s="1408" t="str">
        <f t="shared" si="259"/>
        <v/>
      </c>
      <c r="N72" s="1408" t="str">
        <f t="shared" si="259"/>
        <v/>
      </c>
      <c r="O72" s="1408" t="str">
        <f t="shared" si="259"/>
        <v/>
      </c>
      <c r="P72" s="1408" t="str">
        <f t="shared" si="259"/>
        <v/>
      </c>
      <c r="Q72" s="1408" t="str">
        <f t="shared" si="259"/>
        <v/>
      </c>
      <c r="R72" s="1408" t="str">
        <f t="shared" si="259"/>
        <v/>
      </c>
      <c r="S72" s="1772"/>
      <c r="T72" s="1408" t="str">
        <f t="shared" ref="T72:AJ72" si="260">IF(T71="","",T68*T71)</f>
        <v/>
      </c>
      <c r="U72" s="1408" t="str">
        <f t="shared" si="260"/>
        <v/>
      </c>
      <c r="V72" s="1408" t="str">
        <f t="shared" si="260"/>
        <v/>
      </c>
      <c r="W72" s="1408" t="str">
        <f t="shared" si="260"/>
        <v/>
      </c>
      <c r="X72" s="1408" t="str">
        <f t="shared" si="260"/>
        <v/>
      </c>
      <c r="Y72" s="1408" t="str">
        <f t="shared" si="260"/>
        <v/>
      </c>
      <c r="Z72" s="1408" t="str">
        <f t="shared" si="260"/>
        <v/>
      </c>
      <c r="AA72" s="1408" t="str">
        <f t="shared" si="260"/>
        <v/>
      </c>
      <c r="AB72" s="1408" t="str">
        <f t="shared" si="260"/>
        <v/>
      </c>
      <c r="AC72" s="1408" t="str">
        <f t="shared" si="260"/>
        <v/>
      </c>
      <c r="AD72" s="1408" t="str">
        <f t="shared" si="260"/>
        <v/>
      </c>
      <c r="AE72" s="1408" t="str">
        <f t="shared" si="260"/>
        <v/>
      </c>
      <c r="AF72" s="1408" t="str">
        <f t="shared" si="260"/>
        <v/>
      </c>
      <c r="AG72" s="1408" t="str">
        <f t="shared" si="260"/>
        <v/>
      </c>
      <c r="AH72" s="1408" t="str">
        <f t="shared" si="260"/>
        <v/>
      </c>
      <c r="AI72" s="1408" t="str">
        <f t="shared" si="260"/>
        <v/>
      </c>
      <c r="AJ72" s="1408" t="str">
        <f t="shared" si="260"/>
        <v/>
      </c>
      <c r="AK72" s="1772"/>
      <c r="AL72" s="1408" t="str">
        <f t="shared" ref="AL72:BB72" si="261">IF(AL71="","",AL68*AL71)</f>
        <v/>
      </c>
      <c r="AM72" s="1408" t="str">
        <f t="shared" si="261"/>
        <v/>
      </c>
      <c r="AN72" s="1408" t="str">
        <f t="shared" si="261"/>
        <v/>
      </c>
      <c r="AO72" s="1408" t="str">
        <f t="shared" si="261"/>
        <v/>
      </c>
      <c r="AP72" s="1408" t="str">
        <f t="shared" si="261"/>
        <v/>
      </c>
      <c r="AQ72" s="1408" t="str">
        <f t="shared" si="261"/>
        <v/>
      </c>
      <c r="AR72" s="1408" t="str">
        <f t="shared" si="261"/>
        <v/>
      </c>
      <c r="AS72" s="1408" t="str">
        <f t="shared" si="261"/>
        <v/>
      </c>
      <c r="AT72" s="1408" t="str">
        <f t="shared" si="261"/>
        <v/>
      </c>
      <c r="AU72" s="1408" t="str">
        <f t="shared" si="261"/>
        <v/>
      </c>
      <c r="AV72" s="1408" t="str">
        <f t="shared" si="261"/>
        <v/>
      </c>
      <c r="AW72" s="1408" t="str">
        <f t="shared" si="261"/>
        <v/>
      </c>
      <c r="AX72" s="1408" t="str">
        <f t="shared" si="261"/>
        <v/>
      </c>
      <c r="AY72" s="1408" t="str">
        <f t="shared" si="261"/>
        <v/>
      </c>
      <c r="AZ72" s="1408" t="str">
        <f t="shared" si="261"/>
        <v/>
      </c>
      <c r="BA72" s="1408" t="str">
        <f t="shared" si="261"/>
        <v/>
      </c>
      <c r="BB72" s="1408" t="str">
        <f t="shared" si="261"/>
        <v/>
      </c>
      <c r="BC72" s="1772"/>
      <c r="BD72" s="1408" t="str">
        <f t="shared" ref="BD72:BT72" si="262">IF(BD71="","",BD68*BD71)</f>
        <v/>
      </c>
      <c r="BE72" s="1408" t="str">
        <f t="shared" si="262"/>
        <v/>
      </c>
      <c r="BF72" s="1408" t="str">
        <f t="shared" si="262"/>
        <v/>
      </c>
      <c r="BG72" s="1408" t="str">
        <f t="shared" si="262"/>
        <v/>
      </c>
      <c r="BH72" s="1408" t="str">
        <f t="shared" si="262"/>
        <v/>
      </c>
      <c r="BI72" s="1408" t="str">
        <f t="shared" si="262"/>
        <v/>
      </c>
      <c r="BJ72" s="1408" t="str">
        <f t="shared" si="262"/>
        <v/>
      </c>
      <c r="BK72" s="1408" t="str">
        <f t="shared" si="262"/>
        <v/>
      </c>
      <c r="BL72" s="1408" t="str">
        <f t="shared" si="262"/>
        <v/>
      </c>
      <c r="BM72" s="1408" t="str">
        <f t="shared" si="262"/>
        <v/>
      </c>
      <c r="BN72" s="1408" t="str">
        <f t="shared" si="262"/>
        <v/>
      </c>
      <c r="BO72" s="1408" t="str">
        <f t="shared" si="262"/>
        <v/>
      </c>
      <c r="BP72" s="1408" t="str">
        <f t="shared" si="262"/>
        <v/>
      </c>
      <c r="BQ72" s="1408" t="str">
        <f t="shared" si="262"/>
        <v/>
      </c>
      <c r="BR72" s="1408" t="str">
        <f t="shared" si="262"/>
        <v/>
      </c>
      <c r="BS72" s="1408" t="str">
        <f t="shared" si="262"/>
        <v/>
      </c>
      <c r="BT72" s="1408" t="str">
        <f t="shared" si="262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251"/>
        <v/>
      </c>
      <c r="CA72" s="1847" t="str">
        <f t="shared" si="252"/>
        <v/>
      </c>
      <c r="CB72" s="1847" t="str">
        <f t="shared" si="253"/>
        <v/>
      </c>
      <c r="CC72" s="1848" t="str">
        <f t="shared" si="254"/>
        <v/>
      </c>
      <c r="CD72" s="1739" t="str">
        <f t="shared" si="246"/>
        <v/>
      </c>
      <c r="CE72" s="1740" t="str">
        <f t="shared" si="224"/>
        <v/>
      </c>
      <c r="CF72" s="1741" t="str">
        <f t="shared" si="224"/>
        <v/>
      </c>
      <c r="CG72" s="1741" t="str">
        <f t="shared" si="224"/>
        <v/>
      </c>
      <c r="CH72" s="1741" t="str">
        <f t="shared" si="224"/>
        <v/>
      </c>
      <c r="CI72" s="1741" t="str">
        <f t="shared" si="224"/>
        <v/>
      </c>
      <c r="CJ72" s="1741" t="str">
        <f t="shared" si="224"/>
        <v/>
      </c>
      <c r="CK72" s="1742" t="str">
        <f t="shared" si="224"/>
        <v/>
      </c>
      <c r="CL72" s="1742" t="str">
        <f t="shared" si="224"/>
        <v/>
      </c>
      <c r="CM72" s="1742" t="str">
        <f t="shared" si="224"/>
        <v/>
      </c>
      <c r="CN72" s="1741" t="str">
        <f t="shared" si="224"/>
        <v/>
      </c>
      <c r="CO72" s="1741" t="str">
        <f t="shared" si="224"/>
        <v/>
      </c>
      <c r="CP72" s="1741" t="str">
        <f t="shared" si="224"/>
        <v/>
      </c>
      <c r="CQ72" s="1741" t="str">
        <f t="shared" si="224"/>
        <v/>
      </c>
      <c r="CR72" s="1741" t="str">
        <f t="shared" si="224"/>
        <v/>
      </c>
      <c r="CS72" s="1740" t="str">
        <f t="shared" si="224"/>
        <v/>
      </c>
      <c r="CT72" s="1743" t="str">
        <f t="shared" si="224"/>
        <v/>
      </c>
      <c r="CU72" s="1752" t="str">
        <f t="shared" si="225"/>
        <v/>
      </c>
      <c r="CV72" s="1753" t="str">
        <f t="shared" si="226"/>
        <v/>
      </c>
      <c r="CW72" s="1754" t="str">
        <f t="shared" si="227"/>
        <v/>
      </c>
      <c r="CX72" s="1754" t="str">
        <f t="shared" si="228"/>
        <v/>
      </c>
      <c r="CY72" s="1754" t="str">
        <f t="shared" si="229"/>
        <v/>
      </c>
      <c r="CZ72" s="1754" t="str">
        <f t="shared" si="230"/>
        <v/>
      </c>
      <c r="DA72" s="1754" t="str">
        <f t="shared" si="231"/>
        <v/>
      </c>
      <c r="DB72" s="1755" t="str">
        <f t="shared" si="232"/>
        <v/>
      </c>
      <c r="DC72" s="1755" t="str">
        <f t="shared" si="233"/>
        <v/>
      </c>
      <c r="DD72" s="1755" t="str">
        <f t="shared" si="234"/>
        <v/>
      </c>
      <c r="DE72" s="1754" t="str">
        <f t="shared" si="235"/>
        <v/>
      </c>
      <c r="DF72" s="1754" t="str">
        <f t="shared" si="236"/>
        <v/>
      </c>
      <c r="DG72" s="1754" t="str">
        <f t="shared" si="237"/>
        <v/>
      </c>
      <c r="DH72" s="1754" t="str">
        <f t="shared" si="238"/>
        <v/>
      </c>
      <c r="DI72" s="1754" t="str">
        <f t="shared" si="239"/>
        <v/>
      </c>
      <c r="DJ72" s="1753" t="str">
        <f t="shared" si="240"/>
        <v/>
      </c>
      <c r="DK72" s="1752" t="str">
        <f t="shared" si="241"/>
        <v/>
      </c>
      <c r="DL72" s="1829">
        <f t="shared" si="242"/>
        <v>0</v>
      </c>
      <c r="DM72" s="1439">
        <f t="shared" si="243"/>
        <v>0</v>
      </c>
      <c r="DN72" s="1439">
        <f t="shared" si="244"/>
        <v>0</v>
      </c>
      <c r="DO72" s="1439">
        <f t="shared" si="245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263">SUM(B16,B25,B34,B43,B52,B61,B70)</f>
        <v>0</v>
      </c>
      <c r="C73" s="1860">
        <f t="shared" si="263"/>
        <v>0</v>
      </c>
      <c r="D73" s="1860">
        <f t="shared" si="263"/>
        <v>0</v>
      </c>
      <c r="E73" s="1860">
        <f t="shared" si="263"/>
        <v>0</v>
      </c>
      <c r="F73" s="1860">
        <f t="shared" si="263"/>
        <v>0</v>
      </c>
      <c r="G73" s="1860">
        <f t="shared" si="263"/>
        <v>0</v>
      </c>
      <c r="H73" s="1860">
        <f t="shared" si="263"/>
        <v>0</v>
      </c>
      <c r="I73" s="1860">
        <f t="shared" si="263"/>
        <v>0</v>
      </c>
      <c r="J73" s="1860">
        <f t="shared" si="263"/>
        <v>0</v>
      </c>
      <c r="K73" s="1860">
        <f t="shared" si="263"/>
        <v>0</v>
      </c>
      <c r="L73" s="1860">
        <f t="shared" si="263"/>
        <v>0</v>
      </c>
      <c r="M73" s="1860">
        <f t="shared" si="263"/>
        <v>0</v>
      </c>
      <c r="N73" s="1860">
        <f t="shared" si="263"/>
        <v>0</v>
      </c>
      <c r="O73" s="1860">
        <f t="shared" si="263"/>
        <v>0</v>
      </c>
      <c r="P73" s="1860">
        <f t="shared" si="263"/>
        <v>0</v>
      </c>
      <c r="Q73" s="1860">
        <f t="shared" si="263"/>
        <v>0</v>
      </c>
      <c r="R73" s="1860">
        <f t="shared" si="263"/>
        <v>0</v>
      </c>
      <c r="S73" s="1861"/>
      <c r="T73" s="1860">
        <f t="shared" ref="T73:AJ73" si="264">SUM(T16,T25,T34,T43,T52,T61,T70)</f>
        <v>0</v>
      </c>
      <c r="U73" s="1860">
        <f t="shared" si="264"/>
        <v>0</v>
      </c>
      <c r="V73" s="1860">
        <f t="shared" si="264"/>
        <v>0</v>
      </c>
      <c r="W73" s="1860">
        <f t="shared" si="264"/>
        <v>0</v>
      </c>
      <c r="X73" s="1860">
        <f t="shared" si="264"/>
        <v>0</v>
      </c>
      <c r="Y73" s="1860">
        <f t="shared" si="264"/>
        <v>0</v>
      </c>
      <c r="Z73" s="1860">
        <f t="shared" si="264"/>
        <v>0</v>
      </c>
      <c r="AA73" s="1860">
        <f t="shared" si="264"/>
        <v>0</v>
      </c>
      <c r="AB73" s="1860">
        <f t="shared" si="264"/>
        <v>0</v>
      </c>
      <c r="AC73" s="1860">
        <f t="shared" si="264"/>
        <v>0</v>
      </c>
      <c r="AD73" s="1860">
        <f t="shared" si="264"/>
        <v>0</v>
      </c>
      <c r="AE73" s="1860">
        <f t="shared" si="264"/>
        <v>0</v>
      </c>
      <c r="AF73" s="1860">
        <f t="shared" si="264"/>
        <v>0</v>
      </c>
      <c r="AG73" s="1860">
        <f t="shared" si="264"/>
        <v>0</v>
      </c>
      <c r="AH73" s="1860">
        <f t="shared" si="264"/>
        <v>0</v>
      </c>
      <c r="AI73" s="1860">
        <f t="shared" si="264"/>
        <v>0</v>
      </c>
      <c r="AJ73" s="1860">
        <f t="shared" si="264"/>
        <v>0</v>
      </c>
      <c r="AK73" s="1861"/>
      <c r="AL73" s="1860">
        <f t="shared" ref="AL73:BB73" si="265">SUM(AL16,AL25,AL34,AL43,AL52,AL61,AL70)</f>
        <v>0</v>
      </c>
      <c r="AM73" s="1860">
        <f t="shared" si="265"/>
        <v>0</v>
      </c>
      <c r="AN73" s="1860">
        <f t="shared" si="265"/>
        <v>0</v>
      </c>
      <c r="AO73" s="1860">
        <f t="shared" si="265"/>
        <v>0</v>
      </c>
      <c r="AP73" s="1860">
        <f t="shared" si="265"/>
        <v>0</v>
      </c>
      <c r="AQ73" s="1860">
        <f t="shared" si="265"/>
        <v>0</v>
      </c>
      <c r="AR73" s="1860">
        <f t="shared" si="265"/>
        <v>0</v>
      </c>
      <c r="AS73" s="1860">
        <f t="shared" si="265"/>
        <v>0</v>
      </c>
      <c r="AT73" s="1860">
        <f t="shared" si="265"/>
        <v>0</v>
      </c>
      <c r="AU73" s="1860">
        <f t="shared" si="265"/>
        <v>0</v>
      </c>
      <c r="AV73" s="1860">
        <f t="shared" si="265"/>
        <v>0</v>
      </c>
      <c r="AW73" s="1860">
        <f t="shared" si="265"/>
        <v>0</v>
      </c>
      <c r="AX73" s="1860">
        <f t="shared" si="265"/>
        <v>0</v>
      </c>
      <c r="AY73" s="1860">
        <f t="shared" si="265"/>
        <v>0</v>
      </c>
      <c r="AZ73" s="1860">
        <f t="shared" si="265"/>
        <v>0</v>
      </c>
      <c r="BA73" s="1860">
        <f t="shared" si="265"/>
        <v>0</v>
      </c>
      <c r="BB73" s="1860">
        <f t="shared" si="265"/>
        <v>0</v>
      </c>
      <c r="BC73" s="1861"/>
      <c r="BD73" s="1860">
        <f t="shared" ref="BD73:BT73" si="266">SUM(BD16,BD25,BD34,BD43,BD52,BD61,BD70)</f>
        <v>0</v>
      </c>
      <c r="BE73" s="1860">
        <f t="shared" si="266"/>
        <v>0</v>
      </c>
      <c r="BF73" s="1860">
        <f t="shared" si="266"/>
        <v>0</v>
      </c>
      <c r="BG73" s="1860">
        <f t="shared" si="266"/>
        <v>0</v>
      </c>
      <c r="BH73" s="1860">
        <f t="shared" si="266"/>
        <v>0</v>
      </c>
      <c r="BI73" s="1860">
        <f t="shared" si="266"/>
        <v>0</v>
      </c>
      <c r="BJ73" s="1860">
        <f t="shared" si="266"/>
        <v>0</v>
      </c>
      <c r="BK73" s="1860">
        <f t="shared" si="266"/>
        <v>0</v>
      </c>
      <c r="BL73" s="1860">
        <f t="shared" si="266"/>
        <v>0</v>
      </c>
      <c r="BM73" s="1860">
        <f t="shared" si="266"/>
        <v>0</v>
      </c>
      <c r="BN73" s="1860">
        <f t="shared" si="266"/>
        <v>0</v>
      </c>
      <c r="BO73" s="1860">
        <f t="shared" si="266"/>
        <v>0</v>
      </c>
      <c r="BP73" s="1860">
        <f t="shared" si="266"/>
        <v>0</v>
      </c>
      <c r="BQ73" s="1860">
        <f t="shared" si="266"/>
        <v>0</v>
      </c>
      <c r="BR73" s="1860">
        <f t="shared" si="266"/>
        <v>0</v>
      </c>
      <c r="BS73" s="1860">
        <f t="shared" si="266"/>
        <v>0</v>
      </c>
      <c r="BT73" s="1860">
        <f t="shared" si="266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0</v>
      </c>
      <c r="BZ73" s="1847" t="str">
        <f t="shared" si="251"/>
        <v/>
      </c>
      <c r="CA73" s="1847" t="str">
        <f t="shared" si="252"/>
        <v/>
      </c>
      <c r="CB73" s="1847" t="str">
        <f t="shared" si="253"/>
        <v/>
      </c>
      <c r="CC73" s="1848" t="str">
        <f t="shared" si="254"/>
        <v/>
      </c>
      <c r="CD73" s="1756">
        <f t="shared" si="246"/>
        <v>0</v>
      </c>
      <c r="CE73" s="1757">
        <f t="shared" ref="CE73:CT74" si="26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267"/>
        <v>0</v>
      </c>
      <c r="CG73" s="1758">
        <f t="shared" si="267"/>
        <v>0</v>
      </c>
      <c r="CH73" s="1758">
        <f t="shared" si="267"/>
        <v>0</v>
      </c>
      <c r="CI73" s="1758">
        <f t="shared" si="267"/>
        <v>0</v>
      </c>
      <c r="CJ73" s="1758">
        <f t="shared" si="267"/>
        <v>0</v>
      </c>
      <c r="CK73" s="1759">
        <f t="shared" si="267"/>
        <v>0</v>
      </c>
      <c r="CL73" s="1759">
        <f t="shared" si="267"/>
        <v>0</v>
      </c>
      <c r="CM73" s="1759">
        <f t="shared" si="267"/>
        <v>0</v>
      </c>
      <c r="CN73" s="1758">
        <f t="shared" si="267"/>
        <v>0</v>
      </c>
      <c r="CO73" s="1758">
        <f t="shared" si="267"/>
        <v>0</v>
      </c>
      <c r="CP73" s="1758">
        <f t="shared" si="267"/>
        <v>0</v>
      </c>
      <c r="CQ73" s="1758">
        <f t="shared" si="267"/>
        <v>0</v>
      </c>
      <c r="CR73" s="1758">
        <f t="shared" si="267"/>
        <v>0</v>
      </c>
      <c r="CS73" s="1757">
        <f t="shared" si="267"/>
        <v>0</v>
      </c>
      <c r="CT73" s="1760">
        <f t="shared" si="267"/>
        <v>0</v>
      </c>
      <c r="CU73" s="1761">
        <f t="shared" si="225"/>
        <v>0</v>
      </c>
      <c r="CV73" s="1762">
        <f t="shared" si="226"/>
        <v>0</v>
      </c>
      <c r="CW73" s="1763">
        <f t="shared" si="227"/>
        <v>0</v>
      </c>
      <c r="CX73" s="1763">
        <f t="shared" si="228"/>
        <v>0</v>
      </c>
      <c r="CY73" s="1763">
        <f t="shared" si="229"/>
        <v>0</v>
      </c>
      <c r="CZ73" s="1763">
        <f t="shared" si="230"/>
        <v>0</v>
      </c>
      <c r="DA73" s="1763">
        <f t="shared" si="231"/>
        <v>0</v>
      </c>
      <c r="DB73" s="1764">
        <f t="shared" si="232"/>
        <v>0</v>
      </c>
      <c r="DC73" s="1764">
        <f t="shared" si="233"/>
        <v>0</v>
      </c>
      <c r="DD73" s="1764">
        <f t="shared" si="234"/>
        <v>0</v>
      </c>
      <c r="DE73" s="1763">
        <f t="shared" si="235"/>
        <v>0</v>
      </c>
      <c r="DF73" s="1763">
        <f t="shared" si="236"/>
        <v>0</v>
      </c>
      <c r="DG73" s="1763">
        <f t="shared" si="237"/>
        <v>0</v>
      </c>
      <c r="DH73" s="1763">
        <f t="shared" si="238"/>
        <v>0</v>
      </c>
      <c r="DI73" s="1763">
        <f t="shared" si="239"/>
        <v>0</v>
      </c>
      <c r="DJ73" s="1762">
        <f t="shared" si="240"/>
        <v>0</v>
      </c>
      <c r="DK73" s="1761">
        <f t="shared" si="241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268">SUM(B18,B27,B36,B45,B54,B63,B72)</f>
        <v>0</v>
      </c>
      <c r="C74" s="1869">
        <f t="shared" si="268"/>
        <v>0</v>
      </c>
      <c r="D74" s="1869">
        <f t="shared" si="268"/>
        <v>0</v>
      </c>
      <c r="E74" s="1869">
        <f t="shared" si="268"/>
        <v>0</v>
      </c>
      <c r="F74" s="1869">
        <f t="shared" si="268"/>
        <v>0</v>
      </c>
      <c r="G74" s="1869">
        <f t="shared" si="268"/>
        <v>0</v>
      </c>
      <c r="H74" s="1869">
        <f t="shared" si="268"/>
        <v>0</v>
      </c>
      <c r="I74" s="1869">
        <f t="shared" si="268"/>
        <v>0</v>
      </c>
      <c r="J74" s="1869">
        <f t="shared" si="268"/>
        <v>0</v>
      </c>
      <c r="K74" s="1869">
        <f t="shared" si="268"/>
        <v>0</v>
      </c>
      <c r="L74" s="1869">
        <f t="shared" si="268"/>
        <v>0</v>
      </c>
      <c r="M74" s="1869">
        <f t="shared" si="268"/>
        <v>0</v>
      </c>
      <c r="N74" s="1869">
        <f t="shared" si="268"/>
        <v>0</v>
      </c>
      <c r="O74" s="1869">
        <f t="shared" si="268"/>
        <v>0</v>
      </c>
      <c r="P74" s="1869">
        <f t="shared" si="268"/>
        <v>0</v>
      </c>
      <c r="Q74" s="1869">
        <f t="shared" si="268"/>
        <v>0</v>
      </c>
      <c r="R74" s="1869">
        <f t="shared" si="268"/>
        <v>0</v>
      </c>
      <c r="S74" s="1870"/>
      <c r="T74" s="1869">
        <f t="shared" ref="T74:AJ74" si="269">SUM(T18,T27,T36,T45,T54,T63,T72)</f>
        <v>0</v>
      </c>
      <c r="U74" s="1869">
        <f t="shared" si="269"/>
        <v>0</v>
      </c>
      <c r="V74" s="1869">
        <f t="shared" si="269"/>
        <v>0</v>
      </c>
      <c r="W74" s="1869">
        <f t="shared" si="269"/>
        <v>0</v>
      </c>
      <c r="X74" s="1869">
        <f t="shared" si="269"/>
        <v>0</v>
      </c>
      <c r="Y74" s="1869">
        <f t="shared" si="269"/>
        <v>0</v>
      </c>
      <c r="Z74" s="1869">
        <f t="shared" si="269"/>
        <v>0</v>
      </c>
      <c r="AA74" s="1869">
        <f t="shared" si="269"/>
        <v>0</v>
      </c>
      <c r="AB74" s="1869">
        <f t="shared" si="269"/>
        <v>0</v>
      </c>
      <c r="AC74" s="1869">
        <f t="shared" si="269"/>
        <v>0</v>
      </c>
      <c r="AD74" s="1869">
        <f t="shared" si="269"/>
        <v>0</v>
      </c>
      <c r="AE74" s="1869">
        <f t="shared" si="269"/>
        <v>0</v>
      </c>
      <c r="AF74" s="1869">
        <f t="shared" si="269"/>
        <v>0</v>
      </c>
      <c r="AG74" s="1869">
        <f t="shared" si="269"/>
        <v>0</v>
      </c>
      <c r="AH74" s="1869">
        <f t="shared" si="269"/>
        <v>0</v>
      </c>
      <c r="AI74" s="1869">
        <f t="shared" si="269"/>
        <v>0</v>
      </c>
      <c r="AJ74" s="1869">
        <f t="shared" si="269"/>
        <v>0</v>
      </c>
      <c r="AK74" s="1870"/>
      <c r="AL74" s="1869">
        <f t="shared" ref="AL74:BB74" si="270">SUM(AL18,AL27,AL36,AL45,AL54,AL63,AL72)</f>
        <v>0</v>
      </c>
      <c r="AM74" s="1869">
        <f t="shared" si="270"/>
        <v>0</v>
      </c>
      <c r="AN74" s="1869">
        <f t="shared" si="270"/>
        <v>0</v>
      </c>
      <c r="AO74" s="1869">
        <f t="shared" si="270"/>
        <v>0</v>
      </c>
      <c r="AP74" s="1869">
        <f t="shared" si="270"/>
        <v>0</v>
      </c>
      <c r="AQ74" s="1869">
        <f t="shared" si="270"/>
        <v>0</v>
      </c>
      <c r="AR74" s="1869">
        <f t="shared" si="270"/>
        <v>0</v>
      </c>
      <c r="AS74" s="1869">
        <f t="shared" si="270"/>
        <v>0</v>
      </c>
      <c r="AT74" s="1869">
        <f t="shared" si="270"/>
        <v>0</v>
      </c>
      <c r="AU74" s="1869">
        <f t="shared" si="270"/>
        <v>0</v>
      </c>
      <c r="AV74" s="1869">
        <f t="shared" si="270"/>
        <v>0</v>
      </c>
      <c r="AW74" s="1869">
        <f t="shared" si="270"/>
        <v>0</v>
      </c>
      <c r="AX74" s="1869">
        <f t="shared" si="270"/>
        <v>0</v>
      </c>
      <c r="AY74" s="1869">
        <f t="shared" si="270"/>
        <v>0</v>
      </c>
      <c r="AZ74" s="1869">
        <f t="shared" si="270"/>
        <v>0</v>
      </c>
      <c r="BA74" s="1869">
        <f t="shared" si="270"/>
        <v>0</v>
      </c>
      <c r="BB74" s="1869">
        <f t="shared" si="270"/>
        <v>0</v>
      </c>
      <c r="BC74" s="1870"/>
      <c r="BD74" s="1869">
        <f t="shared" ref="BD74:BT74" si="271">SUM(BD18,BD27,BD36,BD45,BD54,BD63,BD72)</f>
        <v>0</v>
      </c>
      <c r="BE74" s="1869">
        <f t="shared" si="271"/>
        <v>0</v>
      </c>
      <c r="BF74" s="1869">
        <f t="shared" si="271"/>
        <v>0</v>
      </c>
      <c r="BG74" s="1869">
        <f t="shared" si="271"/>
        <v>0</v>
      </c>
      <c r="BH74" s="1869">
        <f t="shared" si="271"/>
        <v>0</v>
      </c>
      <c r="BI74" s="1869">
        <f t="shared" si="271"/>
        <v>0</v>
      </c>
      <c r="BJ74" s="1869">
        <f t="shared" si="271"/>
        <v>0</v>
      </c>
      <c r="BK74" s="1869">
        <f t="shared" si="271"/>
        <v>0</v>
      </c>
      <c r="BL74" s="1869">
        <f t="shared" si="271"/>
        <v>0</v>
      </c>
      <c r="BM74" s="1869">
        <f t="shared" si="271"/>
        <v>0</v>
      </c>
      <c r="BN74" s="1869">
        <f t="shared" si="271"/>
        <v>0</v>
      </c>
      <c r="BO74" s="1869">
        <f t="shared" si="271"/>
        <v>0</v>
      </c>
      <c r="BP74" s="1869">
        <f t="shared" si="271"/>
        <v>0</v>
      </c>
      <c r="BQ74" s="1869">
        <f t="shared" si="271"/>
        <v>0</v>
      </c>
      <c r="BR74" s="1869">
        <f t="shared" si="271"/>
        <v>0</v>
      </c>
      <c r="BS74" s="1869">
        <f t="shared" si="271"/>
        <v>0</v>
      </c>
      <c r="BT74" s="1869">
        <f t="shared" si="271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0</v>
      </c>
      <c r="BZ74" s="1833" t="str">
        <f t="shared" si="251"/>
        <v/>
      </c>
      <c r="CA74" s="1833" t="str">
        <f t="shared" si="252"/>
        <v/>
      </c>
      <c r="CB74" s="1833" t="str">
        <f t="shared" si="253"/>
        <v/>
      </c>
      <c r="CC74" s="1834" t="str">
        <f t="shared" si="254"/>
        <v/>
      </c>
      <c r="CD74" s="1739">
        <f t="shared" si="246"/>
        <v>0</v>
      </c>
      <c r="CE74" s="1740">
        <f t="shared" si="267"/>
        <v>0</v>
      </c>
      <c r="CF74" s="1741">
        <f t="shared" si="267"/>
        <v>0</v>
      </c>
      <c r="CG74" s="1741">
        <f t="shared" si="267"/>
        <v>0</v>
      </c>
      <c r="CH74" s="1741">
        <f t="shared" si="267"/>
        <v>0</v>
      </c>
      <c r="CI74" s="1741">
        <f t="shared" si="267"/>
        <v>0</v>
      </c>
      <c r="CJ74" s="1741">
        <f t="shared" si="267"/>
        <v>0</v>
      </c>
      <c r="CK74" s="1742">
        <f t="shared" si="267"/>
        <v>0</v>
      </c>
      <c r="CL74" s="1742">
        <f t="shared" si="267"/>
        <v>0</v>
      </c>
      <c r="CM74" s="1742">
        <f t="shared" si="267"/>
        <v>0</v>
      </c>
      <c r="CN74" s="1741">
        <f t="shared" si="267"/>
        <v>0</v>
      </c>
      <c r="CO74" s="1741">
        <f t="shared" si="267"/>
        <v>0</v>
      </c>
      <c r="CP74" s="1741">
        <f t="shared" si="267"/>
        <v>0</v>
      </c>
      <c r="CQ74" s="1741">
        <f t="shared" si="267"/>
        <v>0</v>
      </c>
      <c r="CR74" s="1741">
        <f t="shared" si="267"/>
        <v>0</v>
      </c>
      <c r="CS74" s="1740">
        <f t="shared" si="267"/>
        <v>0</v>
      </c>
      <c r="CT74" s="1743">
        <f t="shared" si="267"/>
        <v>0</v>
      </c>
      <c r="CU74" s="1752">
        <f t="shared" si="225"/>
        <v>0</v>
      </c>
      <c r="CV74" s="1753">
        <f t="shared" si="226"/>
        <v>0</v>
      </c>
      <c r="CW74" s="1754">
        <f t="shared" si="227"/>
        <v>0</v>
      </c>
      <c r="CX74" s="1754">
        <f t="shared" si="228"/>
        <v>0</v>
      </c>
      <c r="CY74" s="1754">
        <f t="shared" si="229"/>
        <v>0</v>
      </c>
      <c r="CZ74" s="1754">
        <f t="shared" si="230"/>
        <v>0</v>
      </c>
      <c r="DA74" s="1754">
        <f t="shared" si="231"/>
        <v>0</v>
      </c>
      <c r="DB74" s="1755">
        <f t="shared" si="232"/>
        <v>0</v>
      </c>
      <c r="DC74" s="1755">
        <f t="shared" si="233"/>
        <v>0</v>
      </c>
      <c r="DD74" s="1755">
        <f t="shared" si="234"/>
        <v>0</v>
      </c>
      <c r="DE74" s="1754">
        <f t="shared" si="235"/>
        <v>0</v>
      </c>
      <c r="DF74" s="1754">
        <f t="shared" si="236"/>
        <v>0</v>
      </c>
      <c r="DG74" s="1754">
        <f t="shared" si="237"/>
        <v>0</v>
      </c>
      <c r="DH74" s="1754">
        <f t="shared" si="238"/>
        <v>0</v>
      </c>
      <c r="DI74" s="1754">
        <f t="shared" si="239"/>
        <v>0</v>
      </c>
      <c r="DJ74" s="1753">
        <f t="shared" si="240"/>
        <v>0</v>
      </c>
      <c r="DK74" s="1752">
        <f t="shared" si="241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C999" sqref="C999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1161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Full-time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Full-time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Full-time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0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0.46566101593823173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>SUM(D859:D864,D886)</f>
        <v>0.64832311232876716</v>
      </c>
      <c r="E16" s="1397">
        <f>SUM(E859:E864,E886)</f>
        <v>0.65562785305105853</v>
      </c>
      <c r="F16" s="1397">
        <f>SUM(F859:F864,F886)</f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>SUM(N859:N864,N886)</f>
        <v>-0.14518068477836063</v>
      </c>
      <c r="O16" s="1397">
        <f>SUM(O859:O864,O886)</f>
        <v>-0.19507034330887121</v>
      </c>
      <c r="P16" s="1397">
        <f>SUM(P859:P864,P886)</f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>SUM(D865:D885,D887:D888)</f>
        <v>0.37127087708592782</v>
      </c>
      <c r="E17" s="1397">
        <f>SUM(E865:E885,E887:E888)</f>
        <v>0.41068180423412204</v>
      </c>
      <c r="F17" s="1397">
        <f>SUM(F865:F885,F887:F888)</f>
        <v>0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>SUM(N865:N885,N887:N888)</f>
        <v>-0.14663410314393066</v>
      </c>
      <c r="O17" s="1397">
        <f>SUM(O865:O885,O887:O888)</f>
        <v>-0.18604503029212494</v>
      </c>
      <c r="P17" s="1397">
        <f>SUM(P865:P885,P887:P888)</f>
        <v>0.22463677394199713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26016</v>
      </c>
      <c r="D20" s="1453">
        <f>SUM(D21:D30)</f>
        <v>31986</v>
      </c>
      <c r="E20" s="1453">
        <f>SUM(E21:E30)</f>
        <v>57600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900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10630</v>
      </c>
      <c r="D24" s="1400">
        <f>SUM(D965:D968)</f>
        <v>14500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4200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4500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900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27600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25205.920000000002</v>
      </c>
      <c r="D31" s="1453">
        <f>SUM(D32:D41)</f>
        <v>31483.920000000002</v>
      </c>
      <c r="E31" s="1453">
        <f>SUM(E32:E41)</f>
        <v>55401.919999999998</v>
      </c>
      <c r="F31" s="1453">
        <f>SUM(F32:F41)</f>
        <v>0</v>
      </c>
      <c r="G31" s="1452"/>
      <c r="H31" s="1454"/>
      <c r="I31" s="1454"/>
      <c r="J31" s="1454"/>
      <c r="K31" s="1454"/>
      <c r="L31" s="1452"/>
      <c r="M31" s="1453">
        <f>SUM(M32:M41)</f>
        <v>1645.5917309011047</v>
      </c>
      <c r="N31" s="1453">
        <f>SUM(N32:N41)</f>
        <v>-6654.4082690988953</v>
      </c>
      <c r="O31" s="1453">
        <f>SUM(O32:O41)</f>
        <v>-27083.408269098894</v>
      </c>
      <c r="P31" s="1453">
        <f>SUM(P32:P41)</f>
        <v>18778.511730901104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>C988</f>
        <v>6340</v>
      </c>
      <c r="D32" s="1403">
        <f>D988</f>
        <v>7060</v>
      </c>
      <c r="E32" s="1403">
        <f>E988</f>
        <v>9960</v>
      </c>
      <c r="F32" s="1403">
        <f>F988</f>
        <v>0</v>
      </c>
      <c r="G32" s="1460"/>
      <c r="H32" s="1461"/>
      <c r="I32" s="1461"/>
      <c r="J32" s="1461"/>
      <c r="K32" s="1461"/>
      <c r="L32" s="1460"/>
      <c r="M32" s="1403">
        <f>M988</f>
        <v>1279.4161419899574</v>
      </c>
      <c r="N32" s="1403">
        <f>N988</f>
        <v>679.41614198995762</v>
      </c>
      <c r="O32" s="1403">
        <f>O988</f>
        <v>-1200.5838580100424</v>
      </c>
      <c r="P32" s="1403">
        <f>P988</f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>SUM(C989:C991)</f>
        <v>6535.920000000001</v>
      </c>
      <c r="D33" s="1403">
        <f>SUM(D989:D991)</f>
        <v>6711.920000000001</v>
      </c>
      <c r="E33" s="1403">
        <f>SUM(E989:E991)</f>
        <v>9008.9200000000019</v>
      </c>
      <c r="F33" s="1403">
        <f>SUM(F989:F991)</f>
        <v>0</v>
      </c>
      <c r="G33" s="1460"/>
      <c r="H33" s="1461"/>
      <c r="I33" s="1461"/>
      <c r="J33" s="1461"/>
      <c r="K33" s="1461"/>
      <c r="L33" s="1460"/>
      <c r="M33" s="1403">
        <f>SUM(M989:M991)</f>
        <v>2821.1755889111473</v>
      </c>
      <c r="N33" s="1403">
        <f>SUM(N989:N991)</f>
        <v>2645.1755889111473</v>
      </c>
      <c r="O33" s="1403">
        <f>SUM(O989:O991)</f>
        <v>348.17558891114754</v>
      </c>
      <c r="P33" s="1403">
        <f>SUM(P989:P991)</f>
        <v>9357.0955889111465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0">C992</f>
        <v>1100</v>
      </c>
      <c r="D34" s="1403">
        <f t="shared" si="0"/>
        <v>2156</v>
      </c>
      <c r="E34" s="1403">
        <f t="shared" si="0"/>
        <v>5277</v>
      </c>
      <c r="F34" s="1403">
        <f t="shared" si="0"/>
        <v>0</v>
      </c>
      <c r="G34" s="1462"/>
      <c r="H34" s="1463"/>
      <c r="I34" s="1463"/>
      <c r="J34" s="1463"/>
      <c r="K34" s="1463"/>
      <c r="L34" s="1462"/>
      <c r="M34" s="1403">
        <f t="shared" ref="M34:P41" si="1">M992</f>
        <v>530</v>
      </c>
      <c r="N34" s="1403">
        <f t="shared" si="1"/>
        <v>-526</v>
      </c>
      <c r="O34" s="1403">
        <f t="shared" si="1"/>
        <v>-3647</v>
      </c>
      <c r="P34" s="1403">
        <f t="shared" si="1"/>
        <v>1630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0"/>
        <v>0</v>
      </c>
      <c r="D35" s="1403">
        <f t="shared" si="0"/>
        <v>0</v>
      </c>
      <c r="E35" s="1403">
        <f t="shared" si="0"/>
        <v>0</v>
      </c>
      <c r="F35" s="1403">
        <f t="shared" si="0"/>
        <v>0</v>
      </c>
      <c r="G35" s="1462"/>
      <c r="H35" s="1463"/>
      <c r="I35" s="1463"/>
      <c r="J35" s="1463"/>
      <c r="K35" s="1463"/>
      <c r="L35" s="1462"/>
      <c r="M35" s="1403">
        <f t="shared" si="1"/>
        <v>800</v>
      </c>
      <c r="N35" s="1403">
        <f t="shared" si="1"/>
        <v>800</v>
      </c>
      <c r="O35" s="1403">
        <f t="shared" si="1"/>
        <v>800</v>
      </c>
      <c r="P35" s="1403">
        <f t="shared" si="1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0"/>
        <v>773</v>
      </c>
      <c r="D36" s="1403">
        <f t="shared" si="0"/>
        <v>631</v>
      </c>
      <c r="E36" s="1403">
        <f t="shared" si="0"/>
        <v>3100</v>
      </c>
      <c r="F36" s="1403">
        <f t="shared" si="0"/>
        <v>0</v>
      </c>
      <c r="G36" s="1462"/>
      <c r="H36" s="1463"/>
      <c r="I36" s="1463"/>
      <c r="J36" s="1463"/>
      <c r="K36" s="1463"/>
      <c r="L36" s="1462"/>
      <c r="M36" s="1403">
        <f t="shared" si="1"/>
        <v>0</v>
      </c>
      <c r="N36" s="1403">
        <f t="shared" si="1"/>
        <v>0</v>
      </c>
      <c r="O36" s="1403">
        <f t="shared" si="1"/>
        <v>0</v>
      </c>
      <c r="P36" s="1403">
        <f t="shared" si="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0"/>
        <v>1588</v>
      </c>
      <c r="D37" s="1403">
        <f t="shared" si="0"/>
        <v>3275</v>
      </c>
      <c r="E37" s="1403">
        <f t="shared" si="0"/>
        <v>4293</v>
      </c>
      <c r="F37" s="1403">
        <f t="shared" si="0"/>
        <v>0</v>
      </c>
      <c r="G37" s="1462"/>
      <c r="H37" s="1463"/>
      <c r="I37" s="1463"/>
      <c r="J37" s="1463"/>
      <c r="K37" s="1463"/>
      <c r="L37" s="1462"/>
      <c r="M37" s="1403">
        <f t="shared" si="1"/>
        <v>-708</v>
      </c>
      <c r="N37" s="1403">
        <f t="shared" si="1"/>
        <v>-2395</v>
      </c>
      <c r="O37" s="1403">
        <f t="shared" si="1"/>
        <v>-3413</v>
      </c>
      <c r="P37" s="1403">
        <f t="shared" si="1"/>
        <v>880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0"/>
        <v>1200</v>
      </c>
      <c r="D38" s="1403">
        <f t="shared" si="0"/>
        <v>2250</v>
      </c>
      <c r="E38" s="1403">
        <f t="shared" si="0"/>
        <v>5500</v>
      </c>
      <c r="F38" s="1403">
        <f t="shared" si="0"/>
        <v>0</v>
      </c>
      <c r="G38" s="1462"/>
      <c r="H38" s="1463"/>
      <c r="I38" s="1463"/>
      <c r="J38" s="1463"/>
      <c r="K38" s="1463"/>
      <c r="L38" s="1462"/>
      <c r="M38" s="1403">
        <f t="shared" si="1"/>
        <v>0</v>
      </c>
      <c r="N38" s="1403">
        <f t="shared" si="1"/>
        <v>-1050</v>
      </c>
      <c r="O38" s="1403">
        <f t="shared" si="1"/>
        <v>-4300</v>
      </c>
      <c r="P38" s="1403">
        <f t="shared" si="1"/>
        <v>1200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0"/>
        <v>4000</v>
      </c>
      <c r="D39" s="1403">
        <f t="shared" si="0"/>
        <v>2000</v>
      </c>
      <c r="E39" s="1403">
        <f t="shared" si="0"/>
        <v>2000</v>
      </c>
      <c r="F39" s="1403">
        <f t="shared" si="0"/>
        <v>0</v>
      </c>
      <c r="G39" s="1462"/>
      <c r="H39" s="1463"/>
      <c r="I39" s="1463"/>
      <c r="J39" s="1463"/>
      <c r="K39" s="1463"/>
      <c r="L39" s="1462"/>
      <c r="M39" s="1403">
        <f t="shared" si="1"/>
        <v>0</v>
      </c>
      <c r="N39" s="1403">
        <f t="shared" si="1"/>
        <v>0</v>
      </c>
      <c r="O39" s="1403">
        <f t="shared" si="1"/>
        <v>0</v>
      </c>
      <c r="P39" s="1403">
        <f t="shared" si="1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0"/>
        <v>1360</v>
      </c>
      <c r="D40" s="1403">
        <f t="shared" si="0"/>
        <v>1900</v>
      </c>
      <c r="E40" s="1403">
        <f t="shared" si="0"/>
        <v>5263</v>
      </c>
      <c r="F40" s="1403">
        <f t="shared" si="0"/>
        <v>0</v>
      </c>
      <c r="G40" s="1462"/>
      <c r="H40" s="1463"/>
      <c r="I40" s="1463"/>
      <c r="J40" s="1463"/>
      <c r="K40" s="1463"/>
      <c r="L40" s="1462"/>
      <c r="M40" s="1403">
        <f t="shared" si="1"/>
        <v>-768</v>
      </c>
      <c r="N40" s="1403">
        <f t="shared" si="1"/>
        <v>-1308</v>
      </c>
      <c r="O40" s="1403">
        <f t="shared" si="1"/>
        <v>-4671</v>
      </c>
      <c r="P40" s="1403">
        <f t="shared" si="1"/>
        <v>592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0"/>
        <v>2309</v>
      </c>
      <c r="D41" s="1403">
        <f t="shared" si="0"/>
        <v>5500</v>
      </c>
      <c r="E41" s="1403">
        <f t="shared" si="0"/>
        <v>11000</v>
      </c>
      <c r="F41" s="1403">
        <f t="shared" si="0"/>
        <v>0</v>
      </c>
      <c r="G41" s="1462"/>
      <c r="H41" s="1463"/>
      <c r="I41" s="1463"/>
      <c r="J41" s="1463"/>
      <c r="K41" s="1463"/>
      <c r="L41" s="1462"/>
      <c r="M41" s="1403">
        <f t="shared" si="1"/>
        <v>-2309</v>
      </c>
      <c r="N41" s="1403">
        <f t="shared" si="1"/>
        <v>-5500</v>
      </c>
      <c r="O41" s="1403">
        <f t="shared" si="1"/>
        <v>-11000</v>
      </c>
      <c r="P41" s="1403">
        <f t="shared" si="1"/>
        <v>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0.24369618696186962</v>
      </c>
      <c r="D42" s="1397">
        <f>IF(D20=0,"",D32/D20)</f>
        <v>0.22072156568498719</v>
      </c>
      <c r="E42" s="1397">
        <f>IF(E20=0,"",E32/E20)</f>
        <v>0.17291666666666666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810.07999999999811</v>
      </c>
      <c r="D43" s="1404">
        <f>D20-D31</f>
        <v>502.07999999999811</v>
      </c>
      <c r="E43" s="1404">
        <f>E20-E31</f>
        <v>2198.0800000000017</v>
      </c>
      <c r="F43" s="1404">
        <f>F20-F31</f>
        <v>0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2">SUM(C51)</f>
        <v>0</v>
      </c>
      <c r="I51" s="1479">
        <f t="shared" si="2"/>
        <v>0</v>
      </c>
      <c r="J51" s="1479">
        <f t="shared" si="2"/>
        <v>0</v>
      </c>
      <c r="K51" s="1479">
        <f t="shared" si="2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2"/>
        <v>0</v>
      </c>
      <c r="I52" s="1479">
        <f t="shared" si="2"/>
        <v>0</v>
      </c>
      <c r="J52" s="1479">
        <f t="shared" si="2"/>
        <v>0</v>
      </c>
      <c r="K52" s="1479">
        <f t="shared" si="2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3">SUM(C54)</f>
        <v>0</v>
      </c>
      <c r="I54" s="1479">
        <f t="shared" si="3"/>
        <v>0</v>
      </c>
      <c r="J54" s="1479">
        <f t="shared" si="3"/>
        <v>0</v>
      </c>
      <c r="K54" s="1479">
        <f t="shared" si="3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3"/>
        <v>0</v>
      </c>
      <c r="I55" s="1479">
        <f t="shared" si="3"/>
        <v>0</v>
      </c>
      <c r="J55" s="1479">
        <f t="shared" si="3"/>
        <v>0</v>
      </c>
      <c r="K55" s="1479">
        <f t="shared" si="3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1165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1166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4">IF(H88="","",SUM(H88)-SUM(C88))</f>
        <v/>
      </c>
      <c r="N88" s="1507" t="str">
        <f t="shared" si="4"/>
        <v/>
      </c>
      <c r="O88" s="1507" t="str">
        <f t="shared" si="4"/>
        <v/>
      </c>
      <c r="P88" s="1507" t="str">
        <f t="shared" si="4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4"/>
        <v/>
      </c>
      <c r="N89" s="1537" t="str">
        <f t="shared" si="4"/>
        <v/>
      </c>
      <c r="O89" s="1537" t="str">
        <f t="shared" si="4"/>
        <v/>
      </c>
      <c r="P89" s="1537" t="str">
        <f t="shared" si="4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4"/>
        <v/>
      </c>
      <c r="N90" s="1537" t="str">
        <f t="shared" si="4"/>
        <v/>
      </c>
      <c r="O90" s="1537" t="str">
        <f t="shared" si="4"/>
        <v/>
      </c>
      <c r="P90" s="1537" t="str">
        <f t="shared" si="4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1165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1166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5">IF(H115="","",SUM(H115)-SUM(C115))</f>
        <v/>
      </c>
      <c r="N115" s="1507" t="str">
        <f t="shared" si="5"/>
        <v/>
      </c>
      <c r="O115" s="1507" t="str">
        <f t="shared" si="5"/>
        <v/>
      </c>
      <c r="P115" s="1507" t="str">
        <f t="shared" si="5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5"/>
        <v/>
      </c>
      <c r="N116" s="1537" t="str">
        <f t="shared" si="5"/>
        <v/>
      </c>
      <c r="O116" s="1537" t="str">
        <f t="shared" si="5"/>
        <v/>
      </c>
      <c r="P116" s="1537" t="str">
        <f t="shared" si="5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5"/>
        <v/>
      </c>
      <c r="N117" s="1537" t="str">
        <f t="shared" si="5"/>
        <v/>
      </c>
      <c r="O117" s="1537" t="str">
        <f t="shared" si="5"/>
        <v/>
      </c>
      <c r="P117" s="1537" t="str">
        <f t="shared" si="5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1167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1168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6">IF(H143="","",SUM(H143)-SUM(C143))</f>
        <v/>
      </c>
      <c r="N143" s="1507" t="str">
        <f t="shared" si="6"/>
        <v/>
      </c>
      <c r="O143" s="1507" t="str">
        <f t="shared" si="6"/>
        <v/>
      </c>
      <c r="P143" s="1507" t="str">
        <f t="shared" si="6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6"/>
        <v/>
      </c>
      <c r="N144" s="1537" t="str">
        <f t="shared" si="6"/>
        <v/>
      </c>
      <c r="O144" s="1537" t="str">
        <f t="shared" si="6"/>
        <v/>
      </c>
      <c r="P144" s="1537" t="str">
        <f t="shared" si="6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6"/>
        <v/>
      </c>
      <c r="N145" s="1537" t="str">
        <f t="shared" si="6"/>
        <v/>
      </c>
      <c r="O145" s="1537" t="str">
        <f t="shared" si="6"/>
        <v/>
      </c>
      <c r="P145" s="1537" t="str">
        <f t="shared" si="6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1167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1168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7">IF(H171="","",SUM(H171)-SUM(C171))</f>
        <v/>
      </c>
      <c r="N171" s="1507" t="str">
        <f t="shared" si="7"/>
        <v/>
      </c>
      <c r="O171" s="1507" t="str">
        <f t="shared" si="7"/>
        <v/>
      </c>
      <c r="P171" s="1507" t="str">
        <f t="shared" si="7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7"/>
        <v/>
      </c>
      <c r="N172" s="1537" t="str">
        <f t="shared" si="7"/>
        <v/>
      </c>
      <c r="O172" s="1537" t="str">
        <f t="shared" si="7"/>
        <v/>
      </c>
      <c r="P172" s="1537" t="str">
        <f t="shared" si="7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7"/>
        <v/>
      </c>
      <c r="N173" s="1537" t="str">
        <f t="shared" si="7"/>
        <v/>
      </c>
      <c r="O173" s="1537" t="str">
        <f t="shared" si="7"/>
        <v/>
      </c>
      <c r="P173" s="1537" t="str">
        <f t="shared" si="7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1169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>IF(C179="","",C178*C179*2350*$K$1/$P$1/365/C$46)</f>
        <v/>
      </c>
      <c r="D180" s="1536" t="str">
        <f>IF(D179="","",D178*D179*2350*$K$1/$P$1/365/D$46)</f>
        <v/>
      </c>
      <c r="E180" s="1536" t="str">
        <f>IF(E179="","",E178*E179*2350*$K$1/$P$1/365/E$46)</f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>IF(I178="","",I178*D179*2350*$K$1/$P$1/365/I$46)</f>
        <v/>
      </c>
      <c r="J180" s="1548" t="str">
        <f>IF(J178="","",J178*E179*2350*$K$1/$P$1/365/J$46)</f>
        <v/>
      </c>
      <c r="K180" s="1548" t="str">
        <f>IF(K178="","",K178*F179*2350*$K$1/$P$1/365/K$46)</f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1170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>IF(C182="","",C181*C182*1450*$K$1/$P$1/365/C$46)</f>
        <v/>
      </c>
      <c r="D183" s="1536" t="str">
        <f>IF(D182="","",D181*D182*1450*$K$1/$P$1/365/D$46)</f>
        <v/>
      </c>
      <c r="E183" s="1536" t="str">
        <f>IF(E182="","",E181*E182*1450*$K$1/$P$1/365/E$46)</f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>IF(I181="","",I181*D182*1450*$K$1/$P$1/365/I$46)</f>
        <v/>
      </c>
      <c r="J183" s="1548" t="str">
        <f>IF(J181="","",J181*E182*1450*$K$1/$P$1/365/J$46)</f>
        <v/>
      </c>
      <c r="K183" s="1548" t="str">
        <f>IF(K181="","",K181*F182*1450*$K$1/$P$1/365/K$46)</f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1171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1172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1173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1174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1175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1176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>IF(D474="","",D471*D474)</f>
        <v>840</v>
      </c>
      <c r="E475" s="1593">
        <f>IF(E474="","",E471*E474)</f>
        <v>960</v>
      </c>
      <c r="F475" s="1593" t="str">
        <f>IF(F474="","",F471*F474)</f>
        <v/>
      </c>
      <c r="G475" s="1571"/>
      <c r="H475" s="1594">
        <f>IF(H$46=0,"",H471*H474)</f>
        <v>253.30270446325812</v>
      </c>
      <c r="I475" s="1594">
        <f>IF(I$46=0,"",I471*I474)</f>
        <v>253.30270446325812</v>
      </c>
      <c r="J475" s="1594">
        <f>IF(J$46=0,"",J471*J474)</f>
        <v>253.30270446325812</v>
      </c>
      <c r="K475" s="1594">
        <f>IF(K$46=0,"",K471*K474)</f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>IF(H$46=0,"",H478*H479*H483)</f>
        <v>112.10914104859619</v>
      </c>
      <c r="I484" s="1594">
        <f>IF(I$46=0,"",I478*I479*I483)</f>
        <v>112.10914104859619</v>
      </c>
      <c r="J484" s="1594">
        <f>IF(J$46=0,"",J478*J479*J483)</f>
        <v>112.10914104859619</v>
      </c>
      <c r="K484" s="1594">
        <f>IF(K$46=0,"",K478*K479*K483)</f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>IF(H$46=0,"",H487*H488*H492)</f>
        <v>3299.0465376773309</v>
      </c>
      <c r="I493" s="1594">
        <f>IF(I$46=0,"",I487*I488*I492)</f>
        <v>3299.0465376773309</v>
      </c>
      <c r="J493" s="1594">
        <f>IF(J$46=0,"",J487*J488*J492)</f>
        <v>3299.0465376773309</v>
      </c>
      <c r="K493" s="1594">
        <f>IF(K$46=0,"",K487*K488*K492)</f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>IF(D501="","",D496*D497*D501)</f>
        <v>1440</v>
      </c>
      <c r="E502" s="1593" t="str">
        <f>IF(E501="","",E496*E497*E501)</f>
        <v/>
      </c>
      <c r="F502" s="1593" t="str">
        <f>IF(F501="","",F496*F497*F501)</f>
        <v/>
      </c>
      <c r="G502" s="1514"/>
      <c r="H502" s="1594">
        <f>IF(H$46=0,"",H496*H497*H501)</f>
        <v>654.95775880077258</v>
      </c>
      <c r="I502" s="1594">
        <f>IF(I$46=0,"",I496*I497*I501)</f>
        <v>654.95775880077258</v>
      </c>
      <c r="J502" s="1594">
        <f>IF(J$46=0,"",J496*J497*J501)</f>
        <v>654.95775880077258</v>
      </c>
      <c r="K502" s="1594">
        <f>IF(K$46=0,"",K496*K497*K501)</f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>IF(I$46=0,"",I503*I504*I507)</f>
        <v>339.05447997369646</v>
      </c>
      <c r="J508" s="1599">
        <f>IF(J$46=0,"",J503*J504*J507)</f>
        <v>339.05447997369646</v>
      </c>
      <c r="K508" s="1599">
        <f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>IF(I$46=0,"",I509*I510*I513)</f>
        <v>90.935638881621742</v>
      </c>
      <c r="J514" s="1599">
        <f>IF(J$46=0,"",J509*J510*J513)</f>
        <v>90.935638881621742</v>
      </c>
      <c r="K514" s="1599">
        <f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>IF(I$46=0,"",I515*I516*I519)</f>
        <v>306.8350372084858</v>
      </c>
      <c r="J520" s="1599">
        <f>IF(J$46=0,"",J515*J516*J519)</f>
        <v>306.8350372084858</v>
      </c>
      <c r="K520" s="1599">
        <f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>IF(I$46=0,"",I521*I522*I525)</f>
        <v>220.80268479249924</v>
      </c>
      <c r="J526" s="1599">
        <f>IF(J$46=0,"",J521*J522*J525)</f>
        <v>220.80268479249924</v>
      </c>
      <c r="K526" s="1599">
        <f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>IF(SUM(D528)=0,"",D528*D529/D$46/365/$P$1)</f>
        <v>6.1785280199252793E-3</v>
      </c>
      <c r="E530" s="1597" t="str">
        <f>IF(SUM(E528)=0,"",E528*E529/E$46/365/$P$1)</f>
        <v/>
      </c>
      <c r="F530" s="1597" t="str">
        <f>IF(SUM(F528)=0,"",F528*F529/F$46/365/$P$1)</f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>IF(D531="","",D528*D531)</f>
        <v>420</v>
      </c>
      <c r="E532" s="1598" t="str">
        <f>IF(E531="","",E528*E531)</f>
        <v/>
      </c>
      <c r="F532" s="1598" t="str">
        <f>IF(F531="","",F528*F531)</f>
        <v/>
      </c>
      <c r="G532" s="1484"/>
      <c r="H532" s="1599">
        <f>IF(H$46=0,"",IF($D531="",H528*H531,H528*$D531))</f>
        <v>452.15098481069435</v>
      </c>
      <c r="I532" s="1599">
        <f>IF(I$46=0,"",IF($D531="",I528*I531,I528*$D531))</f>
        <v>452.15098481069435</v>
      </c>
      <c r="J532" s="1599">
        <f>IF(J$46=0,"",IF($D531="",J528*J531,J528*$D531))</f>
        <v>452.15098481069435</v>
      </c>
      <c r="K532" s="1599">
        <f>IF(K$46=0,"",IF($D531="",K528*K531,K528*$D531))</f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>IF(SUM(D534)=0,"",D534*D535/D$46/365/$P$1)</f>
        <v>2.8448602117061021E-2</v>
      </c>
      <c r="E536" s="1597">
        <f>IF(SUM(E534)=0,"",E534*E535/E$46/365/$P$1)</f>
        <v>2.8448602117061021E-2</v>
      </c>
      <c r="F536" s="1597" t="str">
        <f>IF(SUM(F534)=0,"",F534*F535/F$46/365/$P$1)</f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>IF(D537="","",D534*D537)</f>
        <v/>
      </c>
      <c r="E538" s="1598" t="str">
        <f>IF(E537="","",E534*E537)</f>
        <v/>
      </c>
      <c r="F538" s="1598" t="str">
        <f>IF(F537="","",F534*F537)</f>
        <v/>
      </c>
      <c r="G538" s="1484"/>
      <c r="H538" s="1599">
        <f>IF(H$46=0,"",IF($D537="",H534*H537,H534*$D537))</f>
        <v>2938.0214976968996</v>
      </c>
      <c r="I538" s="1599">
        <f>IF(I$46=0,"",IF($D537="",I534*I537,I534*$D537))</f>
        <v>2938.0214976968996</v>
      </c>
      <c r="J538" s="1599">
        <f>IF(J$46=0,"",IF($D537="",J534*J537,J534*$D537))</f>
        <v>2938.0214976968996</v>
      </c>
      <c r="K538" s="1599">
        <f>IF(K$46=0,"",IF($D537="",K534*K537,K534*$D537))</f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>IF(I$46=0,"",I539*I540*I543)</f>
        <v>836.13569075210034</v>
      </c>
      <c r="J544" s="1599">
        <f>IF(J$46=0,"",J539*J540*J543)</f>
        <v>836.13569075210034</v>
      </c>
      <c r="K544" s="1599">
        <f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>IF(SUM(D546)=0,"",D546*D547/D$46/365/$P$1)</f>
        <v>1.8313991282689912E-3</v>
      </c>
      <c r="E548" s="1597">
        <f>IF(SUM(E546)=0,"",E546*E547/E$46/365/$P$1)</f>
        <v>1.8313991282689912E-3</v>
      </c>
      <c r="F548" s="1597" t="str">
        <f>IF(SUM(F546)=0,"",F546*F547/F$46/365/$P$1)</f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>IF(D549="","",D546*D549)</f>
        <v>94</v>
      </c>
      <c r="E550" s="1598">
        <f>IF(E549="","",E546*E549)</f>
        <v>94</v>
      </c>
      <c r="F550" s="1598" t="str">
        <f>IF(F549="","",F546*F549)</f>
        <v/>
      </c>
      <c r="G550" s="1484"/>
      <c r="H550" s="1599">
        <f>IF(H$46=0,"",IF($D549="",H546*H549,H546*$D549))</f>
        <v>242.08905866644574</v>
      </c>
      <c r="I550" s="1599">
        <f>IF(I$46=0,"",IF($D549="",I546*I549,I546*$D549))</f>
        <v>242.08905866644574</v>
      </c>
      <c r="J550" s="1599">
        <f>IF(J$46=0,"",IF($D549="",J546*J549,J546*$D549))</f>
        <v>242.08905866644574</v>
      </c>
      <c r="K550" s="1599">
        <f>IF(K$46=0,"",IF($D549="",K546*K549,K546*$D549))</f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>IF(SUM(D552)=0,"",D552*D553/D$46/365/$P$1)</f>
        <v>1.7245132004981318E-3</v>
      </c>
      <c r="E554" s="1597">
        <f>IF(SUM(E552)=0,"",E552*E553/E$46/365/$P$1)</f>
        <v>1.7245132004981318E-3</v>
      </c>
      <c r="F554" s="1597" t="str">
        <f>IF(SUM(F552)=0,"",F552*F553/F$46/365/$P$1)</f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>IF(D555="","",D552*D555)</f>
        <v>201.6</v>
      </c>
      <c r="E556" s="1598">
        <f>IF(E555="","",E552*E555)</f>
        <v>201.6</v>
      </c>
      <c r="F556" s="1598" t="str">
        <f>IF(F555="","",F552*F555)</f>
        <v/>
      </c>
      <c r="G556" s="1484"/>
      <c r="H556" s="1599">
        <f>IF(H$46=0,"",IF($D555="",H552*H555,H552*$D555))</f>
        <v>272.3160850448977</v>
      </c>
      <c r="I556" s="1599">
        <f>IF(I$46=0,"",IF($D555="",I552*I555,I552*$D555))</f>
        <v>272.3160850448977</v>
      </c>
      <c r="J556" s="1599">
        <f>IF(J$46=0,"",IF($D555="",J552*J555,J552*$D555))</f>
        <v>272.3160850448977</v>
      </c>
      <c r="K556" s="1599">
        <f>IF(K$46=0,"",IF($D555="",K552*K555,K552*$D555))</f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>IF(SUM(D558)=0,"",D558*D559/D$46/365/$P$1)</f>
        <v>7.8209215442092154E-4</v>
      </c>
      <c r="E560" s="1597">
        <f>IF(SUM(E558)=0,"",E558*E559/E$46/365/$P$1)</f>
        <v>7.8209215442092154E-4</v>
      </c>
      <c r="F560" s="1597" t="str">
        <f>IF(SUM(F558)=0,"",F558*F559/F$46/365/$P$1)</f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>IF(D561="","",D558*D561)</f>
        <v>162.60000000000002</v>
      </c>
      <c r="E562" s="1598">
        <f>IF(E561="","",E558*E561)</f>
        <v>162.60000000000002</v>
      </c>
      <c r="F562" s="1598" t="str">
        <f>IF(F561="","",F558*F561)</f>
        <v/>
      </c>
      <c r="G562" s="1484"/>
      <c r="H562" s="1599">
        <f>IF(H$46=0,"",IF($D561="",H558*H561,H558*$D561))</f>
        <v>247.51383305691971</v>
      </c>
      <c r="I562" s="1599">
        <f>IF(I$46=0,"",IF($D561="",I558*I561,I558*$D561))</f>
        <v>247.51383305691971</v>
      </c>
      <c r="J562" s="1599">
        <f>IF(J$46=0,"",IF($D561="",J558*J561,J558*$D561))</f>
        <v>247.51383305691971</v>
      </c>
      <c r="K562" s="1599">
        <f>IF(K$46=0,"",IF($D561="",K558*K561,K558*$D561))</f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>IF(SUM(D564)=0,"",D564*D565/D$46/365/$P$1)</f>
        <v>1.8770211706102117E-3</v>
      </c>
      <c r="E566" s="1597">
        <f>IF(SUM(E564)=0,"",E564*E565/E$46/365/$P$1)</f>
        <v>1.8770211706102117E-3</v>
      </c>
      <c r="F566" s="1597" t="str">
        <f>IF(SUM(F564)=0,"",F564*F565/F$46/365/$P$1)</f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>IF(D567="","",D564*D567)</f>
        <v>360</v>
      </c>
      <c r="E568" s="1598">
        <f>IF(E567="","",E564*E567)</f>
        <v>360</v>
      </c>
      <c r="F568" s="1598" t="str">
        <f>IF(F567="","",F564*F567)</f>
        <v/>
      </c>
      <c r="G568" s="1484"/>
      <c r="H568" s="1599">
        <f>IF(H$46=0,"",IF($D567="",H564*H567,H564*$D567))</f>
        <v>487.76009633593742</v>
      </c>
      <c r="I568" s="1599">
        <f>IF(I$46=0,"",IF($D567="",I564*I567,I564*$D567))</f>
        <v>487.76009633593742</v>
      </c>
      <c r="J568" s="1599">
        <f>IF(J$46=0,"",IF($D567="",J564*J567,J564*$D567))</f>
        <v>487.76009633593742</v>
      </c>
      <c r="K568" s="1599">
        <f>IF(K$46=0,"",IF($D567="",K564*K567,K564*$D567))</f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>IF(SUM(D570)=0,"",D570*D571/D$46/365/$P$1)</f>
        <v/>
      </c>
      <c r="E572" s="1597" t="str">
        <f>IF(SUM(E570)=0,"",E570*E571/E$46/365/$P$1)</f>
        <v/>
      </c>
      <c r="F572" s="1597" t="str">
        <f>IF(SUM(F570)=0,"",F570*F571/F$46/365/$P$1)</f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>IF(D573="","",D570*D573)</f>
        <v/>
      </c>
      <c r="E574" s="1598" t="str">
        <f>IF(E573="","",E570*E573)</f>
        <v/>
      </c>
      <c r="F574" s="1598" t="str">
        <f>IF(F573="","",F570*F573)</f>
        <v/>
      </c>
      <c r="G574" s="1484"/>
      <c r="H574" s="1599">
        <f>IF(H$46=0,"",IF($D573="",H570*H573,H570*$D573))</f>
        <v>100.95869431399049</v>
      </c>
      <c r="I574" s="1599">
        <f>IF(I$46=0,"",IF($D573="",I570*I573,I570*$D573))</f>
        <v>100.95869431399049</v>
      </c>
      <c r="J574" s="1599">
        <f>IF(J$46=0,"",IF($D573="",J570*J573,J570*$D573))</f>
        <v>100.95869431399049</v>
      </c>
      <c r="K574" s="1599">
        <f>IF(K$46=0,"",IF($D573="",K570*K573,K570*$D573))</f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>IF(I$46=0,"",I575*I576*I579)</f>
        <v>209.27810371917028</v>
      </c>
      <c r="J580" s="1599">
        <f>IF(J$46=0,"",J575*J576*J579)</f>
        <v>209.27810371917028</v>
      </c>
      <c r="K580" s="1599">
        <f>IF(K$46=0,"",K575*K576*K579)</f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>IF(I$46=0,"",I581*I582*I585)</f>
        <v>1213.2815818320641</v>
      </c>
      <c r="J586" s="1599">
        <f>IF(J$46=0,"",J581*J582*J585)</f>
        <v>1213.2815818320641</v>
      </c>
      <c r="K586" s="1599">
        <f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>IF(I$46=0,"",I587*I588*I591)</f>
        <v>147.07300793594877</v>
      </c>
      <c r="J592" s="1599">
        <f>IF(J$46=0,"",J587*J588*J591)</f>
        <v>147.07300793594877</v>
      </c>
      <c r="K592" s="1599">
        <f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>IF(I$46=0,"",IF($D604="",I601*I604,I601*$D604))</f>
        <v>111.35017082014306</v>
      </c>
      <c r="J605" s="1599">
        <f>IF(J$46=0,"",IF($D604="",J601*J604,J601*$D604))</f>
        <v>111.35017082014306</v>
      </c>
      <c r="K605" s="1599">
        <f>IF(K$46=0,"",IF($D604="",K601*K604,K601*$D604))</f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>IF(I$46=0,"",IF($D610="",I607*I610,I607*$D610))</f>
        <v>129.0183227297029</v>
      </c>
      <c r="J611" s="1599">
        <f>IF(J$46=0,"",IF($D610="",J607*J610,J607*$D610))</f>
        <v>129.0183227297029</v>
      </c>
      <c r="K611" s="1599">
        <f>IF(K$46=0,"",IF($D610="",K607*K610,K607*$D610))</f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>D614</f>
        <v>2219.0039999999999</v>
      </c>
      <c r="J614" s="1604">
        <f>E614</f>
        <v>2219.0039999999999</v>
      </c>
      <c r="K614" s="1604">
        <f>F614</f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>IF(I$46=0,"",IF($D616="",I613*I616,I613*$D616))</f>
        <v>0</v>
      </c>
      <c r="J617" s="1605">
        <f>IF(J$46=0,"",IF($D616="",J613*J616,J613*$D616))</f>
        <v>0</v>
      </c>
      <c r="K617" s="1605">
        <f>IF(K$46=0,"",IF($D616="",K613*K616,K613*$D616))</f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>IF(I$46=0,"",IF($D622="",I619*I622,I619*$D622))</f>
        <v>792.52062033992991</v>
      </c>
      <c r="J623" s="1599">
        <f>IF(J$46=0,"",IF($D622="",J619*J622,J619*$D622))</f>
        <v>792.52062033992991</v>
      </c>
      <c r="K623" s="1599">
        <f>IF(K$46=0,"",IF($D622="",K619*K622,K619*$D622))</f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>IF(I$46=0,"",IF($D634="",I631*I634,I631*$D634))</f>
        <v>0</v>
      </c>
      <c r="J635" s="1605">
        <f>IF(J$46=0,"",IF($D634="",J631*J634,J631*$D634))</f>
        <v>0</v>
      </c>
      <c r="K635" s="1605">
        <f>IF(K$46=0,"",IF($D634="",K631*K634,K631*$D634))</f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0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 t="str">
        <f>IF(SUM(K640)=SUM(F640),"",SUM(K640)-SUM(F640))</f>
        <v/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 t="str">
        <f>IF(SUM(K642)=SUM(F642),"",SUM(K642)-SUM(F642))</f>
        <v/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">IF(C646&gt;0,C646,"")</f>
        <v/>
      </c>
      <c r="I646" s="1609" t="str">
        <f t="shared" si="8"/>
        <v/>
      </c>
      <c r="J646" s="1609" t="str">
        <f t="shared" si="8"/>
        <v/>
      </c>
      <c r="K646" s="1609" t="str">
        <f t="shared" si="8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"/>
        <v/>
      </c>
      <c r="I647" s="1609" t="str">
        <f t="shared" si="8"/>
        <v/>
      </c>
      <c r="J647" s="1609" t="str">
        <f t="shared" si="8"/>
        <v/>
      </c>
      <c r="K647" s="1609" t="str">
        <f t="shared" si="8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>IF(D646="","",((D645*D646*D647*D648)*3630*$K$1)/D$46/365/$P$1)</f>
        <v/>
      </c>
      <c r="E649" s="1548" t="str">
        <f>IF(E646="","",((E645*E646*E647*E648)*3630*$K$1)/E$46/365/$P$1)</f>
        <v/>
      </c>
      <c r="F649" s="1548" t="str">
        <f>IF(F646="","",((F645*F646*F647*F648)*3630*$K$1)/F$46/365/$P$1)</f>
        <v/>
      </c>
      <c r="G649" s="1508"/>
      <c r="H649" s="1548" t="str">
        <f>IF(H646="","",((H645*H646*H647*C648)*3630*$K$1)/H$46/365/$P$1)</f>
        <v/>
      </c>
      <c r="I649" s="1548" t="str">
        <f>IF(I646="","",((I645*I646*I647*D648)*3630*$K$1)/I$46/365/$P$1)</f>
        <v/>
      </c>
      <c r="J649" s="1548" t="str">
        <f>IF(J646="","",((J645*J646*J647*E648)*3630*$K$1)/J$46/365/$P$1)</f>
        <v/>
      </c>
      <c r="K649" s="1548" t="str">
        <f>IF(K646="","",((K645*K646*K647*F648)*3630*$K$1)/K$46/365/$P$1)</f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9">IF(C652&gt;0,C652,"")</f>
        <v/>
      </c>
      <c r="I652" s="1609" t="str">
        <f t="shared" si="9"/>
        <v/>
      </c>
      <c r="J652" s="1609" t="str">
        <f t="shared" si="9"/>
        <v/>
      </c>
      <c r="K652" s="1609" t="str">
        <f t="shared" si="9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9"/>
        <v/>
      </c>
      <c r="I653" s="1609" t="str">
        <f t="shared" si="9"/>
        <v/>
      </c>
      <c r="J653" s="1609" t="str">
        <f t="shared" si="9"/>
        <v/>
      </c>
      <c r="K653" s="1609" t="str">
        <f t="shared" si="9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>IF(D652="","",((D651*D652*D653*D654)*3630*$K$1)/D$46/365/$P$1)</f>
        <v/>
      </c>
      <c r="E655" s="1548" t="str">
        <f>IF(E652="","",((E651*E652*E653*E654)*3630*$K$1)/E$46/365/$P$1)</f>
        <v/>
      </c>
      <c r="F655" s="1548" t="str">
        <f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>IF(I652="","",((I651*I652*I653*D654)*3630*$K$1)/I$46/365/$P$1)</f>
        <v/>
      </c>
      <c r="J655" s="1548" t="str">
        <f>IF(J652="","",((J651*J652*J653*E654)*3630*$K$1)/J$46/365/$P$1)</f>
        <v/>
      </c>
      <c r="K655" s="1548" t="str">
        <f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10">IF(C658&gt;0,C658,"")</f>
        <v/>
      </c>
      <c r="I658" s="1609" t="str">
        <f t="shared" si="10"/>
        <v/>
      </c>
      <c r="J658" s="1609" t="str">
        <f t="shared" si="10"/>
        <v/>
      </c>
      <c r="K658" s="1609" t="str">
        <f t="shared" si="10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10"/>
        <v/>
      </c>
      <c r="I659" s="1609" t="str">
        <f t="shared" si="10"/>
        <v/>
      </c>
      <c r="J659" s="1609" t="str">
        <f t="shared" si="10"/>
        <v/>
      </c>
      <c r="K659" s="1609" t="str">
        <f t="shared" si="10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>IF(D658="","",((D657*D658*D659*D660)*3630*$K$1)/D$46/365/$P$1)</f>
        <v/>
      </c>
      <c r="E661" s="1548" t="str">
        <f>IF(E658="","",((E657*E658*E659*E660)*3630*$K$1)/E$46/365/$P$1)</f>
        <v/>
      </c>
      <c r="F661" s="1548" t="str">
        <f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>IF(I658="","",((I657*I658*I659*D660)*3630*$K$1)/I$46/365/$P$1)</f>
        <v/>
      </c>
      <c r="J661" s="1548" t="str">
        <f>IF(J658="","",((J657*J658*J659*E660)*3630*$K$1)/J$46/365/$P$1)</f>
        <v/>
      </c>
      <c r="K661" s="1548" t="str">
        <f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1">IF(C705&gt;0,C705,"")</f>
        <v/>
      </c>
      <c r="I705" s="1609" t="str">
        <f t="shared" si="11"/>
        <v/>
      </c>
      <c r="J705" s="1609" t="str">
        <f t="shared" si="11"/>
        <v/>
      </c>
      <c r="K705" s="1609" t="str">
        <f t="shared" si="11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1"/>
        <v/>
      </c>
      <c r="I706" s="1609" t="str">
        <f t="shared" si="11"/>
        <v/>
      </c>
      <c r="J706" s="1609" t="str">
        <f t="shared" si="11"/>
        <v/>
      </c>
      <c r="K706" s="1609" t="str">
        <f t="shared" si="11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3780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3780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2">IF(C711&gt;0,C711,"")</f>
        <v/>
      </c>
      <c r="I711" s="1609" t="str">
        <f t="shared" si="12"/>
        <v/>
      </c>
      <c r="J711" s="1609" t="str">
        <f t="shared" si="12"/>
        <v/>
      </c>
      <c r="K711" s="1609" t="str">
        <f t="shared" si="12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2"/>
        <v/>
      </c>
      <c r="I712" s="1609" t="str">
        <f t="shared" si="12"/>
        <v/>
      </c>
      <c r="J712" s="1609" t="str">
        <f t="shared" si="12"/>
        <v/>
      </c>
      <c r="K712" s="1609" t="str">
        <f t="shared" si="12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3850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3850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3">IF(C717&gt;0,C717,"")</f>
        <v/>
      </c>
      <c r="I717" s="1609" t="str">
        <f t="shared" si="13"/>
        <v/>
      </c>
      <c r="J717" s="1609" t="str">
        <f t="shared" si="13"/>
        <v/>
      </c>
      <c r="K717" s="1609" t="str">
        <f t="shared" si="13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3"/>
        <v/>
      </c>
      <c r="I718" s="1609" t="str">
        <f t="shared" si="13"/>
        <v/>
      </c>
      <c r="J718" s="1609" t="str">
        <f t="shared" si="13"/>
        <v/>
      </c>
      <c r="K718" s="1609" t="str">
        <f t="shared" si="13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3000</v>
      </c>
      <c r="D720" s="1532">
        <f>IF(Data!BW720="","",Data!BW720)</f>
        <v>3000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3000</v>
      </c>
      <c r="I720" s="1609">
        <f>IF(D720="","",D720*'Exp factors'!D$28)</f>
        <v>3000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4">IF(C722&gt;0,C722,"")</f>
        <v/>
      </c>
      <c r="I722" s="1609" t="str">
        <f t="shared" si="14"/>
        <v/>
      </c>
      <c r="J722" s="1609" t="str">
        <f t="shared" si="14"/>
        <v/>
      </c>
      <c r="K722" s="1609" t="str">
        <f t="shared" si="14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4"/>
        <v/>
      </c>
      <c r="J723" s="1609" t="str">
        <f t="shared" si="14"/>
        <v/>
      </c>
      <c r="K723" s="1609" t="str">
        <f t="shared" si="14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>IF(PRODUCT(SUM(I721),SUM(I722),SUM(I723))=0,"",I721*I722*I723)</f>
        <v/>
      </c>
      <c r="J724" s="1616" t="str">
        <f>IF(PRODUCT(SUM(J721),SUM(J722),SUM(J723))=0,"",J721*J722*J723)</f>
        <v/>
      </c>
      <c r="K724" s="1616" t="str">
        <f>IF(PRODUCT(SUM(K721),SUM(K722),SUM(K723))=0,"",K721*K722*K723)</f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>IF(PRODUCT(SUM(I725),SUM(I726))=0,"",I725*I726)</f>
        <v/>
      </c>
      <c r="J727" s="1507" t="str">
        <f>IF(PRODUCT(SUM(J725),SUM(J726))=0,"",J725*J726)</f>
        <v/>
      </c>
      <c r="K727" s="1507" t="str">
        <f>IF(PRODUCT(SUM(K725),SUM(K726))=0,"",K725*K726)</f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5">IF(C729&gt;0,C729,"")</f>
        <v/>
      </c>
      <c r="I729" s="1609" t="str">
        <f t="shared" si="15"/>
        <v/>
      </c>
      <c r="J729" s="1609" t="str">
        <f t="shared" si="15"/>
        <v/>
      </c>
      <c r="K729" s="1609" t="str">
        <f t="shared" si="15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5"/>
        <v/>
      </c>
      <c r="I730" s="1609" t="str">
        <f t="shared" si="15"/>
        <v/>
      </c>
      <c r="J730" s="1609" t="str">
        <f t="shared" si="15"/>
        <v/>
      </c>
      <c r="K730" s="1609" t="str">
        <f t="shared" si="15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20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6">IF(C734&gt;0,C734,"")</f>
        <v>20</v>
      </c>
      <c r="I734" s="1609">
        <f t="shared" si="16"/>
        <v>1</v>
      </c>
      <c r="J734" s="1609">
        <f t="shared" si="16"/>
        <v>1</v>
      </c>
      <c r="K734" s="1609" t="str">
        <f t="shared" si="16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6"/>
        <v>2</v>
      </c>
      <c r="I735" s="1609">
        <f t="shared" si="16"/>
        <v>3</v>
      </c>
      <c r="J735" s="1609">
        <f t="shared" si="16"/>
        <v>12</v>
      </c>
      <c r="K735" s="1609" t="str">
        <f t="shared" si="16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105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4200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4200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7">IF(C740&gt;0,C740,"")</f>
        <v/>
      </c>
      <c r="I740" s="1609" t="str">
        <f t="shared" si="17"/>
        <v/>
      </c>
      <c r="J740" s="1609" t="str">
        <f t="shared" si="17"/>
        <v/>
      </c>
      <c r="K740" s="1609" t="str">
        <f t="shared" si="17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7"/>
        <v/>
      </c>
      <c r="I741" s="1609" t="str">
        <f t="shared" si="17"/>
        <v/>
      </c>
      <c r="J741" s="1609" t="str">
        <f t="shared" si="17"/>
        <v/>
      </c>
      <c r="K741" s="1609" t="str">
        <f t="shared" si="17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8">IF(C746&gt;0,C746,"")</f>
        <v/>
      </c>
      <c r="I746" s="1609" t="str">
        <f t="shared" si="18"/>
        <v/>
      </c>
      <c r="J746" s="1609" t="str">
        <f t="shared" si="18"/>
        <v/>
      </c>
      <c r="K746" s="1609" t="str">
        <f t="shared" si="18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8"/>
        <v/>
      </c>
      <c r="I747" s="1609" t="str">
        <f t="shared" si="18"/>
        <v/>
      </c>
      <c r="J747" s="1609" t="str">
        <f t="shared" si="18"/>
        <v/>
      </c>
      <c r="K747" s="1609" t="str">
        <f t="shared" si="18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9">IF(C752&gt;0,C752,"")</f>
        <v/>
      </c>
      <c r="I752" s="1609" t="str">
        <f t="shared" si="19"/>
        <v/>
      </c>
      <c r="J752" s="1609" t="str">
        <f t="shared" si="19"/>
        <v/>
      </c>
      <c r="K752" s="1609" t="str">
        <f t="shared" si="19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9"/>
        <v/>
      </c>
      <c r="I753" s="1609" t="str">
        <f t="shared" si="19"/>
        <v/>
      </c>
      <c r="J753" s="1609" t="str">
        <f t="shared" si="19"/>
        <v/>
      </c>
      <c r="K753" s="1609" t="str">
        <f t="shared" si="19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4500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5400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900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20">IF(C757&gt;0,C757,"")</f>
        <v/>
      </c>
      <c r="I757" s="1609" t="str">
        <f t="shared" si="20"/>
        <v/>
      </c>
      <c r="J757" s="1609" t="str">
        <f t="shared" si="20"/>
        <v/>
      </c>
      <c r="K757" s="1609" t="str">
        <f t="shared" si="20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20"/>
        <v/>
      </c>
      <c r="I758" s="1609" t="str">
        <f t="shared" si="20"/>
        <v/>
      </c>
      <c r="J758" s="1609" t="str">
        <f t="shared" si="20"/>
        <v/>
      </c>
      <c r="K758" s="1609" t="str">
        <f t="shared" si="20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20"/>
        <v/>
      </c>
      <c r="I759" s="1609" t="str">
        <f t="shared" si="20"/>
        <v/>
      </c>
      <c r="J759" s="1609" t="str">
        <f t="shared" si="20"/>
        <v/>
      </c>
      <c r="K759" s="1609" t="str">
        <f t="shared" si="20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27600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21">IF(C763&gt;0,C763,"")</f>
        <v/>
      </c>
      <c r="I763" s="1609" t="str">
        <f t="shared" si="21"/>
        <v/>
      </c>
      <c r="J763" s="1609" t="str">
        <f t="shared" si="21"/>
        <v/>
      </c>
      <c r="K763" s="1609" t="str">
        <f t="shared" si="21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21"/>
        <v/>
      </c>
      <c r="I764" s="1609" t="str">
        <f t="shared" si="21"/>
        <v/>
      </c>
      <c r="J764" s="1609" t="str">
        <f t="shared" si="21"/>
        <v/>
      </c>
      <c r="K764" s="1609" t="str">
        <f t="shared" si="21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 t="str">
        <f>IF(Data!BY772="","",Data!BY772)</f>
        <v/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22">IF(H772="","",SUM(H772)-SUM(C772))</f>
        <v>-42</v>
      </c>
      <c r="N772" s="1623">
        <f t="shared" si="22"/>
        <v>-56</v>
      </c>
      <c r="O772" s="1623">
        <f t="shared" si="22"/>
        <v>-56</v>
      </c>
      <c r="P772" s="1623">
        <f t="shared" si="22"/>
        <v>160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 t="str">
        <f>IF(Data!BY773="","",Data!BY773)</f>
        <v/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22"/>
        <v>-12</v>
      </c>
      <c r="N773" s="1623">
        <f t="shared" si="22"/>
        <v>0</v>
      </c>
      <c r="O773" s="1623">
        <f t="shared" si="22"/>
        <v>-27</v>
      </c>
      <c r="P773" s="1623">
        <f t="shared" si="22"/>
        <v>60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 t="str">
        <f>IF(Data!BY774="","",Data!BY774)</f>
        <v/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22"/>
        <v>160</v>
      </c>
      <c r="N774" s="1623">
        <f t="shared" si="22"/>
        <v>-56</v>
      </c>
      <c r="O774" s="1623">
        <f t="shared" si="22"/>
        <v>-27</v>
      </c>
      <c r="P774" s="1623">
        <f t="shared" si="22"/>
        <v>400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 t="str">
        <f>IF(Data!BY775="","",Data!BY775)</f>
        <v/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22"/>
        <v>40</v>
      </c>
      <c r="N775" s="1623">
        <f t="shared" si="22"/>
        <v>-800</v>
      </c>
      <c r="O775" s="1623">
        <f t="shared" si="22"/>
        <v>-2450</v>
      </c>
      <c r="P775" s="1623">
        <f t="shared" si="22"/>
        <v>400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22"/>
        <v>0</v>
      </c>
      <c r="N776" s="1623">
        <f t="shared" si="22"/>
        <v>0</v>
      </c>
      <c r="O776" s="1623">
        <f t="shared" si="22"/>
        <v>0</v>
      </c>
      <c r="P776" s="1623">
        <f t="shared" si="22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23">IF(H781="","",SUM(H781)-SUM(C781))</f>
        <v>800</v>
      </c>
      <c r="N781" s="1623">
        <f t="shared" si="23"/>
        <v>800</v>
      </c>
      <c r="O781" s="1623">
        <f t="shared" si="23"/>
        <v>800</v>
      </c>
      <c r="P781" s="1623">
        <f t="shared" si="23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>
        <f>IF(Data!BV782="","",Data!BV782)</f>
        <v>500</v>
      </c>
      <c r="D782" s="1497">
        <f>IF(Data!BW782="","",Data!BW782)</f>
        <v>500</v>
      </c>
      <c r="E782" s="1497">
        <f>IF(Data!BX782="","",Data!BX782)</f>
        <v>2000</v>
      </c>
      <c r="F782" s="1497" t="str">
        <f>IF(Data!BY782="","",Data!BY782)</f>
        <v/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23"/>
        <v>300</v>
      </c>
      <c r="N782" s="1623">
        <f t="shared" si="23"/>
        <v>300</v>
      </c>
      <c r="O782" s="1623">
        <f t="shared" si="23"/>
        <v>-1200</v>
      </c>
      <c r="P782" s="1623">
        <f t="shared" si="23"/>
        <v>800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23"/>
        <v>0</v>
      </c>
      <c r="N783" s="1623">
        <f t="shared" si="23"/>
        <v>0</v>
      </c>
      <c r="O783" s="1623">
        <f t="shared" si="23"/>
        <v>0</v>
      </c>
      <c r="P783" s="1623">
        <f t="shared" si="23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 t="str">
        <f>IF(Data!BY784="","",Data!BY784)</f>
        <v/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0</v>
      </c>
      <c r="L784" s="1622"/>
      <c r="M784" s="1623">
        <f t="shared" si="23"/>
        <v>0</v>
      </c>
      <c r="N784" s="1623">
        <f t="shared" si="23"/>
        <v>0</v>
      </c>
      <c r="O784" s="1623">
        <f t="shared" si="23"/>
        <v>0</v>
      </c>
      <c r="P784" s="1623">
        <f t="shared" si="23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23"/>
        <v>0</v>
      </c>
      <c r="N785" s="1623">
        <f t="shared" si="23"/>
        <v>0</v>
      </c>
      <c r="O785" s="1623">
        <f t="shared" si="23"/>
        <v>0</v>
      </c>
      <c r="P785" s="1623">
        <f t="shared" si="23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24">IF(H790="","",SUM(H790)-SUM(C790))</f>
        <v/>
      </c>
      <c r="N790" s="1623" t="str">
        <f t="shared" ref="N790:P810" si="25">IF(I790="","",SUM(I790)-SUM(D790))</f>
        <v/>
      </c>
      <c r="O790" s="1623" t="str">
        <f t="shared" si="25"/>
        <v/>
      </c>
      <c r="P790" s="1623" t="str">
        <f t="shared" si="25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1000</v>
      </c>
      <c r="F791" s="1497" t="str">
        <f>IF(Data!BY791="","",Data!BY791)</f>
        <v/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1000</v>
      </c>
      <c r="K791" s="1589">
        <f>IF(K$46="","",IF('Exp factors'!$B98="poor",'Exp factors'!$G$98*K$46,SUM(F791)*'Exp factors'!F$98))</f>
        <v>0</v>
      </c>
      <c r="L791" s="1622"/>
      <c r="M791" s="1623">
        <f t="shared" si="24"/>
        <v>0</v>
      </c>
      <c r="N791" s="1623">
        <f t="shared" si="25"/>
        <v>0</v>
      </c>
      <c r="O791" s="1623">
        <f t="shared" si="25"/>
        <v>0</v>
      </c>
      <c r="P791" s="1623">
        <f t="shared" si="25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300</v>
      </c>
      <c r="F792" s="1497" t="str">
        <f>IF(Data!BY792="","",Data!BY792)</f>
        <v/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300</v>
      </c>
      <c r="K792" s="1589">
        <f>IF(K$46="","",IF('Exp factors'!$B99="poor",'Exp factors'!$G$99*K$46,SUM(F792)*'Exp factors'!F$99))</f>
        <v>0</v>
      </c>
      <c r="L792" s="1626"/>
      <c r="M792" s="1623">
        <f t="shared" si="24"/>
        <v>0</v>
      </c>
      <c r="N792" s="1623">
        <f t="shared" si="25"/>
        <v>0</v>
      </c>
      <c r="O792" s="1623">
        <f t="shared" si="25"/>
        <v>0</v>
      </c>
      <c r="P792" s="1623">
        <f t="shared" si="25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 t="str">
        <f>IF(Data!BV793="","",Data!BV793)</f>
        <v/>
      </c>
      <c r="D793" s="1497" t="str">
        <f>IF(Data!BW793="","",Data!BW793)</f>
        <v/>
      </c>
      <c r="E793" s="1497" t="str">
        <f>IF(Data!BX793="","",Data!BX793)</f>
        <v/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0</v>
      </c>
      <c r="I793" s="1589">
        <f>IF(I$46="","",IF('Exp factors'!$B100="poor",'Exp factors'!$G$100*I$46,SUM(D793)*'Exp factors'!D$100))</f>
        <v>0</v>
      </c>
      <c r="J793" s="1589">
        <f>IF(J$46="","",IF('Exp factors'!$B100="poor",'Exp factors'!$G$100*J$46,SUM(E793)*'Exp factors'!E$100))</f>
        <v>0</v>
      </c>
      <c r="K793" s="1589">
        <f>IF(K$46="","",IF('Exp factors'!$B100="poor",'Exp factors'!$G$100*K$46,SUM(F793)*'Exp factors'!F$100))</f>
        <v>0</v>
      </c>
      <c r="L793" s="1626"/>
      <c r="M793" s="1623">
        <f t="shared" si="24"/>
        <v>0</v>
      </c>
      <c r="N793" s="1623">
        <f t="shared" si="25"/>
        <v>0</v>
      </c>
      <c r="O793" s="1623">
        <f t="shared" si="25"/>
        <v>0</v>
      </c>
      <c r="P793" s="1623">
        <f t="shared" si="25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24"/>
        <v>0</v>
      </c>
      <c r="N794" s="1623">
        <f t="shared" si="25"/>
        <v>0</v>
      </c>
      <c r="O794" s="1623">
        <f t="shared" si="25"/>
        <v>0</v>
      </c>
      <c r="P794" s="1623">
        <f t="shared" si="25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 t="str">
        <f>IF(Data!BV795="","",Data!BV795)</f>
        <v/>
      </c>
      <c r="D795" s="1497" t="str">
        <f>IF(Data!BW795="","",Data!BW795)</f>
        <v/>
      </c>
      <c r="E795" s="1497" t="str">
        <f>IF(Data!BX795="","",Data!BX795)</f>
        <v/>
      </c>
      <c r="F795" s="1497" t="str">
        <f>IF(Data!BY795="","",Data!BY795)</f>
        <v/>
      </c>
      <c r="G795" s="1484"/>
      <c r="H795" s="1589">
        <f>IF(H$46="","",IF('Exp factors'!$B102="poor",'Exp factors'!$G$102*H$46,SUM(C795)*'Exp factors'!C$102))</f>
        <v>0</v>
      </c>
      <c r="I795" s="1589">
        <f>IF(I$46="","",IF('Exp factors'!$B102="poor",'Exp factors'!$G$102*I$46,SUM(D795)*'Exp factors'!D$102))</f>
        <v>0</v>
      </c>
      <c r="J795" s="1589">
        <f>IF(J$46="","",IF('Exp factors'!$B102="poor",'Exp factors'!$G$102*J$46,SUM(E795)*'Exp factors'!E$102))</f>
        <v>0</v>
      </c>
      <c r="K795" s="1589">
        <f>IF(K$46="","",IF('Exp factors'!$B102="poor",'Exp factors'!$G$102*K$46,SUM(F795)*'Exp factors'!F$102))</f>
        <v>0</v>
      </c>
      <c r="L795" s="1626"/>
      <c r="M795" s="1623">
        <f t="shared" si="24"/>
        <v>0</v>
      </c>
      <c r="N795" s="1623">
        <f t="shared" si="25"/>
        <v>0</v>
      </c>
      <c r="O795" s="1623">
        <f t="shared" si="25"/>
        <v>0</v>
      </c>
      <c r="P795" s="1623">
        <f t="shared" si="25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24"/>
        <v>0</v>
      </c>
      <c r="N796" s="1623">
        <f t="shared" si="25"/>
        <v>0</v>
      </c>
      <c r="O796" s="1623">
        <f t="shared" si="25"/>
        <v>0</v>
      </c>
      <c r="P796" s="1623">
        <f t="shared" si="25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600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600</v>
      </c>
      <c r="K797" s="1589">
        <f>IF(K$46="","",IF('Exp factors'!$B104="poor",'Exp factors'!$G$104*K$46,SUM(F797)*'Exp factors'!F$104))</f>
        <v>0</v>
      </c>
      <c r="L797" s="1626"/>
      <c r="M797" s="1623">
        <f t="shared" si="24"/>
        <v>0</v>
      </c>
      <c r="N797" s="1623">
        <f t="shared" si="25"/>
        <v>0</v>
      </c>
      <c r="O797" s="1623">
        <f t="shared" si="25"/>
        <v>0</v>
      </c>
      <c r="P797" s="1623">
        <f t="shared" si="25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 t="str">
        <f>IF(Data!BY798="","",Data!BY798)</f>
        <v/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0</v>
      </c>
      <c r="L798" s="1626"/>
      <c r="M798" s="1623">
        <f t="shared" si="24"/>
        <v>0</v>
      </c>
      <c r="N798" s="1623">
        <f t="shared" si="25"/>
        <v>0</v>
      </c>
      <c r="O798" s="1623">
        <f t="shared" si="25"/>
        <v>0</v>
      </c>
      <c r="P798" s="1623">
        <f t="shared" si="25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 t="str">
        <f>IF(Data!BY799="","",Data!BY799)</f>
        <v/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24"/>
        <v>-488</v>
      </c>
      <c r="N799" s="1623">
        <f t="shared" si="25"/>
        <v>-2375</v>
      </c>
      <c r="O799" s="1623">
        <f t="shared" si="25"/>
        <v>-2900</v>
      </c>
      <c r="P799" s="1623">
        <f t="shared" si="25"/>
        <v>600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 t="str">
        <f>IF(Data!BY800="","",Data!BY800)</f>
        <v/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24"/>
        <v>-220</v>
      </c>
      <c r="N800" s="1623">
        <f t="shared" si="25"/>
        <v>-20</v>
      </c>
      <c r="O800" s="1623">
        <f t="shared" si="25"/>
        <v>-513</v>
      </c>
      <c r="P800" s="1623">
        <f t="shared" si="25"/>
        <v>280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 t="str">
        <f>IF(Data!BY801="","",Data!BY801)</f>
        <v/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24"/>
        <v>0</v>
      </c>
      <c r="N801" s="1623">
        <f t="shared" si="25"/>
        <v>-1050</v>
      </c>
      <c r="O801" s="1623">
        <f t="shared" si="25"/>
        <v>-4300</v>
      </c>
      <c r="P801" s="1623">
        <f t="shared" si="25"/>
        <v>1200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 t="str">
        <f>IF(Data!BY802="","",Data!BY802)</f>
        <v/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24"/>
        <v>-120</v>
      </c>
      <c r="N802" s="1623">
        <f t="shared" si="25"/>
        <v>-160</v>
      </c>
      <c r="O802" s="1623">
        <f t="shared" si="25"/>
        <v>-2160</v>
      </c>
      <c r="P802" s="1623">
        <f t="shared" si="25"/>
        <v>240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1000</v>
      </c>
      <c r="D803" s="1497">
        <f>IF(Data!BW803="","",Data!BW803)</f>
        <v>1500</v>
      </c>
      <c r="E803" s="1497">
        <f>IF(Data!BX803="","",Data!BX803)</f>
        <v>2863</v>
      </c>
      <c r="F803" s="1497" t="str">
        <f>IF(Data!BY803="","",Data!BY803)</f>
        <v/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24"/>
        <v>-648</v>
      </c>
      <c r="N803" s="1623">
        <f t="shared" si="25"/>
        <v>-1148</v>
      </c>
      <c r="O803" s="1623">
        <f t="shared" si="25"/>
        <v>-2511</v>
      </c>
      <c r="P803" s="1623">
        <f t="shared" si="25"/>
        <v>352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4000</v>
      </c>
      <c r="D804" s="1497">
        <f>IF(Data!BW804="","",Data!BW804)</f>
        <v>2000</v>
      </c>
      <c r="E804" s="1497">
        <f>IF(Data!BX804="","",Data!BX804)</f>
        <v>2000</v>
      </c>
      <c r="F804" s="1497" t="str">
        <f>IF(Data!BY804="","",Data!BY804)</f>
        <v/>
      </c>
      <c r="G804" s="1484"/>
      <c r="H804" s="1589">
        <f>IF(H$46="","",IF('Exp factors'!$B81="poor",'Exp factors'!$G$81*H$46,SUM(C804)*'Exp factors'!C$81))</f>
        <v>4000</v>
      </c>
      <c r="I804" s="1589">
        <f>IF(I$46="","",IF('Exp factors'!$B81="poor",'Exp factors'!$G$81*I$46,SUM(D804)*'Exp factors'!D$81))</f>
        <v>2000</v>
      </c>
      <c r="J804" s="1589">
        <f>IF(J$46="","",IF('Exp factors'!$B81="poor",'Exp factors'!$G$81*J$46,SUM(E804)*'Exp factors'!E$81))</f>
        <v>2000</v>
      </c>
      <c r="K804" s="1589">
        <f>IF(K$46="","",IF('Exp factors'!$B81="poor",'Exp factors'!$G$81*K$46,SUM(F804)*'Exp factors'!F$81))</f>
        <v>0</v>
      </c>
      <c r="L804" s="1626"/>
      <c r="M804" s="1623">
        <f t="shared" si="24"/>
        <v>0</v>
      </c>
      <c r="N804" s="1623">
        <f t="shared" si="25"/>
        <v>0</v>
      </c>
      <c r="O804" s="1623">
        <f t="shared" si="25"/>
        <v>0</v>
      </c>
      <c r="P804" s="1623">
        <f t="shared" si="25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2500</v>
      </c>
      <c r="E805" s="1497">
        <f>IF(Data!BX805="","",Data!BX805)</f>
        <v>6000</v>
      </c>
      <c r="F805" s="1497" t="str">
        <f>IF(Data!BY805="","",Data!BY805)</f>
        <v/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24"/>
        <v>-1309</v>
      </c>
      <c r="N805" s="1623">
        <f t="shared" si="25"/>
        <v>-2500</v>
      </c>
      <c r="O805" s="1623">
        <f t="shared" si="25"/>
        <v>-6000</v>
      </c>
      <c r="P805" s="1623">
        <f t="shared" si="25"/>
        <v>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24"/>
        <v>30</v>
      </c>
      <c r="N806" s="1623">
        <f t="shared" si="25"/>
        <v>30</v>
      </c>
      <c r="O806" s="1623">
        <f t="shared" si="25"/>
        <v>30</v>
      </c>
      <c r="P806" s="1623">
        <f t="shared" si="25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24"/>
        <v>2467.3333333333339</v>
      </c>
      <c r="N807" s="1623">
        <f t="shared" si="25"/>
        <v>2467.3333333333339</v>
      </c>
      <c r="O807" s="1623">
        <f t="shared" si="25"/>
        <v>2467.3333333333339</v>
      </c>
      <c r="P807" s="1623">
        <f t="shared" si="25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24"/>
        <v>13872</v>
      </c>
      <c r="N808" s="1623">
        <f t="shared" si="25"/>
        <v>13872</v>
      </c>
      <c r="O808" s="1623">
        <f t="shared" si="25"/>
        <v>13872</v>
      </c>
      <c r="P808" s="1623">
        <f t="shared" si="25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24"/>
        <v>0</v>
      </c>
      <c r="N809" s="1623">
        <f t="shared" si="25"/>
        <v>0</v>
      </c>
      <c r="O809" s="1623">
        <f t="shared" si="25"/>
        <v>0</v>
      </c>
      <c r="P809" s="1623">
        <f t="shared" si="25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1000</v>
      </c>
      <c r="D810" s="1497">
        <f>IF(Data!BW810="","",Data!BW810)</f>
        <v>3000</v>
      </c>
      <c r="E810" s="1497">
        <f>IF(Data!BX810="","",Data!BX810)</f>
        <v>5000</v>
      </c>
      <c r="F810" s="1497" t="str">
        <f>IF(Data!BY810="","",Data!BY810)</f>
        <v/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24"/>
        <v>-1000</v>
      </c>
      <c r="N810" s="1623">
        <f t="shared" si="25"/>
        <v>-3000</v>
      </c>
      <c r="O810" s="1623">
        <f t="shared" si="25"/>
        <v>-5000</v>
      </c>
      <c r="P810" s="1623">
        <f t="shared" si="25"/>
        <v>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810.07999999999811</v>
      </c>
      <c r="D811" s="1629">
        <f>D20-D31</f>
        <v>502.07999999999811</v>
      </c>
      <c r="E811" s="1629">
        <f>E20-E31</f>
        <v>2198.0800000000017</v>
      </c>
      <c r="F811" s="1629">
        <f>F20-F31</f>
        <v>0</v>
      </c>
      <c r="G811" s="1610"/>
      <c r="H811" s="1630">
        <f>C811*'Exp factors'!$D$71</f>
        <v>810.07999999999811</v>
      </c>
      <c r="I811" s="1630">
        <f>D811*'Exp factors'!$D$71</f>
        <v>502.07999999999811</v>
      </c>
      <c r="J811" s="1630">
        <f>E811*'Exp factors'!$D$71</f>
        <v>2198.0800000000017</v>
      </c>
      <c r="K811" s="1630">
        <f>F811*'Exp factors'!$D$71</f>
        <v>0</v>
      </c>
      <c r="L811" s="1610"/>
      <c r="M811" s="1630">
        <f>IF(H811="","",SUM(H811)-SUM(C811))</f>
        <v>0</v>
      </c>
      <c r="N811" s="1630">
        <f>IF(I811="","",SUM(I811)-SUM(D811))</f>
        <v>0</v>
      </c>
      <c r="O811" s="1630">
        <f>IF(J811="","",SUM(J811)-SUM(E811))</f>
        <v>0</v>
      </c>
      <c r="P811" s="1630">
        <f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12604</v>
      </c>
      <c r="D812" s="1504">
        <f>SUM(D772:D776,D781:D785,D790:D810)</f>
        <v>17988</v>
      </c>
      <c r="E812" s="1504">
        <f>SUM(E772:E776,E781:E785,E790:E810)</f>
        <v>36736</v>
      </c>
      <c r="F812" s="1504">
        <f>SUM(F772:F776,F781:F785,F790:F810)</f>
        <v>0</v>
      </c>
      <c r="G812" s="1612"/>
      <c r="H812" s="1409">
        <f>SUM(H772:H776,H781:H785,H790:H810)</f>
        <v>26434.333333333336</v>
      </c>
      <c r="I812" s="1409">
        <f>SUM(I772:I776,I781:I785,I790:I810)</f>
        <v>24292.333333333336</v>
      </c>
      <c r="J812" s="1409">
        <f>SUM(J772:J776,J781:J785,J790:J810)</f>
        <v>26761.333333333336</v>
      </c>
      <c r="K812" s="1409">
        <f>SUM(K772:K776,K781:K785,K790:K810)</f>
        <v>21661.333333333336</v>
      </c>
      <c r="L812" s="1612"/>
      <c r="M812" s="1409">
        <f>SUM(M772:M776,M781:M785,M790:M810)</f>
        <v>13830.333333333334</v>
      </c>
      <c r="N812" s="1409">
        <f>SUM(N772:N776,N781:N785,N790:N810)</f>
        <v>6304.3333333333339</v>
      </c>
      <c r="O812" s="1409">
        <f>SUM(O772:O776,O781:O785,O790:O810)</f>
        <v>-9974.6666666666642</v>
      </c>
      <c r="P812" s="1409">
        <f>SUM(P772:P776,P781:P785,P790:P810)</f>
        <v>21661.333333333336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26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27">IF(MAX(C821:F821,H821:K821)&gt;0,S820+1,S820)</f>
        <v>0</v>
      </c>
      <c r="T821" s="1410" t="str">
        <f t="shared" si="26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27"/>
        <v>0</v>
      </c>
      <c r="T822" s="1410" t="str">
        <f t="shared" si="26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27"/>
        <v>0</v>
      </c>
      <c r="T823" s="1410" t="str">
        <f t="shared" si="26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27"/>
        <v>0</v>
      </c>
      <c r="T824" s="1410" t="str">
        <f t="shared" si="26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27"/>
        <v>0</v>
      </c>
      <c r="T825" s="1410" t="str">
        <f t="shared" si="26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27"/>
        <v>0</v>
      </c>
      <c r="T826" s="1410" t="str">
        <f t="shared" si="26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27"/>
        <v>0</v>
      </c>
      <c r="T827" s="1410" t="str">
        <f t="shared" si="26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27"/>
        <v>0</v>
      </c>
      <c r="T828" s="1410" t="str">
        <f t="shared" si="26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27"/>
        <v>0</v>
      </c>
      <c r="T829" s="1410" t="str">
        <f t="shared" si="26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27"/>
        <v>0</v>
      </c>
      <c r="T830" s="1410" t="str">
        <f t="shared" si="26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27"/>
        <v>0</v>
      </c>
      <c r="T831" s="1410" t="str">
        <f t="shared" si="26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27"/>
        <v>0</v>
      </c>
      <c r="T832" s="1410" t="str">
        <f t="shared" si="26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27"/>
        <v>0</v>
      </c>
      <c r="T833" s="1410" t="str">
        <f t="shared" si="26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27"/>
        <v>0</v>
      </c>
      <c r="T834" s="1410" t="str">
        <f t="shared" si="26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27"/>
        <v>0</v>
      </c>
      <c r="T835" s="1410" t="str">
        <f t="shared" si="26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27"/>
        <v>0</v>
      </c>
      <c r="T836" s="1410" t="str">
        <f t="shared" si="26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27"/>
        <v>0</v>
      </c>
      <c r="T837" s="1410" t="str">
        <f t="shared" si="26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27"/>
        <v>0</v>
      </c>
      <c r="T838" s="1410" t="str">
        <f t="shared" si="26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27"/>
        <v>0</v>
      </c>
      <c r="T839" s="1410" t="str">
        <f t="shared" si="26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27"/>
        <v>0</v>
      </c>
      <c r="T840" s="1410" t="str">
        <f t="shared" si="26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27"/>
        <v>0</v>
      </c>
      <c r="T841" s="1410" t="str">
        <f t="shared" si="26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27"/>
        <v>0</v>
      </c>
      <c r="T842" s="1410" t="str">
        <f t="shared" si="26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27"/>
        <v>0</v>
      </c>
      <c r="T843" s="1410" t="str">
        <f t="shared" si="26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27"/>
        <v>0</v>
      </c>
      <c r="T844" s="1410" t="str">
        <f t="shared" si="26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27"/>
        <v>0</v>
      </c>
      <c r="T845" s="1410" t="str">
        <f t="shared" si="26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27"/>
        <v>0</v>
      </c>
      <c r="T846" s="1410" t="str">
        <f t="shared" si="26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27"/>
        <v>0</v>
      </c>
      <c r="T847" s="1410" t="str">
        <f t="shared" si="26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27"/>
        <v>0</v>
      </c>
      <c r="T848" s="1410" t="str">
        <f t="shared" si="26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27"/>
        <v>0</v>
      </c>
      <c r="T849" s="1410" t="str">
        <f t="shared" si="26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27"/>
        <v>0</v>
      </c>
      <c r="T850" s="1410" t="str">
        <f t="shared" si="26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27"/>
        <v>0</v>
      </c>
      <c r="T851" s="1410" t="str">
        <f t="shared" si="26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27"/>
        <v>0</v>
      </c>
      <c r="T852" s="1410" t="str">
        <f t="shared" si="26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27"/>
        <v>0</v>
      </c>
      <c r="T853" s="1410" t="str">
        <f t="shared" si="26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27"/>
        <v>0</v>
      </c>
      <c r="T854" s="1410" t="str">
        <f t="shared" si="26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27"/>
        <v>0</v>
      </c>
      <c r="T855" s="1410" t="str">
        <f t="shared" si="26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27"/>
        <v>0</v>
      </c>
      <c r="T856" s="1410" t="str">
        <f t="shared" si="26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27"/>
        <v>0</v>
      </c>
      <c r="T857" s="1410" t="str">
        <f t="shared" si="26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>SUM(D$455)</f>
        <v>0.17694834993773351</v>
      </c>
      <c r="E859" s="1520">
        <f>SUM(E$455)</f>
        <v>0.17694834993773351</v>
      </c>
      <c r="F859" s="1520">
        <f>SUM(F$455)</f>
        <v>0</v>
      </c>
      <c r="G859" s="1611"/>
      <c r="H859" s="1520">
        <f>SUM(H$455)</f>
        <v>0</v>
      </c>
      <c r="I859" s="1520">
        <f>SUM(I$455)</f>
        <v>0</v>
      </c>
      <c r="J859" s="1520">
        <f>SUM(J$455)</f>
        <v>0</v>
      </c>
      <c r="K859" s="1520">
        <f>SUM(K$455)</f>
        <v>0</v>
      </c>
      <c r="L859" s="1611"/>
      <c r="M859" s="1520">
        <f>SUM(M$455)</f>
        <v>0</v>
      </c>
      <c r="N859" s="1520">
        <f>SUM(N$455)</f>
        <v>0</v>
      </c>
      <c r="O859" s="1520">
        <f>SUM(O$455)</f>
        <v>0</v>
      </c>
      <c r="P859" s="1520">
        <f>SUM(P$455)</f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>SUM(D$464)</f>
        <v>8.5169835616438358E-2</v>
      </c>
      <c r="E860" s="1520">
        <f>SUM(E$464)</f>
        <v>4.2584917808219179E-2</v>
      </c>
      <c r="F860" s="1520">
        <f>SUM(F$464)</f>
        <v>0</v>
      </c>
      <c r="G860" s="1611"/>
      <c r="H860" s="1520">
        <f>SUM(H$464)</f>
        <v>0</v>
      </c>
      <c r="I860" s="1520">
        <f>SUM(I$464)</f>
        <v>0</v>
      </c>
      <c r="J860" s="1520">
        <f>SUM(J$464)</f>
        <v>0</v>
      </c>
      <c r="K860" s="1520">
        <f>SUM(K$464)</f>
        <v>0</v>
      </c>
      <c r="L860" s="1611"/>
      <c r="M860" s="1520">
        <f>SUM(M$464)</f>
        <v>0</v>
      </c>
      <c r="N860" s="1520">
        <f>SUM(N$464)</f>
        <v>0</v>
      </c>
      <c r="O860" s="1520">
        <f>SUM(O$464)</f>
        <v>0</v>
      </c>
      <c r="P860" s="1520">
        <f>SUM(P$464)</f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>SUM(D$473)</f>
        <v>0.13843031133250311</v>
      </c>
      <c r="E861" s="1520">
        <f>SUM(E$473)</f>
        <v>0.13843031133250311</v>
      </c>
      <c r="F861" s="1520">
        <f>SUM(F$473)</f>
        <v>0</v>
      </c>
      <c r="G861" s="1611"/>
      <c r="H861" s="1520">
        <f>SUM(H$473)</f>
        <v>4.1743776476445053E-2</v>
      </c>
      <c r="I861" s="1520">
        <f>SUM(I$473)</f>
        <v>4.1743776476445053E-2</v>
      </c>
      <c r="J861" s="1520">
        <f>SUM(J$473)</f>
        <v>4.1743776476445053E-2</v>
      </c>
      <c r="K861" s="1520">
        <f>SUM(K$473)</f>
        <v>4.1743776476445053E-2</v>
      </c>
      <c r="L861" s="1611"/>
      <c r="M861" s="1520">
        <f>SUM(M$473)</f>
        <v>-9.6686534856058048E-2</v>
      </c>
      <c r="N861" s="1520">
        <f>SUM(N$473)</f>
        <v>-9.6686534856058048E-2</v>
      </c>
      <c r="O861" s="1520">
        <f>SUM(O$473)</f>
        <v>-9.6686534856058048E-2</v>
      </c>
      <c r="P861" s="1520">
        <f>SUM(P$473)</f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>SUM(D$482)</f>
        <v>2.44403798256538E-2</v>
      </c>
      <c r="E862" s="1520">
        <f>SUM(E$482)</f>
        <v>2.9328455790784556E-2</v>
      </c>
      <c r="F862" s="1520">
        <f>SUM(F$482)</f>
        <v>0</v>
      </c>
      <c r="G862" s="1611"/>
      <c r="H862" s="1520">
        <f>SUM(H$482)</f>
        <v>6.8499749728887158E-3</v>
      </c>
      <c r="I862" s="1520">
        <f>SUM(I$482)</f>
        <v>6.8499749728887158E-3</v>
      </c>
      <c r="J862" s="1520">
        <f>SUM(J$482)</f>
        <v>6.8499749728887158E-3</v>
      </c>
      <c r="K862" s="1520">
        <f>SUM(K$482)</f>
        <v>6.8499749728887158E-3</v>
      </c>
      <c r="L862" s="1611"/>
      <c r="M862" s="1520">
        <f>SUM(M$482)</f>
        <v>-1.7590404852765085E-2</v>
      </c>
      <c r="N862" s="1520">
        <f>SUM(N$482)</f>
        <v>-1.7590404852765085E-2</v>
      </c>
      <c r="O862" s="1520">
        <f>SUM(O$482)</f>
        <v>-2.247848081789584E-2</v>
      </c>
      <c r="P862" s="1520">
        <f>SUM(P$482)</f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>SUM(D$491)</f>
        <v>0</v>
      </c>
      <c r="E863" s="1520">
        <f>SUM(E$491)</f>
        <v>0.13303387546699874</v>
      </c>
      <c r="F863" s="1520">
        <f>SUM(F$491)</f>
        <v>0</v>
      </c>
      <c r="G863" s="1611"/>
      <c r="H863" s="1520">
        <f>SUM(H$491)</f>
        <v>0.15239060633791646</v>
      </c>
      <c r="I863" s="1520">
        <f>SUM(I$491)</f>
        <v>0.15239060633791646</v>
      </c>
      <c r="J863" s="1520">
        <f>SUM(J$491)</f>
        <v>0.15239060633791646</v>
      </c>
      <c r="K863" s="1520">
        <f>SUM(K$491)</f>
        <v>0.15239060633791646</v>
      </c>
      <c r="L863" s="1611"/>
      <c r="M863" s="1520">
        <f>SUM(M$491)</f>
        <v>0.15239060633791646</v>
      </c>
      <c r="N863" s="1520">
        <f>SUM(N$491)</f>
        <v>0.15239060633791646</v>
      </c>
      <c r="O863" s="1520">
        <f>SUM(O$491)</f>
        <v>1.9356730870917715E-2</v>
      </c>
      <c r="P863" s="1520">
        <f>SUM(P$491)</f>
        <v>0.15239060633791646</v>
      </c>
      <c r="Q863" s="1636" t="str">
        <f>$Q$493</f>
        <v>fpl</v>
      </c>
      <c r="R863" s="1428" t="str">
        <f t="shared" ref="R863:R887" si="2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>SUM(D$500)</f>
        <v>8.8032292901618917E-2</v>
      </c>
      <c r="E864" s="1520">
        <f>SUM(E$500)</f>
        <v>0</v>
      </c>
      <c r="F864" s="1520">
        <f>SUM(F$500)</f>
        <v>0</v>
      </c>
      <c r="G864" s="1611"/>
      <c r="H864" s="1520">
        <f>SUM(H$500)</f>
        <v>4.0039884208984369E-2</v>
      </c>
      <c r="I864" s="1520">
        <f>SUM(I$500)</f>
        <v>4.0039884208984369E-2</v>
      </c>
      <c r="J864" s="1520">
        <f>SUM(J$500)</f>
        <v>4.0039884208984369E-2</v>
      </c>
      <c r="K864" s="1520">
        <f>SUM(K$500)</f>
        <v>4.0039884208984369E-2</v>
      </c>
      <c r="L864" s="1611"/>
      <c r="M864" s="1520">
        <f>SUM(M$500)</f>
        <v>-1.864831105876158E-2</v>
      </c>
      <c r="N864" s="1520">
        <f>SUM(N$500)</f>
        <v>-4.7992408692634547E-2</v>
      </c>
      <c r="O864" s="1520">
        <f>SUM(O$500)</f>
        <v>4.0039884208984369E-2</v>
      </c>
      <c r="P864" s="1520">
        <f>SUM(P$500)</f>
        <v>4.0039884208984369E-2</v>
      </c>
      <c r="Q864" s="1636" t="str">
        <f>$Q$502</f>
        <v>fpl</v>
      </c>
      <c r="R864" s="1428" t="str">
        <f t="shared" si="2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>SUM(D$506)</f>
        <v>0</v>
      </c>
      <c r="E865" s="1520">
        <f>SUM(E$506)</f>
        <v>0</v>
      </c>
      <c r="F865" s="1520">
        <f>SUM(F$506)</f>
        <v>0</v>
      </c>
      <c r="G865" s="1611"/>
      <c r="H865" s="1520">
        <f>SUM(H$506)</f>
        <v>2.0254077046125727E-2</v>
      </c>
      <c r="I865" s="1520">
        <f>SUM(I$506)</f>
        <v>2.0254077046125727E-2</v>
      </c>
      <c r="J865" s="1520">
        <f>SUM(J$506)</f>
        <v>2.0254077046125727E-2</v>
      </c>
      <c r="K865" s="1520">
        <f>SUM(K$506)</f>
        <v>2.0254077046125727E-2</v>
      </c>
      <c r="L865" s="1611"/>
      <c r="M865" s="1520">
        <f>SUM(M$506)</f>
        <v>2.0254077046125727E-2</v>
      </c>
      <c r="N865" s="1520">
        <f>SUM(N$506)</f>
        <v>2.0254077046125727E-2</v>
      </c>
      <c r="O865" s="1520">
        <f>SUM(O$506)</f>
        <v>2.0254077046125727E-2</v>
      </c>
      <c r="P865" s="1520">
        <f>SUM(P$506)</f>
        <v>2.0254077046125727E-2</v>
      </c>
      <c r="Q865" s="1636" t="str">
        <f>$Q$508</f>
        <v>fpl</v>
      </c>
      <c r="R865" s="1428" t="str">
        <f t="shared" si="2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>SUM(D$512)</f>
        <v>7.9186830635118305E-2</v>
      </c>
      <c r="E866" s="1520">
        <f>SUM(E$512)</f>
        <v>7.9186830635118305E-2</v>
      </c>
      <c r="F866" s="1520">
        <f>SUM(F$512)</f>
        <v>0</v>
      </c>
      <c r="G866" s="1611"/>
      <c r="H866" s="1520">
        <f>SUM(H$512)</f>
        <v>1.3335009323731963E-2</v>
      </c>
      <c r="I866" s="1520">
        <f>SUM(I$512)</f>
        <v>1.3335009323731963E-2</v>
      </c>
      <c r="J866" s="1520">
        <f>SUM(J$512)</f>
        <v>1.3335009323731963E-2</v>
      </c>
      <c r="K866" s="1520">
        <f>SUM(K$512)</f>
        <v>1.3335009323731963E-2</v>
      </c>
      <c r="L866" s="1611"/>
      <c r="M866" s="1520">
        <f>SUM(M$512)</f>
        <v>-6.5851821311386338E-2</v>
      </c>
      <c r="N866" s="1520">
        <f>SUM(N$512)</f>
        <v>-6.5851821311386338E-2</v>
      </c>
      <c r="O866" s="1520">
        <f>SUM(O$512)</f>
        <v>-6.5851821311386338E-2</v>
      </c>
      <c r="P866" s="1520">
        <f>SUM(P$512)</f>
        <v>1.3335009323731963E-2</v>
      </c>
      <c r="Q866" s="1642" t="str">
        <f>$Q$514</f>
        <v>fpl</v>
      </c>
      <c r="R866" s="1428" t="str">
        <f t="shared" si="2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>SUM(D$518)</f>
        <v>0.17597073474470734</v>
      </c>
      <c r="E867" s="1520">
        <f>SUM(E$518)</f>
        <v>0.17597073474470734</v>
      </c>
      <c r="F867" s="1520">
        <f>SUM(F$518)</f>
        <v>0</v>
      </c>
      <c r="G867" s="1611"/>
      <c r="H867" s="1520">
        <f>SUM(H$518)</f>
        <v>6.9223060183329313E-2</v>
      </c>
      <c r="I867" s="1520">
        <f>SUM(I$518)</f>
        <v>6.9223060183329313E-2</v>
      </c>
      <c r="J867" s="1520">
        <f>SUM(J$518)</f>
        <v>6.9223060183329313E-2</v>
      </c>
      <c r="K867" s="1520">
        <f>SUM(K$518)</f>
        <v>6.9223060183329313E-2</v>
      </c>
      <c r="L867" s="1611"/>
      <c r="M867" s="1520">
        <f>SUM(M$518)</f>
        <v>-0.10674767456137803</v>
      </c>
      <c r="N867" s="1520">
        <f>SUM(N$518)</f>
        <v>-0.10674767456137803</v>
      </c>
      <c r="O867" s="1520">
        <f>SUM(O$518)</f>
        <v>-0.10674767456137803</v>
      </c>
      <c r="P867" s="1520">
        <f>SUM(P$518)</f>
        <v>6.9223060183329313E-2</v>
      </c>
      <c r="Q867" s="1636" t="str">
        <f>$Q$520</f>
        <v>fpl</v>
      </c>
      <c r="R867" s="1428" t="str">
        <f t="shared" si="2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>SUM(D$524)</f>
        <v>2.169002241594022E-2</v>
      </c>
      <c r="E868" s="1520">
        <f>SUM(E$524)</f>
        <v>6.5070067247820662E-2</v>
      </c>
      <c r="F868" s="1520">
        <f>SUM(F$524)</f>
        <v>0</v>
      </c>
      <c r="G868" s="1611"/>
      <c r="H868" s="1520">
        <f>SUM(H$524)</f>
        <v>4.1863769079100452E-3</v>
      </c>
      <c r="I868" s="1520">
        <f>SUM(I$524)</f>
        <v>4.1863769079100452E-3</v>
      </c>
      <c r="J868" s="1520">
        <f>SUM(J$524)</f>
        <v>4.1863769079100452E-3</v>
      </c>
      <c r="K868" s="1520">
        <f>SUM(K$524)</f>
        <v>4.1863769079100452E-3</v>
      </c>
      <c r="L868" s="1611"/>
      <c r="M868" s="1520">
        <f>SUM(M$524)</f>
        <v>-1.7503645508030175E-2</v>
      </c>
      <c r="N868" s="1520">
        <f>SUM(N$524)</f>
        <v>-1.7503645508030175E-2</v>
      </c>
      <c r="O868" s="1520">
        <f>SUM(O$524)</f>
        <v>-6.0883690339910618E-2</v>
      </c>
      <c r="P868" s="1520">
        <f>SUM(P$524)</f>
        <v>4.1863769079100452E-3</v>
      </c>
      <c r="Q868" s="1636" t="str">
        <f>$Q$526</f>
        <v>fpl</v>
      </c>
      <c r="R868" s="1428" t="str">
        <f t="shared" si="2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>SUM(D$530)</f>
        <v>6.1785280199252793E-3</v>
      </c>
      <c r="E869" s="1520">
        <f>SUM(E$530)</f>
        <v>0</v>
      </c>
      <c r="F869" s="1520">
        <f>SUM(F$530)</f>
        <v>0</v>
      </c>
      <c r="G869" s="1611"/>
      <c r="H869" s="1520">
        <f>SUM(H$530)</f>
        <v>6.6514941164040114E-3</v>
      </c>
      <c r="I869" s="1520">
        <f>SUM(I$530)</f>
        <v>6.6514941164040114E-3</v>
      </c>
      <c r="J869" s="1520">
        <f>SUM(J$530)</f>
        <v>6.6514941164040114E-3</v>
      </c>
      <c r="K869" s="1520">
        <f>SUM(K$530)</f>
        <v>6.6514941164040114E-3</v>
      </c>
      <c r="L869" s="1611"/>
      <c r="M869" s="1520">
        <f>SUM(M$530)</f>
        <v>6.6514941164040114E-3</v>
      </c>
      <c r="N869" s="1520">
        <f>SUM(N$530)</f>
        <v>4.7296609647873213E-4</v>
      </c>
      <c r="O869" s="1520">
        <f>SUM(O$530)</f>
        <v>6.6514941164040114E-3</v>
      </c>
      <c r="P869" s="1520">
        <f>SUM(P$530)</f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>SUM(D$536)</f>
        <v>2.8448602117061021E-2</v>
      </c>
      <c r="E870" s="1520">
        <f>SUM(E$536)</f>
        <v>2.8448602117061021E-2</v>
      </c>
      <c r="F870" s="1520">
        <f>SUM(F$536)</f>
        <v>0</v>
      </c>
      <c r="G870" s="1611"/>
      <c r="H870" s="1520">
        <f>SUM(H$536)</f>
        <v>4.4148398499003989E-2</v>
      </c>
      <c r="I870" s="1520">
        <f>SUM(I$536)</f>
        <v>4.4148398499003989E-2</v>
      </c>
      <c r="J870" s="1520">
        <f>SUM(J$536)</f>
        <v>4.4148398499003989E-2</v>
      </c>
      <c r="K870" s="1520">
        <f>SUM(K$536)</f>
        <v>4.4148398499003989E-2</v>
      </c>
      <c r="L870" s="1611"/>
      <c r="M870" s="1520">
        <f>SUM(M$536)</f>
        <v>1.5699796381942969E-2</v>
      </c>
      <c r="N870" s="1520">
        <f>SUM(N$536)</f>
        <v>1.5699796381942969E-2</v>
      </c>
      <c r="O870" s="1520">
        <f>SUM(O$536)</f>
        <v>1.5699796381942969E-2</v>
      </c>
      <c r="P870" s="1520">
        <f>SUM(P$536)</f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>SUM(D$542)</f>
        <v>2.7568748443337482E-2</v>
      </c>
      <c r="E871" s="1520">
        <f>SUM(E$542)</f>
        <v>2.7568748443337482E-2</v>
      </c>
      <c r="F871" s="1520">
        <f>SUM(F$542)</f>
        <v>0</v>
      </c>
      <c r="G871" s="1611"/>
      <c r="H871" s="1520">
        <f>SUM(H$542)</f>
        <v>1.0484878246657241E-2</v>
      </c>
      <c r="I871" s="1520">
        <f>SUM(I$542)</f>
        <v>1.0484878246657241E-2</v>
      </c>
      <c r="J871" s="1520">
        <f>SUM(J$542)</f>
        <v>1.0484878246657241E-2</v>
      </c>
      <c r="K871" s="1520">
        <f>SUM(K$542)</f>
        <v>1.0484878246657241E-2</v>
      </c>
      <c r="L871" s="1611"/>
      <c r="M871" s="1520">
        <f>SUM(M$542)</f>
        <v>-1.7083870196680243E-2</v>
      </c>
      <c r="N871" s="1520">
        <f>SUM(N$542)</f>
        <v>-1.7083870196680243E-2</v>
      </c>
      <c r="O871" s="1520">
        <f>SUM(O$542)</f>
        <v>-1.7083870196680243E-2</v>
      </c>
      <c r="P871" s="1520">
        <f>SUM(P$542)</f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>SUM(D$548)</f>
        <v>1.8313991282689912E-3</v>
      </c>
      <c r="E872" s="1520">
        <f>SUM(E$548)</f>
        <v>1.8313991282689912E-3</v>
      </c>
      <c r="F872" s="1520">
        <f>SUM(F$548)</f>
        <v>0</v>
      </c>
      <c r="G872" s="1611"/>
      <c r="H872" s="1520">
        <f>SUM(H$548)</f>
        <v>4.7166137340977597E-3</v>
      </c>
      <c r="I872" s="1520">
        <f>SUM(I$548)</f>
        <v>4.7166137340977597E-3</v>
      </c>
      <c r="J872" s="1520">
        <f>SUM(J$548)</f>
        <v>4.7166137340977597E-3</v>
      </c>
      <c r="K872" s="1520">
        <f>SUM(K$548)</f>
        <v>4.7166137340977597E-3</v>
      </c>
      <c r="L872" s="1611"/>
      <c r="M872" s="1520">
        <f>SUM(M$548)</f>
        <v>2.8852146058287688E-3</v>
      </c>
      <c r="N872" s="1520">
        <f>SUM(N$548)</f>
        <v>2.8852146058287688E-3</v>
      </c>
      <c r="O872" s="1520">
        <f>SUM(O$548)</f>
        <v>2.8852146058287688E-3</v>
      </c>
      <c r="P872" s="1520">
        <f>SUM(P$548)</f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>SUM(D$554)</f>
        <v>1.7245132004981318E-3</v>
      </c>
      <c r="E873" s="1520">
        <f>SUM(E$554)</f>
        <v>1.7245132004981318E-3</v>
      </c>
      <c r="F873" s="1520">
        <f>SUM(F$554)</f>
        <v>0</v>
      </c>
      <c r="G873" s="1611"/>
      <c r="H873" s="1520">
        <f>SUM(H$554)</f>
        <v>2.3294279928963192E-3</v>
      </c>
      <c r="I873" s="1520">
        <f>SUM(I$554)</f>
        <v>2.3294279928963192E-3</v>
      </c>
      <c r="J873" s="1520">
        <f>SUM(J$554)</f>
        <v>2.3294279928963192E-3</v>
      </c>
      <c r="K873" s="1520">
        <f>SUM(K$554)</f>
        <v>2.3294279928963192E-3</v>
      </c>
      <c r="L873" s="1611"/>
      <c r="M873" s="1520">
        <f>SUM(M$554)</f>
        <v>6.0491479239818745E-4</v>
      </c>
      <c r="N873" s="1520">
        <f>SUM(N$554)</f>
        <v>6.0491479239818745E-4</v>
      </c>
      <c r="O873" s="1520">
        <f>SUM(O$554)</f>
        <v>6.0491479239818745E-4</v>
      </c>
      <c r="P873" s="1520">
        <f>SUM(P$554)</f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>SUM(D$560)</f>
        <v>7.8209215442092154E-4</v>
      </c>
      <c r="E874" s="1520">
        <f>SUM(E$560)</f>
        <v>7.8209215442092154E-4</v>
      </c>
      <c r="F874" s="1520">
        <f>SUM(F$560)</f>
        <v>0</v>
      </c>
      <c r="G874" s="1611"/>
      <c r="H874" s="1520">
        <f>SUM(H$560)</f>
        <v>1.190520460913079E-3</v>
      </c>
      <c r="I874" s="1520">
        <f>SUM(I$560)</f>
        <v>1.190520460913079E-3</v>
      </c>
      <c r="J874" s="1520">
        <f>SUM(J$560)</f>
        <v>1.190520460913079E-3</v>
      </c>
      <c r="K874" s="1520">
        <f>SUM(K$560)</f>
        <v>1.190520460913079E-3</v>
      </c>
      <c r="L874" s="1611"/>
      <c r="M874" s="1520">
        <f>SUM(M$560)</f>
        <v>4.0842830649215746E-4</v>
      </c>
      <c r="N874" s="1520">
        <f>SUM(N$560)</f>
        <v>4.0842830649215746E-4</v>
      </c>
      <c r="O874" s="1520">
        <f>SUM(O$560)</f>
        <v>4.0842830649215746E-4</v>
      </c>
      <c r="P874" s="1520">
        <f>SUM(P$560)</f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>SUM(D$566)</f>
        <v>1.8770211706102117E-3</v>
      </c>
      <c r="E875" s="1520">
        <f>SUM(E$566)</f>
        <v>1.8770211706102117E-3</v>
      </c>
      <c r="F875" s="1520">
        <f>SUM(F$566)</f>
        <v>0</v>
      </c>
      <c r="G875" s="1611"/>
      <c r="H875" s="1520">
        <f>SUM(H$566)</f>
        <v>2.54315563055953E-3</v>
      </c>
      <c r="I875" s="1520">
        <f>SUM(I$566)</f>
        <v>2.54315563055953E-3</v>
      </c>
      <c r="J875" s="1520">
        <f>SUM(J$566)</f>
        <v>2.54315563055953E-3</v>
      </c>
      <c r="K875" s="1520">
        <f>SUM(K$566)</f>
        <v>2.54315563055953E-3</v>
      </c>
      <c r="L875" s="1611"/>
      <c r="M875" s="1520">
        <f>SUM(M$566)</f>
        <v>6.661344599493183E-4</v>
      </c>
      <c r="N875" s="1520">
        <f>SUM(N$566)</f>
        <v>6.661344599493183E-4</v>
      </c>
      <c r="O875" s="1520">
        <f>SUM(O$566)</f>
        <v>6.661344599493183E-4</v>
      </c>
      <c r="P875" s="1520">
        <f>SUM(P$566)</f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>SUM(D$572)</f>
        <v>0</v>
      </c>
      <c r="E876" s="1520">
        <f>SUM(E$572)</f>
        <v>0</v>
      </c>
      <c r="F876" s="1520">
        <f>SUM(F$572)</f>
        <v>0</v>
      </c>
      <c r="G876" s="1611"/>
      <c r="H876" s="1520">
        <f>SUM(H$572)</f>
        <v>6.4452444981512964E-3</v>
      </c>
      <c r="I876" s="1520">
        <f>SUM(I$572)</f>
        <v>6.4452444981512964E-3</v>
      </c>
      <c r="J876" s="1520">
        <f>SUM(J$572)</f>
        <v>6.4452444981512964E-3</v>
      </c>
      <c r="K876" s="1520">
        <f>SUM(K$572)</f>
        <v>6.4452444981512964E-3</v>
      </c>
      <c r="L876" s="1611"/>
      <c r="M876" s="1520">
        <f>SUM(M$572)</f>
        <v>6.4452444981512964E-3</v>
      </c>
      <c r="N876" s="1520">
        <f>SUM(N$572)</f>
        <v>6.4452444981512964E-3</v>
      </c>
      <c r="O876" s="1520">
        <f>SUM(O$572)</f>
        <v>6.4452444981512964E-3</v>
      </c>
      <c r="P876" s="1520">
        <f>SUM(P$572)</f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>SUM(D$578)</f>
        <v>1.7088713574097132E-3</v>
      </c>
      <c r="E877" s="1520">
        <f>SUM(E$578)</f>
        <v>1.7088713574097132E-3</v>
      </c>
      <c r="F877" s="1520">
        <f>SUM(F$578)</f>
        <v>0</v>
      </c>
      <c r="G877" s="1611"/>
      <c r="H877" s="1520">
        <f>SUM(H$578)</f>
        <v>1.7428331246525793E-3</v>
      </c>
      <c r="I877" s="1520">
        <f>SUM(I$578)</f>
        <v>1.7428331246525793E-3</v>
      </c>
      <c r="J877" s="1520">
        <f>SUM(J$578)</f>
        <v>1.7428331246525793E-3</v>
      </c>
      <c r="K877" s="1520">
        <f>SUM(K$578)</f>
        <v>1.7428331246525793E-3</v>
      </c>
      <c r="L877" s="1611"/>
      <c r="M877" s="1520">
        <f>SUM(M$578)</f>
        <v>3.3961767242866132E-5</v>
      </c>
      <c r="N877" s="1520">
        <f>SUM(N$578)</f>
        <v>3.3961767242866132E-5</v>
      </c>
      <c r="O877" s="1520">
        <f>SUM(O$578)</f>
        <v>3.3961767242866132E-5</v>
      </c>
      <c r="P877" s="1520">
        <f>SUM(P$578)</f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>SUM(D$584)</f>
        <v>0</v>
      </c>
      <c r="E878" s="1520">
        <f>SUM(E$584)</f>
        <v>0</v>
      </c>
      <c r="F878" s="1520">
        <f>SUM(F$584)</f>
        <v>0</v>
      </c>
      <c r="G878" s="1611"/>
      <c r="H878" s="1520">
        <f>SUM(H$584)</f>
        <v>1.8095648906604107E-2</v>
      </c>
      <c r="I878" s="1520">
        <f>SUM(I$584)</f>
        <v>1.8095648906604107E-2</v>
      </c>
      <c r="J878" s="1520">
        <f>SUM(J$584)</f>
        <v>1.8095648906604107E-2</v>
      </c>
      <c r="K878" s="1520">
        <f>SUM(K$584)</f>
        <v>1.8095648906604107E-2</v>
      </c>
      <c r="L878" s="1611"/>
      <c r="M878" s="1520">
        <f>SUM(M$584)</f>
        <v>1.8095648906604107E-2</v>
      </c>
      <c r="N878" s="1520">
        <f>SUM(N$584)</f>
        <v>1.8095648906604107E-2</v>
      </c>
      <c r="O878" s="1520">
        <f>SUM(O$584)</f>
        <v>1.8095648906604107E-2</v>
      </c>
      <c r="P878" s="1520">
        <f>SUM(P$584)</f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>SUM(D$590)</f>
        <v>0</v>
      </c>
      <c r="E879" s="1520">
        <f>SUM(E$590)</f>
        <v>0</v>
      </c>
      <c r="F879" s="1520">
        <f>SUM(F$590)</f>
        <v>0</v>
      </c>
      <c r="G879" s="1611"/>
      <c r="H879" s="1520">
        <f>SUM(H$590)</f>
        <v>1.8469185559062884E-3</v>
      </c>
      <c r="I879" s="1520">
        <f>SUM(I$590)</f>
        <v>1.8469185559062884E-3</v>
      </c>
      <c r="J879" s="1520">
        <f>SUM(J$590)</f>
        <v>1.8469185559062884E-3</v>
      </c>
      <c r="K879" s="1520">
        <f>SUM(K$590)</f>
        <v>1.8469185559062884E-3</v>
      </c>
      <c r="L879" s="1611"/>
      <c r="M879" s="1520">
        <f>SUM(M$590)</f>
        <v>1.8469185559062884E-3</v>
      </c>
      <c r="N879" s="1520">
        <f>SUM(N$590)</f>
        <v>1.8469185559062884E-3</v>
      </c>
      <c r="O879" s="1520">
        <f>SUM(O$590)</f>
        <v>1.8469185559062884E-3</v>
      </c>
      <c r="P879" s="1520">
        <f>SUM(P$590)</f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>SUM(D$597)</f>
        <v>0</v>
      </c>
      <c r="E880" s="1520">
        <f>SUM(E$597)</f>
        <v>0</v>
      </c>
      <c r="F880" s="1520">
        <f>SUM(F$597)</f>
        <v>0</v>
      </c>
      <c r="G880" s="1611"/>
      <c r="H880" s="1520">
        <f>SUM(H$597)</f>
        <v>0</v>
      </c>
      <c r="I880" s="1520">
        <f>SUM(I$597)</f>
        <v>0</v>
      </c>
      <c r="J880" s="1520">
        <f>SUM(J$597)</f>
        <v>0</v>
      </c>
      <c r="K880" s="1520">
        <f>SUM(K$597)</f>
        <v>0</v>
      </c>
      <c r="L880" s="1611"/>
      <c r="M880" s="1520">
        <f>SUM(M$597)</f>
        <v>0</v>
      </c>
      <c r="N880" s="1520">
        <f>SUM(N$597)</f>
        <v>0</v>
      </c>
      <c r="O880" s="1520">
        <f>SUM(O$597)</f>
        <v>0</v>
      </c>
      <c r="P880" s="1520">
        <f>SUM(P$597)</f>
        <v>0</v>
      </c>
      <c r="Q880" s="1636" t="str">
        <f>$Q$599</f>
        <v>des</v>
      </c>
      <c r="R880" s="1428" t="str">
        <f t="shared" si="2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>SUM(D$603)</f>
        <v>0</v>
      </c>
      <c r="E881" s="1520">
        <f>SUM(E$603)</f>
        <v>0</v>
      </c>
      <c r="F881" s="1520">
        <f>SUM(F$603)</f>
        <v>0</v>
      </c>
      <c r="G881" s="1611"/>
      <c r="H881" s="1520">
        <f>SUM(H$603)</f>
        <v>1.6008841220431971E-3</v>
      </c>
      <c r="I881" s="1520">
        <f>SUM(I$603)</f>
        <v>1.6008841220431971E-3</v>
      </c>
      <c r="J881" s="1520">
        <f>SUM(J$603)</f>
        <v>1.6008841220431971E-3</v>
      </c>
      <c r="K881" s="1520">
        <f>SUM(K$603)</f>
        <v>1.6008841220431971E-3</v>
      </c>
      <c r="L881" s="1611"/>
      <c r="M881" s="1520">
        <f>SUM(M$603)</f>
        <v>1.6008841220431971E-3</v>
      </c>
      <c r="N881" s="1520">
        <f>SUM(N$603)</f>
        <v>1.6008841220431971E-3</v>
      </c>
      <c r="O881" s="1520">
        <f>SUM(O$603)</f>
        <v>1.6008841220431971E-3</v>
      </c>
      <c r="P881" s="1520">
        <f>SUM(P$603)</f>
        <v>1.6008841220431971E-3</v>
      </c>
      <c r="Q881" s="1636" t="str">
        <f>$Q$605</f>
        <v>fpl</v>
      </c>
      <c r="R881" s="1428" t="str">
        <f t="shared" si="2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>SUM(D$609)</f>
        <v>0</v>
      </c>
      <c r="E882" s="1520">
        <f>SUM(E$609)</f>
        <v>0</v>
      </c>
      <c r="F882" s="1520">
        <f>SUM(F$609)</f>
        <v>0</v>
      </c>
      <c r="G882" s="1611"/>
      <c r="H882" s="1520">
        <f>SUM(H$609)</f>
        <v>7.37994481039518E-3</v>
      </c>
      <c r="I882" s="1520">
        <f>SUM(I$609)</f>
        <v>7.37994481039518E-3</v>
      </c>
      <c r="J882" s="1520">
        <f>SUM(J$609)</f>
        <v>7.37994481039518E-3</v>
      </c>
      <c r="K882" s="1520">
        <f>SUM(K$609)</f>
        <v>7.37994481039518E-3</v>
      </c>
      <c r="L882" s="1611"/>
      <c r="M882" s="1520">
        <f>SUM(M$609)</f>
        <v>7.37994481039518E-3</v>
      </c>
      <c r="N882" s="1520">
        <f>SUM(N$609)</f>
        <v>7.37994481039518E-3</v>
      </c>
      <c r="O882" s="1520">
        <f>SUM(O$609)</f>
        <v>7.37994481039518E-3</v>
      </c>
      <c r="P882" s="1520">
        <f>SUM(P$609)</f>
        <v>7.37994481039518E-3</v>
      </c>
      <c r="Q882" s="1636" t="str">
        <f>$Q$611</f>
        <v>fpl</v>
      </c>
      <c r="R882" s="1428" t="str">
        <f t="shared" si="2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>SUM(D$615)</f>
        <v>0</v>
      </c>
      <c r="E883" s="1520">
        <f>SUM(E$615)</f>
        <v>0</v>
      </c>
      <c r="F883" s="1520">
        <f>SUM(F$615)</f>
        <v>0</v>
      </c>
      <c r="G883" s="1611"/>
      <c r="H883" s="1520">
        <f>SUM(H$615)</f>
        <v>0</v>
      </c>
      <c r="I883" s="1520">
        <f>SUM(I$615)</f>
        <v>0</v>
      </c>
      <c r="J883" s="1520">
        <f>SUM(J$615)</f>
        <v>0</v>
      </c>
      <c r="K883" s="1520">
        <f>SUM(K$615)</f>
        <v>0</v>
      </c>
      <c r="L883" s="1611"/>
      <c r="M883" s="1520">
        <f>SUM(M$615)</f>
        <v>0</v>
      </c>
      <c r="N883" s="1520">
        <f>SUM(N$615)</f>
        <v>0</v>
      </c>
      <c r="O883" s="1520">
        <f>SUM(O$615)</f>
        <v>0</v>
      </c>
      <c r="P883" s="1520">
        <f>SUM(P$615)</f>
        <v>0</v>
      </c>
      <c r="Q883" s="1636" t="str">
        <f>$Q$617</f>
        <v>des</v>
      </c>
      <c r="R883" s="1428" t="str">
        <f t="shared" si="2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>SUM(D$621)</f>
        <v>0</v>
      </c>
      <c r="E884" s="1520">
        <f>SUM(E$621)</f>
        <v>0</v>
      </c>
      <c r="F884" s="1520">
        <f>SUM(F$621)</f>
        <v>0</v>
      </c>
      <c r="G884" s="1611"/>
      <c r="H884" s="1520">
        <f>SUM(H$621)</f>
        <v>8.4622877826154574E-3</v>
      </c>
      <c r="I884" s="1520">
        <f>SUM(I$621)</f>
        <v>8.4622877826154574E-3</v>
      </c>
      <c r="J884" s="1520">
        <f>SUM(J$621)</f>
        <v>8.4622877826154574E-3</v>
      </c>
      <c r="K884" s="1520">
        <f>SUM(K$621)</f>
        <v>8.4622877826154574E-3</v>
      </c>
      <c r="L884" s="1611"/>
      <c r="M884" s="1520">
        <f>SUM(M$621)</f>
        <v>8.4622877826154574E-3</v>
      </c>
      <c r="N884" s="1520">
        <f>SUM(N$621)</f>
        <v>8.4622877826154574E-3</v>
      </c>
      <c r="O884" s="1520">
        <f>SUM(O$621)</f>
        <v>8.4622877826154574E-3</v>
      </c>
      <c r="P884" s="1520">
        <f>SUM(P$621)</f>
        <v>8.4622877826154574E-3</v>
      </c>
      <c r="Q884" s="1636" t="str">
        <f>$Q$623</f>
        <v>fpl</v>
      </c>
      <c r="R884" s="1428" t="str">
        <f t="shared" si="2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>SUM(D$627)</f>
        <v>0</v>
      </c>
      <c r="E885" s="1520">
        <f>SUM(E$627)</f>
        <v>0</v>
      </c>
      <c r="F885" s="1520">
        <f>SUM(F$627)</f>
        <v>0</v>
      </c>
      <c r="G885" s="1611"/>
      <c r="H885" s="1520">
        <f>SUM(H$627)</f>
        <v>0</v>
      </c>
      <c r="I885" s="1520">
        <f>SUM(I$627)</f>
        <v>0</v>
      </c>
      <c r="J885" s="1520">
        <f>SUM(J$627)</f>
        <v>0</v>
      </c>
      <c r="K885" s="1520">
        <f>SUM(K$627)</f>
        <v>0</v>
      </c>
      <c r="L885" s="1611"/>
      <c r="M885" s="1520">
        <f>SUM(M$627)</f>
        <v>0</v>
      </c>
      <c r="N885" s="1520">
        <f>SUM(N$627)</f>
        <v>0</v>
      </c>
      <c r="O885" s="1520">
        <f>SUM(O$627)</f>
        <v>0</v>
      </c>
      <c r="P885" s="1520">
        <f>SUM(P$627)</f>
        <v>0</v>
      </c>
      <c r="Q885" s="1636" t="str">
        <f>$Q$629</f>
        <v>des</v>
      </c>
      <c r="R885" s="1428" t="str">
        <f t="shared" si="2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>SUM(D$633)</f>
        <v>0.13530194271481941</v>
      </c>
      <c r="E886" s="1520">
        <f>SUM(E$633)</f>
        <v>0.13530194271481941</v>
      </c>
      <c r="F886" s="1520">
        <f>SUM(F$633)</f>
        <v>0</v>
      </c>
      <c r="G886" s="1611"/>
      <c r="H886" s="1520">
        <f>SUM(H$633)</f>
        <v>0</v>
      </c>
      <c r="I886" s="1520">
        <f>SUM(I$633)</f>
        <v>0</v>
      </c>
      <c r="J886" s="1520">
        <f>SUM(J$633)</f>
        <v>0</v>
      </c>
      <c r="K886" s="1520">
        <f>SUM(K$633)</f>
        <v>0</v>
      </c>
      <c r="L886" s="1611"/>
      <c r="M886" s="1520">
        <f>SUM(M$633)</f>
        <v>-0.13530194271481941</v>
      </c>
      <c r="N886" s="1520">
        <f>SUM(N$633)</f>
        <v>-0.13530194271481941</v>
      </c>
      <c r="O886" s="1520">
        <f>SUM(O$633)</f>
        <v>-0.13530194271481941</v>
      </c>
      <c r="P886" s="1520">
        <f>SUM(P$633)</f>
        <v>0</v>
      </c>
      <c r="Q886" s="1636" t="str">
        <f>$Q$635</f>
        <v>des</v>
      </c>
      <c r="R886" s="1428" t="str">
        <f t="shared" si="2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>SUM(D$640)</f>
        <v>2.4303513698630135E-2</v>
      </c>
      <c r="E887" s="1520">
        <f>SUM(E$640)</f>
        <v>2.651292403486924E-2</v>
      </c>
      <c r="F887" s="1520">
        <f>SUM(F$640)</f>
        <v>0</v>
      </c>
      <c r="G887" s="1611"/>
      <c r="H887" s="1520">
        <f>SUM(H$640)</f>
        <v>0</v>
      </c>
      <c r="I887" s="1520">
        <f>SUM(I$640)</f>
        <v>0</v>
      </c>
      <c r="J887" s="1520">
        <f>SUM(J$640)</f>
        <v>0</v>
      </c>
      <c r="K887" s="1520">
        <f>SUM(K$640)</f>
        <v>0</v>
      </c>
      <c r="L887" s="1611"/>
      <c r="M887" s="1520">
        <f>SUM(M$640)</f>
        <v>-5.3025848069738479E-2</v>
      </c>
      <c r="N887" s="1520">
        <f>SUM(N$640)</f>
        <v>-2.4303513698630135E-2</v>
      </c>
      <c r="O887" s="1520">
        <f>SUM(O$640)</f>
        <v>-2.651292403486924E-2</v>
      </c>
      <c r="P887" s="1520">
        <f>SUM(P$640)</f>
        <v>0</v>
      </c>
      <c r="Q887" s="1636" t="str">
        <f>$Q$642</f>
        <v>dis</v>
      </c>
      <c r="R887" s="1428" t="str">
        <f t="shared" si="2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0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0.46566101593823161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9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30">IF(MAX(C905:F905,H905:K905)&gt;0,S904+1,S904)</f>
        <v>0</v>
      </c>
      <c r="T905" s="1410" t="str">
        <f t="shared" si="29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30"/>
        <v>0</v>
      </c>
      <c r="T906" s="1410" t="str">
        <f t="shared" si="29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30"/>
        <v>0</v>
      </c>
      <c r="T907" s="1410" t="str">
        <f t="shared" si="29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30"/>
        <v>0</v>
      </c>
      <c r="T908" s="1410" t="str">
        <f t="shared" si="29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30"/>
        <v>0</v>
      </c>
      <c r="T909" s="1410" t="str">
        <f t="shared" si="29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30"/>
        <v>0</v>
      </c>
      <c r="T910" s="1410" t="str">
        <f t="shared" si="29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30"/>
        <v>0</v>
      </c>
      <c r="T911" s="1410" t="str">
        <f t="shared" si="29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30"/>
        <v>0</v>
      </c>
      <c r="T912" s="1410" t="str">
        <f t="shared" si="29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30"/>
        <v>0</v>
      </c>
      <c r="T913" s="1410" t="str">
        <f t="shared" si="29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30"/>
        <v>0</v>
      </c>
      <c r="T914" s="1410" t="str">
        <f t="shared" si="29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30"/>
        <v>0</v>
      </c>
      <c r="T915" s="1410" t="str">
        <f t="shared" si="29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30"/>
        <v>0</v>
      </c>
      <c r="T916" s="1410" t="str">
        <f t="shared" si="29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30"/>
        <v>0</v>
      </c>
      <c r="T917" s="1410" t="str">
        <f t="shared" si="29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30"/>
        <v>0</v>
      </c>
      <c r="T918" s="1410" t="str">
        <f t="shared" si="29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30"/>
        <v>0</v>
      </c>
      <c r="T919" s="1410" t="str">
        <f t="shared" si="29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30"/>
        <v>0</v>
      </c>
      <c r="T920" s="1410" t="str">
        <f t="shared" si="29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30"/>
        <v>0</v>
      </c>
      <c r="T921" s="1410" t="str">
        <f t="shared" si="29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30"/>
        <v>0</v>
      </c>
      <c r="T922" s="1410" t="str">
        <f t="shared" si="29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30"/>
        <v>0</v>
      </c>
      <c r="T923" s="1410" t="str">
        <f t="shared" si="29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30"/>
        <v>0</v>
      </c>
      <c r="T924" s="1410" t="str">
        <f t="shared" si="29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30"/>
        <v>0</v>
      </c>
      <c r="T925" s="1410" t="str">
        <f t="shared" si="29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30"/>
        <v>0</v>
      </c>
      <c r="T926" s="1410" t="str">
        <f t="shared" si="29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30"/>
        <v>0</v>
      </c>
      <c r="T927" s="1410" t="str">
        <f t="shared" si="29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30"/>
        <v>0</v>
      </c>
      <c r="T928" s="1410" t="str">
        <f t="shared" si="29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30"/>
        <v>0</v>
      </c>
      <c r="T929" s="1410" t="str">
        <f t="shared" si="29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30"/>
        <v>0</v>
      </c>
      <c r="T930" s="1410" t="str">
        <f t="shared" si="29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30"/>
        <v>0</v>
      </c>
      <c r="T931" s="1410" t="str">
        <f t="shared" si="29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30"/>
        <v>0</v>
      </c>
      <c r="T932" s="1410" t="str">
        <f t="shared" si="29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30"/>
        <v>0</v>
      </c>
      <c r="T933" s="1410" t="str">
        <f t="shared" si="29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30"/>
        <v>0</v>
      </c>
      <c r="T934" s="1410" t="str">
        <f t="shared" si="29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30"/>
        <v>0</v>
      </c>
      <c r="T935" s="1410" t="str">
        <f t="shared" si="29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30"/>
        <v>0</v>
      </c>
      <c r="T936" s="1410" t="str">
        <f t="shared" si="29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30"/>
        <v>0</v>
      </c>
      <c r="T937" s="1410" t="str">
        <f t="shared" si="29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30"/>
        <v>0</v>
      </c>
      <c r="T938" s="1410" t="str">
        <f t="shared" si="29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30"/>
        <v>0</v>
      </c>
      <c r="T939" s="1410" t="str">
        <f t="shared" si="29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30"/>
        <v>0</v>
      </c>
      <c r="T940" s="1410" t="str">
        <f t="shared" si="29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30"/>
        <v>0</v>
      </c>
      <c r="T941" s="1410" t="str">
        <f t="shared" si="29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30"/>
        <v>0</v>
      </c>
      <c r="T942" s="1410" t="str">
        <f t="shared" si="29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30"/>
        <v>0</v>
      </c>
      <c r="T943" s="1410" t="str">
        <f t="shared" si="29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30"/>
        <v>0</v>
      </c>
      <c r="T944" s="1410" t="str">
        <f t="shared" si="29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30"/>
        <v>0</v>
      </c>
      <c r="T945" s="1410" t="str">
        <f t="shared" si="29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30"/>
        <v>0</v>
      </c>
      <c r="T946" s="1410" t="str">
        <f t="shared" si="29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30"/>
        <v>0</v>
      </c>
      <c r="T947" s="1410" t="str">
        <f t="shared" si="29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30"/>
        <v>0</v>
      </c>
      <c r="T948" s="1410" t="str">
        <f t="shared" si="29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30"/>
        <v>0</v>
      </c>
      <c r="T949" s="1410" t="str">
        <f t="shared" si="29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30"/>
        <v>0</v>
      </c>
      <c r="T950" s="1410" t="str">
        <f t="shared" si="29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30"/>
        <v>0</v>
      </c>
      <c r="T951" s="1410" t="str">
        <f t="shared" si="29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30"/>
        <v>0</v>
      </c>
      <c r="T952" s="1410" t="str">
        <f t="shared" si="29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30"/>
        <v>0</v>
      </c>
      <c r="T953" s="1410" t="str">
        <f t="shared" si="29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30"/>
        <v>0</v>
      </c>
      <c r="T954" s="1410" t="str">
        <f t="shared" si="29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30"/>
        <v>0</v>
      </c>
      <c r="T955" s="1410" t="str">
        <f t="shared" si="29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30"/>
        <v>0</v>
      </c>
      <c r="T956" s="1410" t="str">
        <f t="shared" si="29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30"/>
        <v>0</v>
      </c>
      <c r="T957" s="1410" t="str">
        <f t="shared" si="29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30"/>
        <v>0</v>
      </c>
      <c r="T958" s="1410" t="str">
        <f t="shared" si="29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30"/>
        <v>0</v>
      </c>
      <c r="T959" s="1410" t="str">
        <f t="shared" si="29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30"/>
        <v>0</v>
      </c>
      <c r="T960" s="1410" t="str">
        <f t="shared" si="29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30"/>
        <v>0</v>
      </c>
      <c r="T961" s="1410" t="str">
        <f t="shared" si="29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30"/>
        <v>0</v>
      </c>
      <c r="T962" s="1410" t="str">
        <f t="shared" si="29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30"/>
        <v>0</v>
      </c>
      <c r="T963" s="1410" t="str">
        <f t="shared" si="29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30"/>
        <v>0</v>
      </c>
      <c r="T964" s="1410" t="str">
        <f t="shared" si="29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3780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3780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30"/>
        <v>1</v>
      </c>
      <c r="T965" s="1410">
        <f t="shared" si="29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3850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3850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30"/>
        <v>2</v>
      </c>
      <c r="T966" s="1410">
        <f t="shared" si="29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3000</v>
      </c>
      <c r="D967" s="1504">
        <f>SUM($D$720)</f>
        <v>3000</v>
      </c>
      <c r="E967" s="1504">
        <f>SUM($E$720)</f>
        <v>0</v>
      </c>
      <c r="F967" s="1504">
        <f>SUM($F$720)</f>
        <v>0</v>
      </c>
      <c r="G967" s="1620"/>
      <c r="H967" s="1504">
        <f>SUM($H$720)</f>
        <v>3000</v>
      </c>
      <c r="I967" s="1504">
        <f>SUM($I$720)</f>
        <v>3000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30"/>
        <v>3</v>
      </c>
      <c r="T967" s="1410">
        <f t="shared" si="29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30"/>
        <v>3</v>
      </c>
      <c r="T968" s="1410" t="str">
        <f t="shared" ref="T968:T983" si="31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32">IF(MAX(C969:F969,H969:K969)&gt;0,S968+1,S968)</f>
        <v>3</v>
      </c>
      <c r="T969" s="1410" t="str">
        <f t="shared" si="31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4200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4200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32"/>
        <v>4</v>
      </c>
      <c r="T970" s="1410">
        <f t="shared" si="31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32"/>
        <v>4</v>
      </c>
      <c r="T971" s="1410" t="str">
        <f t="shared" si="31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32"/>
        <v>4</v>
      </c>
      <c r="T972" s="1410" t="str">
        <f t="shared" si="31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4500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5400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900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32"/>
        <v>5</v>
      </c>
      <c r="T973" s="1410">
        <f t="shared" si="31"/>
        <v>5</v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32"/>
        <v>5</v>
      </c>
      <c r="T974" s="1410" t="str">
        <f t="shared" si="31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27600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32"/>
        <v>6</v>
      </c>
      <c r="T975" s="1410">
        <f t="shared" si="31"/>
        <v>6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32"/>
        <v>6</v>
      </c>
      <c r="T976" s="1410" t="str">
        <f t="shared" si="31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32"/>
        <v>7</v>
      </c>
      <c r="T977" s="1410">
        <f t="shared" si="31"/>
        <v>7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32"/>
        <v>7</v>
      </c>
      <c r="T978" s="1410" t="str">
        <f t="shared" si="31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32"/>
        <v>8</v>
      </c>
      <c r="T979" s="1410">
        <f t="shared" si="31"/>
        <v>8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32"/>
        <v>8</v>
      </c>
      <c r="T980" s="1410" t="str">
        <f t="shared" si="31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32"/>
        <v>8</v>
      </c>
      <c r="T981" s="1410" t="str">
        <f t="shared" si="31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32"/>
        <v>8</v>
      </c>
      <c r="T982" s="1410" t="str">
        <f t="shared" si="31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32"/>
        <v>8</v>
      </c>
      <c r="T983" s="1410" t="str">
        <f t="shared" si="31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26016</v>
      </c>
      <c r="D985" s="1504">
        <f>SUM($D$904:$D$984)</f>
        <v>31986</v>
      </c>
      <c r="E985" s="1504">
        <f>SUM($E$904:$E$984)</f>
        <v>57600</v>
      </c>
      <c r="F985" s="1504">
        <f>SUM($F$904:$F$984)</f>
        <v>0</v>
      </c>
      <c r="G985" s="1620"/>
      <c r="H985" s="1504">
        <f>SUM($H$904:$H$984)</f>
        <v>20230</v>
      </c>
      <c r="I985" s="1504">
        <f>SUM($I$904:$I$984)</f>
        <v>20500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900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>SUM(D457,D466,D475,D484,D493,D502,D635)</f>
        <v>7060</v>
      </c>
      <c r="E988" s="1409">
        <f>SUM(E457,E466,E475,E484,E493,E502,E635)</f>
        <v>9960</v>
      </c>
      <c r="F988" s="1409">
        <f>SUM(F457,F466,F475,F484,F493,F502,F635)</f>
        <v>0</v>
      </c>
      <c r="G988" s="1620"/>
      <c r="H988" s="1409">
        <f>SUM(H457,H466,H475,H484,H493,H502,H635)</f>
        <v>4319.4161419899574</v>
      </c>
      <c r="I988" s="1409">
        <f>SUM(I457,I466,I475,I484,I493,I502,I635)</f>
        <v>4319.4161419899574</v>
      </c>
      <c r="J988" s="1409">
        <f>SUM(J457,J466,J475,J484,J493,J502,J635)</f>
        <v>4319.4161419899574</v>
      </c>
      <c r="K988" s="1409">
        <f>SUM(K457,K466,K475,K484,K493,K502,K635)</f>
        <v>4319.4161419899574</v>
      </c>
      <c r="L988" s="1620"/>
      <c r="M988" s="1409">
        <f>SUM(M457,M466,M475,M484,M493,M502,M635)</f>
        <v>1279.4161419899574</v>
      </c>
      <c r="N988" s="1409">
        <f>SUM(N457,N466,N475,N484,N493,N502,N635)</f>
        <v>679.41614198995762</v>
      </c>
      <c r="O988" s="1409">
        <f>SUM(O457,O466,O475,O484,O493,O502,O635)</f>
        <v>-1200.5838580100424</v>
      </c>
      <c r="P988" s="1409">
        <f>SUM(P457,P466,P475,P484,P493,P502,P635)</f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>SUM(D508,D514,D520,D526,D532,D538,D544,D550,D556,D562,D568,D574,D580,D586,D592,D605,D611,D623,D772:D773)</f>
        <v>6381.920000000001</v>
      </c>
      <c r="E989" s="1409">
        <f>SUM(E508,E514,E520,E526,E532,E538,E544,E550,E556,E562,E568,E574,E580,E586,E592,E605,E611,E623,E772:E773)</f>
        <v>8576.9200000000019</v>
      </c>
      <c r="F989" s="1409">
        <f>SUM(F508,F514,F520,F526,F532,F538,F544,F550,F556,F562,F568,F574,F580,F586,F592,F605,F611,F623,F772:F773)</f>
        <v>0</v>
      </c>
      <c r="G989" s="1620"/>
      <c r="H989" s="1409">
        <f>SUM(H508,H514,H520,H526,H532,H538,H544,H550,H556,H562,H568,H574,H580,H586,H592,H605,H611,H623,H772:H773)</f>
        <v>9357.0955889111465</v>
      </c>
      <c r="I989" s="1409">
        <f>SUM(I508,I514,I520,I526,I532,I538,I544,I550,I556,I562,I568,I574,I580,I586,I592,I605,I611,I623,I772:I773)</f>
        <v>9357.0955889111465</v>
      </c>
      <c r="J989" s="1409">
        <f>SUM(J508,J514,J520,J526,J532,J538,J544,J550,J556,J562,J568,J574,J580,J586,J592,J605,J611,J623,J772:J773)</f>
        <v>9357.0955889111465</v>
      </c>
      <c r="K989" s="1409">
        <f>SUM(K508,K514,K520,K526,K532,K538,K544,K550,K556,K562,K568,K574,K580,K586,K592,K605,K611,K623,K772:K773)</f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>SUM(N508,N514,N520,N526,N532,N538,N544,N550,N556,N562,N568,N574,N580,N586,N592,N605,N611,N623,N772:N773)</f>
        <v>2975.1755889111473</v>
      </c>
      <c r="O989" s="1409">
        <f>SUM(O508,O514,O520,O526,O532,O538,O544,O550,O556,O562,O568,O574,O580,O586,O592,O605,O611,O623,O772:O773)</f>
        <v>780.17558891114754</v>
      </c>
      <c r="P989" s="1409">
        <f>SUM(P508,P514,P520,P526,P532,P538,P544,P550,P556,P562,P568,P574,P580,P586,P592,P605,P611,P623,P772:P773)</f>
        <v>9357.0955889111465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>SUM(D599,D617,D629)</f>
        <v>0</v>
      </c>
      <c r="E990" s="1409">
        <f>SUM(E599,E617,E629)</f>
        <v>0</v>
      </c>
      <c r="F990" s="1409">
        <f>SUM(F599,F617,F629)</f>
        <v>0</v>
      </c>
      <c r="G990" s="1620"/>
      <c r="H990" s="1409">
        <f>SUM(H599,H617,H629)</f>
        <v>0</v>
      </c>
      <c r="I990" s="1409">
        <f>SUM(I599,I617,I629)</f>
        <v>0</v>
      </c>
      <c r="J990" s="1409">
        <f>SUM(J599,J617,J629)</f>
        <v>0</v>
      </c>
      <c r="K990" s="1409">
        <f>SUM(K599,K617,K629)</f>
        <v>0</v>
      </c>
      <c r="L990" s="1620"/>
      <c r="M990" s="1409">
        <f>SUM(M599,M617,M629)</f>
        <v>0</v>
      </c>
      <c r="N990" s="1409">
        <f>SUM(N599,N617,N629)</f>
        <v>0</v>
      </c>
      <c r="O990" s="1409">
        <f>SUM(O599,O617,O629)</f>
        <v>0</v>
      </c>
      <c r="P990" s="1409">
        <f>SUM(P599,P617,P629)</f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>SUM(C642)</f>
        <v>576</v>
      </c>
      <c r="D991" s="1409">
        <f>SUM(D642)</f>
        <v>330</v>
      </c>
      <c r="E991" s="1409">
        <f>SUM(E642)</f>
        <v>432</v>
      </c>
      <c r="F991" s="1409">
        <f>SUM(F642)</f>
        <v>0</v>
      </c>
      <c r="G991" s="1620"/>
      <c r="H991" s="1409">
        <f>SUM(H642)</f>
        <v>0</v>
      </c>
      <c r="I991" s="1409">
        <f>SUM(I642)</f>
        <v>0</v>
      </c>
      <c r="J991" s="1409">
        <f>SUM(J642)</f>
        <v>0</v>
      </c>
      <c r="K991" s="1409">
        <f>SUM(K642)</f>
        <v>0</v>
      </c>
      <c r="L991" s="1620"/>
      <c r="M991" s="1409">
        <f>SUM(M642)</f>
        <v>-576</v>
      </c>
      <c r="N991" s="1409">
        <f>SUM(N642)</f>
        <v>-330</v>
      </c>
      <c r="O991" s="1409">
        <f>SUM(O642)</f>
        <v>-432</v>
      </c>
      <c r="P991" s="1409">
        <f>SUM(P642)</f>
        <v>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1100</v>
      </c>
      <c r="D992" s="1409">
        <f>SUM(D774,D775,D776,D782:D783,D806)</f>
        <v>2156</v>
      </c>
      <c r="E992" s="1409">
        <f>SUM(E774,E775,E776,E782:E783,E806)</f>
        <v>5277</v>
      </c>
      <c r="F992" s="1409">
        <f>SUM(F774,F775,F776,F782:F783,F806)</f>
        <v>0</v>
      </c>
      <c r="G992" s="1612"/>
      <c r="H992" s="1409">
        <f>SUM(H774,H775,H776,H782:H783,H806)</f>
        <v>1630</v>
      </c>
      <c r="I992" s="1409">
        <f>SUM(I774,I775,I776,I782:I783,I806)</f>
        <v>1630</v>
      </c>
      <c r="J992" s="1409">
        <f>SUM(J774,J775,J776,J782:J783,J806)</f>
        <v>1630</v>
      </c>
      <c r="K992" s="1409">
        <f>SUM(K774,K775,K776,K782:K783,K806)</f>
        <v>1630</v>
      </c>
      <c r="L992" s="1612"/>
      <c r="M992" s="1409">
        <f>SUM(M774,M775,M776,M782:M783,M806)</f>
        <v>530</v>
      </c>
      <c r="N992" s="1409">
        <f>SUM(N774,N775,N776,N782:N783,N806)</f>
        <v>-526</v>
      </c>
      <c r="O992" s="1409">
        <f>SUM(O774,O775,O776,O782:O783,O806)</f>
        <v>-3647</v>
      </c>
      <c r="P992" s="1409">
        <f>SUM(P774,P775,P776,P782:P783,P806)</f>
        <v>1630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>SUM(C781,C790)</f>
        <v>0</v>
      </c>
      <c r="D993" s="1409">
        <f>SUM(D781,D790)</f>
        <v>0</v>
      </c>
      <c r="E993" s="1409">
        <f>SUM(E781,E790)</f>
        <v>0</v>
      </c>
      <c r="F993" s="1409">
        <f>SUM(F781,F790)</f>
        <v>0</v>
      </c>
      <c r="G993" s="1612"/>
      <c r="H993" s="1409">
        <f>SUM(H781,H790)</f>
        <v>800</v>
      </c>
      <c r="I993" s="1409">
        <f>SUM(I781,I790)</f>
        <v>800</v>
      </c>
      <c r="J993" s="1409">
        <f>SUM(J781,J790)</f>
        <v>800</v>
      </c>
      <c r="K993" s="1409">
        <f>SUM(K781,K790)</f>
        <v>800</v>
      </c>
      <c r="L993" s="1612"/>
      <c r="M993" s="1409">
        <f>SUM(M781,M790)</f>
        <v>800</v>
      </c>
      <c r="N993" s="1409">
        <f>SUM(N781,N790)</f>
        <v>800</v>
      </c>
      <c r="O993" s="1409">
        <f>SUM(O781,O790)</f>
        <v>800</v>
      </c>
      <c r="P993" s="1409">
        <f>SUM(P781,P790)</f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>SUM(C784:C785,C791:C798)</f>
        <v>773</v>
      </c>
      <c r="D994" s="1409">
        <f>SUM(D784:D785,D791:D798)</f>
        <v>631</v>
      </c>
      <c r="E994" s="1409">
        <f>SUM(E784:E785,E791:E798)</f>
        <v>3100</v>
      </c>
      <c r="F994" s="1409">
        <f>SUM(F784:F785,F791:F798)</f>
        <v>0</v>
      </c>
      <c r="G994" s="1612"/>
      <c r="H994" s="1409">
        <f>SUM(H784:H785,H791:H798)</f>
        <v>773</v>
      </c>
      <c r="I994" s="1409">
        <f>SUM(I784:I785,I791:I798)</f>
        <v>631</v>
      </c>
      <c r="J994" s="1409">
        <f>SUM(J784:J785,J791:J798)</f>
        <v>3100</v>
      </c>
      <c r="K994" s="1409">
        <f>SUM(K784:K785,K791:K798)</f>
        <v>0</v>
      </c>
      <c r="L994" s="1612"/>
      <c r="M994" s="1409">
        <f>SUM(M784:M785,M791:M798)</f>
        <v>0</v>
      </c>
      <c r="N994" s="1409">
        <f>SUM(N784:N785,N791:N798)</f>
        <v>0</v>
      </c>
      <c r="O994" s="1409">
        <f>SUM(O784:O785,O791:O798)</f>
        <v>0</v>
      </c>
      <c r="P994" s="1409">
        <f>SUM(P784:P785,P791:P798)</f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>SUM(C799,C800)</f>
        <v>1588</v>
      </c>
      <c r="D995" s="1409">
        <f>SUM(D799,D800)</f>
        <v>3275</v>
      </c>
      <c r="E995" s="1409">
        <f>SUM(E799,E800)</f>
        <v>4293</v>
      </c>
      <c r="F995" s="1409">
        <f>SUM(F799,F800)</f>
        <v>0</v>
      </c>
      <c r="G995" s="1612"/>
      <c r="H995" s="1409">
        <f>SUM(H799,H800)</f>
        <v>880</v>
      </c>
      <c r="I995" s="1409">
        <f>SUM(I799,I800)</f>
        <v>880</v>
      </c>
      <c r="J995" s="1409">
        <f>SUM(J799,J800)</f>
        <v>880</v>
      </c>
      <c r="K995" s="1409">
        <f>SUM(K799,K800)</f>
        <v>880</v>
      </c>
      <c r="L995" s="1612"/>
      <c r="M995" s="1409">
        <f>SUM(M799,M800)</f>
        <v>-708</v>
      </c>
      <c r="N995" s="1409">
        <f>SUM(N799,N800)</f>
        <v>-2395</v>
      </c>
      <c r="O995" s="1409">
        <f>SUM(O799,O800)</f>
        <v>-3413</v>
      </c>
      <c r="P995" s="1409">
        <f>SUM(P799,P800)</f>
        <v>880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>SUM(C801)</f>
        <v>1200</v>
      </c>
      <c r="D996" s="1409">
        <f>SUM(D801)</f>
        <v>2250</v>
      </c>
      <c r="E996" s="1409">
        <f>SUM(E801)</f>
        <v>5500</v>
      </c>
      <c r="F996" s="1409">
        <f>SUM(F801)</f>
        <v>0</v>
      </c>
      <c r="G996" s="1620"/>
      <c r="H996" s="1409">
        <f>SUM(H801)</f>
        <v>1200</v>
      </c>
      <c r="I996" s="1409">
        <f>SUM(I801)</f>
        <v>1200</v>
      </c>
      <c r="J996" s="1409">
        <f>SUM(J801)</f>
        <v>1200</v>
      </c>
      <c r="K996" s="1409">
        <f>SUM(K801)</f>
        <v>1200</v>
      </c>
      <c r="L996" s="1620"/>
      <c r="M996" s="1409">
        <f>SUM(M801)</f>
        <v>0</v>
      </c>
      <c r="N996" s="1409">
        <f>SUM(N801)</f>
        <v>-1050</v>
      </c>
      <c r="O996" s="1409">
        <f>SUM(O801)</f>
        <v>-4300</v>
      </c>
      <c r="P996" s="1409">
        <f>SUM(P801)</f>
        <v>1200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4000</v>
      </c>
      <c r="D997" s="1409">
        <f>SUM(D804)</f>
        <v>2000</v>
      </c>
      <c r="E997" s="1409">
        <f>SUM(E804)</f>
        <v>2000</v>
      </c>
      <c r="F997" s="1409">
        <f>SUM(F804)</f>
        <v>0</v>
      </c>
      <c r="G997" s="1620"/>
      <c r="H997" s="1409">
        <f>SUM(H804)</f>
        <v>4000</v>
      </c>
      <c r="I997" s="1409">
        <f>SUM(I804)</f>
        <v>2000</v>
      </c>
      <c r="J997" s="1409">
        <f>SUM(J804)</f>
        <v>2000</v>
      </c>
      <c r="K997" s="1409">
        <f>SUM(K804)</f>
        <v>0</v>
      </c>
      <c r="L997" s="1620"/>
      <c r="M997" s="1409">
        <f>SUM(M804)</f>
        <v>0</v>
      </c>
      <c r="N997" s="1409">
        <f>SUM(N804)</f>
        <v>0</v>
      </c>
      <c r="O997" s="1409">
        <f>SUM(O804)</f>
        <v>0</v>
      </c>
      <c r="P997" s="1409">
        <f>SUM(P804)</f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1162</v>
      </c>
      <c r="B998" s="1620"/>
      <c r="C998" s="1409">
        <f>SUM(C802,C803)</f>
        <v>1360</v>
      </c>
      <c r="D998" s="1409">
        <f>SUM(D802,D803)</f>
        <v>1900</v>
      </c>
      <c r="E998" s="1409">
        <f>SUM(E802,E803)</f>
        <v>5263</v>
      </c>
      <c r="F998" s="1409">
        <f>SUM(F802,F803)</f>
        <v>0</v>
      </c>
      <c r="G998" s="1620"/>
      <c r="H998" s="1409">
        <f>SUM(H802,H803)</f>
        <v>592</v>
      </c>
      <c r="I998" s="1409">
        <f>SUM(I802,I803)</f>
        <v>592</v>
      </c>
      <c r="J998" s="1409">
        <f>SUM(J802,J803)</f>
        <v>592</v>
      </c>
      <c r="K998" s="1409">
        <f>SUM(K802,K803)</f>
        <v>592</v>
      </c>
      <c r="L998" s="1620"/>
      <c r="M998" s="1409">
        <f>SUM(M802,M803)</f>
        <v>-768</v>
      </c>
      <c r="N998" s="1409">
        <f>SUM(N802,N803)</f>
        <v>-1308</v>
      </c>
      <c r="O998" s="1409">
        <f>SUM(O802,O803)</f>
        <v>-4671</v>
      </c>
      <c r="P998" s="1409">
        <f>SUM(P802,P803)</f>
        <v>592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2309</v>
      </c>
      <c r="D999" s="1409">
        <f>SUM(D805,D809:D810)</f>
        <v>5500</v>
      </c>
      <c r="E999" s="1409">
        <f>SUM(E805,E809:E810)</f>
        <v>11000</v>
      </c>
      <c r="F999" s="1409">
        <f>SUM(F805,F809:F810)</f>
        <v>0</v>
      </c>
      <c r="G999" s="1620"/>
      <c r="H999" s="1409">
        <f>SUM(H805,H809:H810)</f>
        <v>0</v>
      </c>
      <c r="I999" s="1409">
        <f>SUM(I805,I809:I810)</f>
        <v>0</v>
      </c>
      <c r="J999" s="1409">
        <f>SUM(J805,J809:J810)</f>
        <v>0</v>
      </c>
      <c r="K999" s="1409">
        <f>SUM(K805,K809:K810)</f>
        <v>0</v>
      </c>
      <c r="L999" s="1620"/>
      <c r="M999" s="1409">
        <f>SUM(M805,M809:M810)</f>
        <v>-2309</v>
      </c>
      <c r="N999" s="1409">
        <f>SUM(N805,N809:N810)</f>
        <v>-5500</v>
      </c>
      <c r="O999" s="1409">
        <f>SUM(O805,O809:O810)</f>
        <v>-11000</v>
      </c>
      <c r="P999" s="1409">
        <f>SUM(P805,P809:P810)</f>
        <v>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33">SUM(C807)</f>
        <v>0</v>
      </c>
      <c r="D1000" s="1409">
        <f t="shared" si="33"/>
        <v>0</v>
      </c>
      <c r="E1000" s="1409">
        <f t="shared" si="33"/>
        <v>0</v>
      </c>
      <c r="F1000" s="1409">
        <f t="shared" si="33"/>
        <v>0</v>
      </c>
      <c r="G1000" s="1620"/>
      <c r="H1000" s="1409">
        <f t="shared" ref="H1000:K1001" si="34">SUM(H807)</f>
        <v>2467.3333333333339</v>
      </c>
      <c r="I1000" s="1409">
        <f t="shared" si="34"/>
        <v>2467.3333333333339</v>
      </c>
      <c r="J1000" s="1409">
        <f t="shared" si="34"/>
        <v>2467.3333333333339</v>
      </c>
      <c r="K1000" s="1409">
        <f t="shared" si="34"/>
        <v>2467.3333333333339</v>
      </c>
      <c r="L1000" s="1620"/>
      <c r="M1000" s="1409">
        <f t="shared" ref="M1000:P1001" si="35">SUM(M807)</f>
        <v>2467.3333333333339</v>
      </c>
      <c r="N1000" s="1409">
        <f t="shared" si="35"/>
        <v>2467.3333333333339</v>
      </c>
      <c r="O1000" s="1409">
        <f t="shared" si="35"/>
        <v>2467.3333333333339</v>
      </c>
      <c r="P1000" s="1409">
        <f t="shared" si="35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33"/>
        <v>0</v>
      </c>
      <c r="D1001" s="1409">
        <f t="shared" si="33"/>
        <v>0</v>
      </c>
      <c r="E1001" s="1409">
        <f t="shared" si="33"/>
        <v>0</v>
      </c>
      <c r="F1001" s="1409">
        <f t="shared" si="33"/>
        <v>0</v>
      </c>
      <c r="G1001" s="1620"/>
      <c r="H1001" s="1409">
        <f t="shared" si="34"/>
        <v>13872</v>
      </c>
      <c r="I1001" s="1409">
        <f t="shared" si="34"/>
        <v>13872</v>
      </c>
      <c r="J1001" s="1409">
        <f t="shared" si="34"/>
        <v>13872</v>
      </c>
      <c r="K1001" s="1409">
        <f t="shared" si="34"/>
        <v>13872</v>
      </c>
      <c r="L1001" s="1620"/>
      <c r="M1001" s="1409">
        <f t="shared" si="35"/>
        <v>13872</v>
      </c>
      <c r="N1001" s="1409">
        <f t="shared" si="35"/>
        <v>13872</v>
      </c>
      <c r="O1001" s="1409">
        <f t="shared" si="35"/>
        <v>13872</v>
      </c>
      <c r="P1001" s="1409">
        <f t="shared" si="3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810.07999999999811</v>
      </c>
      <c r="D1002" s="1409">
        <f>D985-SUM(D988:D999)</f>
        <v>502.07999999999811</v>
      </c>
      <c r="E1002" s="1409">
        <f>E985-SUM(E988:E999)</f>
        <v>2198.0800000000017</v>
      </c>
      <c r="F1002" s="1409">
        <f>F985-SUM(F988:F999)</f>
        <v>0</v>
      </c>
      <c r="G1002" s="1620"/>
      <c r="H1002" s="1409">
        <f>H985-SUM(H988:H999)</f>
        <v>-3321.5117309011039</v>
      </c>
      <c r="I1002" s="1409">
        <f>I985-SUM(I988:I999)</f>
        <v>-909.51173090110387</v>
      </c>
      <c r="J1002" s="1409">
        <f>J985-SUM(J988:J999)</f>
        <v>6121.4882690988961</v>
      </c>
      <c r="K1002" s="1409">
        <f>K985-SUM(K988:K999)</f>
        <v>-18778.511730901104</v>
      </c>
      <c r="L1002" s="1620"/>
      <c r="M1002" s="1409">
        <f>M985-SUM(M988:M999)</f>
        <v>-745.59173090110471</v>
      </c>
      <c r="N1002" s="1409">
        <f>N985-SUM(N988:N999)</f>
        <v>6654.4082690988953</v>
      </c>
      <c r="O1002" s="1409">
        <f>O985-SUM(O988:O999)</f>
        <v>27083.408269098894</v>
      </c>
      <c r="P1002" s="1409">
        <f>P985-SUM(P988:P999)</f>
        <v>-18778.511730901104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26016</v>
      </c>
      <c r="D1004" s="1504">
        <f>SUM(D988:D1002)</f>
        <v>31986</v>
      </c>
      <c r="E1004" s="1504">
        <f>SUM(E988:E1003)</f>
        <v>57600</v>
      </c>
      <c r="F1004" s="1504">
        <f>SUM(F988:F1003)</f>
        <v>0</v>
      </c>
      <c r="G1004" s="1620"/>
      <c r="H1004" s="1409">
        <f>SUM(H988:H1003)</f>
        <v>36569.333333333336</v>
      </c>
      <c r="I1004" s="1409">
        <f>SUM(I988:I1003)</f>
        <v>36839.333333333336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17239.333333333332</v>
      </c>
      <c r="N1004" s="1504">
        <f>SUM(N988:N1003)</f>
        <v>16339.333333333332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10630</v>
      </c>
      <c r="D1012" s="1509">
        <f>SUM(D965:D967)</f>
        <v>14500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191340</v>
      </c>
      <c r="D1013" s="1509">
        <f>D1011*D1012*100</f>
        <v>275500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466840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0</v>
      </c>
      <c r="D1015" s="1509">
        <f>SUM(D795)</f>
        <v>0</v>
      </c>
      <c r="E1015" s="1509">
        <f>SUM(E795)</f>
        <v>0</v>
      </c>
      <c r="F1015" s="1509">
        <f>SUM(F795)</f>
        <v>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0</v>
      </c>
      <c r="D1016" s="1509">
        <f>D1011*D1015*100</f>
        <v>0</v>
      </c>
      <c r="E1016" s="1509">
        <f>E1011*E1015*100</f>
        <v>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Temp</v>
      </c>
      <c r="F1030" s="1372"/>
      <c r="G1030" s="1372"/>
      <c r="H1030" s="1662" t="str">
        <f>E1110</f>
        <v>Ftime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4773</v>
      </c>
      <c r="D1034" s="1652"/>
      <c r="E1034" s="1509">
        <f>SUMIF($Q$772:$Q$776,"des",I$772:I$776)+SUMIF($Q$781:$Q$785,"des",I$781:I$785)+SUMIF($Q$790:$Q$810,"des",I$790:I$810)</f>
        <v>2631</v>
      </c>
      <c r="F1034" s="1652"/>
      <c r="G1034" s="1652"/>
      <c r="H1034" s="1509">
        <f>SUMIF($Q$772:$Q$776,"des",J$772:J$776)+SUMIF($Q$781:$Q$785,"des",J$781:J$785)+SUMIF($Q$790:$Q$810,"des",J$790:J$810)</f>
        <v>5100</v>
      </c>
      <c r="I1034" s="1664"/>
      <c r="J1034" s="1509">
        <f>SUMIF($Q$772:$Q$776,"des",K$772:K$776)+SUMIF($Q$781:$Q$785,"des",K$781:K$785)+SUMIF($Q$790:$Q$810,"des",K$790:K$810)</f>
        <v>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Temp</v>
      </c>
      <c r="F1036" s="1372"/>
      <c r="G1036" s="1372"/>
      <c r="H1036" s="1662" t="str">
        <f>H1030</f>
        <v>Ftime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1181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Temporary</v>
      </c>
      <c r="F1042" s="1673"/>
      <c r="G1042" s="1372"/>
      <c r="H1042" s="1674" t="str">
        <f>WB!BB3</f>
        <v>Full-time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371" t="str">
        <f>IF(SUM($T$820:$T$898)=0,"",LOOKUP($B1044,$T$820:$T$898,C$820:C$898))</f>
        <v/>
      </c>
      <c r="D1044" s="1371" t="str">
        <f>IF(SUM($T$820:$T$898)=0,"",LOOKUP($B1044,$T$820:$T$898,M$820:M$898))</f>
        <v/>
      </c>
      <c r="E1044" s="1371" t="str">
        <f>IF(SUM($T$820:$T$898)=0,"",LOOKUP($B1044,$T$820:$T$898,D$820:D$898))</f>
        <v/>
      </c>
      <c r="F1044" s="1371" t="str">
        <f>IF(SUM($T$820:$T$898)=0,"",LOOKUP($B1044,$T$820:$T$898,N$820:N$898))</f>
        <v/>
      </c>
      <c r="G1044" s="1372"/>
      <c r="H1044" s="1913" t="str">
        <f>IF(SUM($T$820:$T$898)=0,"",LOOKUP($B1044,$T$820:$T$898,E$820:E$898))</f>
        <v/>
      </c>
      <c r="I1044" s="1913" t="str">
        <f>IF(SUM($T$820:$T$898)=0,"",LOOKUP($B1044,$T$820:$T$898,O$820:O$898))</f>
        <v/>
      </c>
      <c r="J1044" s="1913" t="str">
        <f>IF(SUM($T$820:$T$898)=0,"",LOOKUP($B1044,$T$820:$T$898,F$820:F$898))</f>
        <v/>
      </c>
      <c r="K1044" s="1913" t="str">
        <f>IF(SUM($T$820:$T$898)=0,"",LOOKUP($B1044,$T$820:$T$898,P$820:P$898))</f>
        <v/>
      </c>
      <c r="L1044" s="1372"/>
      <c r="M1044" s="1681" t="str">
        <f t="shared" ref="M1044:M1054" si="36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37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914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38">IF($A1045="","",LOOKUP($B1045,$T$820:$T$898,C$820:C$898))</f>
        <v/>
      </c>
      <c r="D1045" s="1519" t="str">
        <f t="shared" ref="D1045:D1054" si="39">IF($A1045="","",LOOKUP($B1045,$T$820:$T$898,M$820:M$898))</f>
        <v/>
      </c>
      <c r="E1045" s="1519" t="str">
        <f t="shared" ref="E1045:E1054" si="40">IF($A1045="","",LOOKUP($B1045,$T$820:$T$898,D$820:D$898))</f>
        <v/>
      </c>
      <c r="F1045" s="1519" t="str">
        <f t="shared" ref="F1045:F1054" si="41">IF($A1045="","",LOOKUP($B1045,$T$820:$T$898,N$820:N$898))</f>
        <v/>
      </c>
      <c r="G1045" s="1372"/>
      <c r="H1045" s="1680" t="str">
        <f t="shared" ref="H1045:H1054" si="42">IF($A1045="","",LOOKUP($B1045,$T$820:$T$898,E$820:E$898))</f>
        <v/>
      </c>
      <c r="I1045" s="1680" t="str">
        <f t="shared" ref="I1045:I1054" si="43">IF($A1045="","",LOOKUP($B1045,$T$820:$T$898,O$820:O$898))</f>
        <v/>
      </c>
      <c r="J1045" s="1680" t="str">
        <f t="shared" ref="J1045:J1054" si="44">IF($A1045="","",LOOKUP($B1045,$T$820:$T$898,F$820:F$898))</f>
        <v/>
      </c>
      <c r="K1045" s="1680" t="str">
        <f t="shared" ref="K1045:K1054" si="45">IF($A1045="","",LOOKUP($B1045,$T$820:$T$898,P$820:P$898))</f>
        <v/>
      </c>
      <c r="L1045" s="1372"/>
      <c r="M1045" s="1681" t="str">
        <f t="shared" si="36"/>
        <v/>
      </c>
      <c r="N1045" s="1372"/>
      <c r="O1045" s="1372"/>
      <c r="P1045" s="1372"/>
      <c r="Q1045" s="1659"/>
      <c r="R1045" s="1372" t="str">
        <f t="shared" si="37"/>
        <v/>
      </c>
      <c r="S1045" s="1410"/>
      <c r="T1045" s="1410"/>
      <c r="U1045" s="1447">
        <v>1045</v>
      </c>
      <c r="V1045" s="1410"/>
    </row>
    <row r="1046" spans="1:22" ht="15.75" customHeight="1">
      <c r="A1046" s="1914" t="str">
        <f t="shared" ref="A1046:A1063" si="46"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38"/>
        <v/>
      </c>
      <c r="D1046" s="1519" t="str">
        <f t="shared" si="39"/>
        <v/>
      </c>
      <c r="E1046" s="1519" t="str">
        <f t="shared" si="40"/>
        <v/>
      </c>
      <c r="F1046" s="1519" t="str">
        <f t="shared" si="41"/>
        <v/>
      </c>
      <c r="G1046" s="1372"/>
      <c r="H1046" s="1680" t="str">
        <f t="shared" si="42"/>
        <v/>
      </c>
      <c r="I1046" s="1680" t="str">
        <f t="shared" si="43"/>
        <v/>
      </c>
      <c r="J1046" s="1680" t="str">
        <f t="shared" si="44"/>
        <v/>
      </c>
      <c r="K1046" s="1680" t="str">
        <f t="shared" si="45"/>
        <v/>
      </c>
      <c r="L1046" s="1372"/>
      <c r="M1046" s="1681" t="str">
        <f t="shared" si="36"/>
        <v/>
      </c>
      <c r="N1046" s="1372"/>
      <c r="O1046" s="1372"/>
      <c r="P1046" s="1372"/>
      <c r="Q1046" s="1659"/>
      <c r="R1046" s="1372" t="str">
        <f t="shared" si="37"/>
        <v/>
      </c>
      <c r="S1046" s="1410"/>
      <c r="T1046" s="1410"/>
      <c r="U1046" s="1447">
        <v>1046</v>
      </c>
      <c r="V1046" s="1410"/>
    </row>
    <row r="1047" spans="1:22" ht="15.75" customHeight="1">
      <c r="A1047" s="1914" t="str">
        <f t="shared" si="46"/>
        <v/>
      </c>
      <c r="B1047" s="1652">
        <v>4</v>
      </c>
      <c r="C1047" s="1519" t="str">
        <f t="shared" si="38"/>
        <v/>
      </c>
      <c r="D1047" s="1519" t="str">
        <f t="shared" si="39"/>
        <v/>
      </c>
      <c r="E1047" s="1519" t="str">
        <f t="shared" si="40"/>
        <v/>
      </c>
      <c r="F1047" s="1519" t="str">
        <f t="shared" si="41"/>
        <v/>
      </c>
      <c r="G1047" s="1372"/>
      <c r="H1047" s="1680" t="str">
        <f t="shared" si="42"/>
        <v/>
      </c>
      <c r="I1047" s="1680" t="str">
        <f t="shared" si="43"/>
        <v/>
      </c>
      <c r="J1047" s="1680" t="str">
        <f t="shared" si="44"/>
        <v/>
      </c>
      <c r="K1047" s="1680" t="str">
        <f t="shared" si="45"/>
        <v/>
      </c>
      <c r="L1047" s="1372"/>
      <c r="M1047" s="1681" t="str">
        <f t="shared" si="36"/>
        <v/>
      </c>
      <c r="N1047" s="1372"/>
      <c r="O1047" s="1372"/>
      <c r="P1047" s="1372"/>
      <c r="Q1047" s="1659"/>
      <c r="R1047" s="1372" t="str">
        <f t="shared" si="37"/>
        <v/>
      </c>
      <c r="S1047" s="1410"/>
      <c r="T1047" s="1410"/>
      <c r="U1047" s="1447">
        <v>1047</v>
      </c>
      <c r="V1047" s="1410"/>
    </row>
    <row r="1048" spans="1:22" ht="15.75" customHeight="1">
      <c r="A1048" s="1914" t="str">
        <f t="shared" si="46"/>
        <v/>
      </c>
      <c r="B1048" s="1652">
        <v>5</v>
      </c>
      <c r="C1048" s="1519" t="str">
        <f t="shared" si="38"/>
        <v/>
      </c>
      <c r="D1048" s="1519" t="str">
        <f t="shared" si="39"/>
        <v/>
      </c>
      <c r="E1048" s="1519" t="str">
        <f t="shared" si="40"/>
        <v/>
      </c>
      <c r="F1048" s="1519" t="str">
        <f t="shared" si="41"/>
        <v/>
      </c>
      <c r="G1048" s="1372"/>
      <c r="H1048" s="1680" t="str">
        <f t="shared" si="42"/>
        <v/>
      </c>
      <c r="I1048" s="1680" t="str">
        <f t="shared" si="43"/>
        <v/>
      </c>
      <c r="J1048" s="1680" t="str">
        <f t="shared" si="44"/>
        <v/>
      </c>
      <c r="K1048" s="1680" t="str">
        <f t="shared" si="45"/>
        <v/>
      </c>
      <c r="L1048" s="1372"/>
      <c r="M1048" s="1681" t="str">
        <f t="shared" si="36"/>
        <v/>
      </c>
      <c r="N1048" s="1372"/>
      <c r="O1048" s="1372"/>
      <c r="P1048" s="1372"/>
      <c r="Q1048" s="1659"/>
      <c r="R1048" s="1372" t="str">
        <f t="shared" si="37"/>
        <v/>
      </c>
      <c r="S1048" s="1410"/>
      <c r="T1048" s="1410"/>
      <c r="U1048" s="1447">
        <v>1048</v>
      </c>
      <c r="V1048" s="1410"/>
    </row>
    <row r="1049" spans="1:22" ht="15.75" customHeight="1">
      <c r="A1049" s="1914" t="str">
        <f t="shared" si="46"/>
        <v/>
      </c>
      <c r="B1049" s="1652">
        <v>6</v>
      </c>
      <c r="C1049" s="1519" t="str">
        <f t="shared" si="38"/>
        <v/>
      </c>
      <c r="D1049" s="1519" t="str">
        <f t="shared" si="39"/>
        <v/>
      </c>
      <c r="E1049" s="1519" t="str">
        <f t="shared" si="40"/>
        <v/>
      </c>
      <c r="F1049" s="1519" t="str">
        <f t="shared" si="41"/>
        <v/>
      </c>
      <c r="G1049" s="1372"/>
      <c r="H1049" s="1680" t="str">
        <f t="shared" si="42"/>
        <v/>
      </c>
      <c r="I1049" s="1680" t="str">
        <f t="shared" si="43"/>
        <v/>
      </c>
      <c r="J1049" s="1680" t="str">
        <f t="shared" si="44"/>
        <v/>
      </c>
      <c r="K1049" s="1680" t="str">
        <f t="shared" si="45"/>
        <v/>
      </c>
      <c r="L1049" s="1372"/>
      <c r="M1049" s="1681" t="str">
        <f t="shared" si="36"/>
        <v/>
      </c>
      <c r="N1049" s="1372"/>
      <c r="O1049" s="1372"/>
      <c r="P1049" s="1372"/>
      <c r="Q1049" s="1659"/>
      <c r="R1049" s="1372" t="str">
        <f t="shared" si="37"/>
        <v/>
      </c>
      <c r="S1049" s="1410"/>
      <c r="T1049" s="1410"/>
      <c r="U1049" s="1447">
        <v>1049</v>
      </c>
      <c r="V1049" s="1410"/>
    </row>
    <row r="1050" spans="1:22" ht="15.75" customHeight="1">
      <c r="A1050" s="1914" t="str">
        <f t="shared" si="46"/>
        <v/>
      </c>
      <c r="B1050" s="1652">
        <v>7</v>
      </c>
      <c r="C1050" s="1519" t="str">
        <f t="shared" si="38"/>
        <v/>
      </c>
      <c r="D1050" s="1519" t="str">
        <f t="shared" si="39"/>
        <v/>
      </c>
      <c r="E1050" s="1519" t="str">
        <f t="shared" si="40"/>
        <v/>
      </c>
      <c r="F1050" s="1519" t="str">
        <f t="shared" si="41"/>
        <v/>
      </c>
      <c r="G1050" s="1372"/>
      <c r="H1050" s="1680" t="str">
        <f t="shared" si="42"/>
        <v/>
      </c>
      <c r="I1050" s="1680" t="str">
        <f t="shared" si="43"/>
        <v/>
      </c>
      <c r="J1050" s="1680" t="str">
        <f t="shared" si="44"/>
        <v/>
      </c>
      <c r="K1050" s="1680" t="str">
        <f t="shared" si="45"/>
        <v/>
      </c>
      <c r="L1050" s="1372"/>
      <c r="M1050" s="1681" t="str">
        <f t="shared" si="36"/>
        <v/>
      </c>
      <c r="N1050" s="1372"/>
      <c r="O1050" s="1372"/>
      <c r="P1050" s="1372"/>
      <c r="Q1050" s="1659"/>
      <c r="R1050" s="1372" t="str">
        <f t="shared" si="37"/>
        <v/>
      </c>
      <c r="S1050" s="1410"/>
      <c r="T1050" s="1410"/>
      <c r="U1050" s="1447">
        <v>1050</v>
      </c>
      <c r="V1050" s="1410"/>
    </row>
    <row r="1051" spans="1:22" ht="15.75" customHeight="1">
      <c r="A1051" s="1914" t="str">
        <f t="shared" si="46"/>
        <v/>
      </c>
      <c r="B1051" s="1652">
        <v>8</v>
      </c>
      <c r="C1051" s="1519" t="str">
        <f t="shared" si="38"/>
        <v/>
      </c>
      <c r="D1051" s="1519" t="str">
        <f t="shared" si="39"/>
        <v/>
      </c>
      <c r="E1051" s="1519" t="str">
        <f t="shared" si="40"/>
        <v/>
      </c>
      <c r="F1051" s="1519" t="str">
        <f t="shared" si="41"/>
        <v/>
      </c>
      <c r="G1051" s="1372"/>
      <c r="H1051" s="1680" t="str">
        <f t="shared" si="42"/>
        <v/>
      </c>
      <c r="I1051" s="1680" t="str">
        <f t="shared" si="43"/>
        <v/>
      </c>
      <c r="J1051" s="1680" t="str">
        <f t="shared" si="44"/>
        <v/>
      </c>
      <c r="K1051" s="1680" t="str">
        <f t="shared" si="45"/>
        <v/>
      </c>
      <c r="L1051" s="1372"/>
      <c r="M1051" s="1681" t="str">
        <f t="shared" si="36"/>
        <v/>
      </c>
      <c r="N1051" s="1372"/>
      <c r="O1051" s="1372"/>
      <c r="P1051" s="1372"/>
      <c r="Q1051" s="1659"/>
      <c r="R1051" s="1372" t="str">
        <f t="shared" si="37"/>
        <v/>
      </c>
      <c r="S1051" s="1410"/>
      <c r="T1051" s="1410"/>
      <c r="U1051" s="1447">
        <v>1051</v>
      </c>
      <c r="V1051" s="1410"/>
    </row>
    <row r="1052" spans="1:22" ht="15.75" customHeight="1">
      <c r="A1052" s="1914" t="str">
        <f t="shared" si="46"/>
        <v/>
      </c>
      <c r="B1052" s="1652">
        <v>9</v>
      </c>
      <c r="C1052" s="1519" t="str">
        <f t="shared" si="38"/>
        <v/>
      </c>
      <c r="D1052" s="1519" t="str">
        <f t="shared" si="39"/>
        <v/>
      </c>
      <c r="E1052" s="1519" t="str">
        <f t="shared" si="40"/>
        <v/>
      </c>
      <c r="F1052" s="1519" t="str">
        <f t="shared" si="41"/>
        <v/>
      </c>
      <c r="G1052" s="1652"/>
      <c r="H1052" s="1680" t="str">
        <f t="shared" si="42"/>
        <v/>
      </c>
      <c r="I1052" s="1680" t="str">
        <f t="shared" si="43"/>
        <v/>
      </c>
      <c r="J1052" s="1680" t="str">
        <f t="shared" si="44"/>
        <v/>
      </c>
      <c r="K1052" s="1680" t="str">
        <f t="shared" si="45"/>
        <v/>
      </c>
      <c r="L1052" s="1372"/>
      <c r="M1052" s="1681" t="str">
        <f t="shared" si="36"/>
        <v/>
      </c>
      <c r="N1052" s="1372"/>
      <c r="O1052" s="1372"/>
      <c r="P1052" s="1372"/>
      <c r="Q1052" s="1659"/>
      <c r="R1052" s="1372" t="str">
        <f t="shared" si="37"/>
        <v/>
      </c>
      <c r="S1052" s="1410"/>
      <c r="T1052" s="1410"/>
      <c r="U1052" s="1447">
        <v>1052</v>
      </c>
      <c r="V1052" s="1410"/>
    </row>
    <row r="1053" spans="1:22" ht="15.75" customHeight="1">
      <c r="A1053" s="1914" t="str">
        <f t="shared" si="46"/>
        <v/>
      </c>
      <c r="B1053" s="1652">
        <v>10</v>
      </c>
      <c r="C1053" s="1519" t="str">
        <f t="shared" si="38"/>
        <v/>
      </c>
      <c r="D1053" s="1519" t="str">
        <f t="shared" si="39"/>
        <v/>
      </c>
      <c r="E1053" s="1519" t="str">
        <f t="shared" si="40"/>
        <v/>
      </c>
      <c r="F1053" s="1519" t="str">
        <f t="shared" si="41"/>
        <v/>
      </c>
      <c r="G1053" s="1372"/>
      <c r="H1053" s="1680" t="str">
        <f t="shared" si="42"/>
        <v/>
      </c>
      <c r="I1053" s="1680" t="str">
        <f t="shared" si="43"/>
        <v/>
      </c>
      <c r="J1053" s="1680" t="str">
        <f t="shared" si="44"/>
        <v/>
      </c>
      <c r="K1053" s="1680" t="str">
        <f t="shared" si="45"/>
        <v/>
      </c>
      <c r="L1053" s="1372"/>
      <c r="M1053" s="1681" t="str">
        <f t="shared" si="36"/>
        <v/>
      </c>
      <c r="N1053" s="1372"/>
      <c r="O1053" s="1372"/>
      <c r="P1053" s="1372"/>
      <c r="Q1053" s="1659"/>
      <c r="R1053" s="1372" t="str">
        <f t="shared" si="37"/>
        <v/>
      </c>
      <c r="S1053" s="1410"/>
      <c r="T1053" s="1410"/>
      <c r="U1053" s="1447">
        <v>1053</v>
      </c>
      <c r="V1053" s="1410"/>
    </row>
    <row r="1054" spans="1:22" ht="15.75" customHeight="1">
      <c r="A1054" s="1914" t="str">
        <f t="shared" si="46"/>
        <v/>
      </c>
      <c r="B1054" s="1652">
        <v>11</v>
      </c>
      <c r="C1054" s="1519" t="str">
        <f t="shared" si="38"/>
        <v/>
      </c>
      <c r="D1054" s="1519" t="str">
        <f t="shared" si="39"/>
        <v/>
      </c>
      <c r="E1054" s="1519" t="str">
        <f t="shared" si="40"/>
        <v/>
      </c>
      <c r="F1054" s="1519" t="str">
        <f t="shared" si="41"/>
        <v/>
      </c>
      <c r="G1054" s="1372"/>
      <c r="H1054" s="1680" t="str">
        <f t="shared" si="42"/>
        <v/>
      </c>
      <c r="I1054" s="1680" t="str">
        <f t="shared" si="43"/>
        <v/>
      </c>
      <c r="J1054" s="1680" t="str">
        <f t="shared" si="44"/>
        <v/>
      </c>
      <c r="K1054" s="1680" t="str">
        <f t="shared" si="45"/>
        <v/>
      </c>
      <c r="L1054" s="1372"/>
      <c r="M1054" s="1681" t="str">
        <f t="shared" si="36"/>
        <v/>
      </c>
      <c r="N1054" s="1372"/>
      <c r="O1054" s="1372"/>
      <c r="P1054" s="1372"/>
      <c r="Q1054" s="1659"/>
      <c r="R1054" s="1372" t="str">
        <f t="shared" si="37"/>
        <v/>
      </c>
      <c r="S1054" s="1410"/>
      <c r="T1054" s="1410"/>
      <c r="U1054" s="1447">
        <v>1054</v>
      </c>
      <c r="V1054" s="1410"/>
    </row>
    <row r="1055" spans="1:22" ht="15.75" customHeight="1">
      <c r="A1055" s="1914" t="str">
        <f t="shared" si="46"/>
        <v/>
      </c>
      <c r="B1055" s="1652">
        <v>12</v>
      </c>
      <c r="C1055" s="1519" t="str">
        <f t="shared" si="38"/>
        <v/>
      </c>
      <c r="D1055" s="1519" t="str">
        <f t="shared" ref="D1055:D1063" si="47">IF($A1055="","",LOOKUP($B1055,$T$820:$T$898,M$820:M$898))</f>
        <v/>
      </c>
      <c r="E1055" s="1519" t="str">
        <f t="shared" ref="E1055:E1063" si="48">IF($A1055="","",LOOKUP($B1055,$T$820:$T$898,D$820:D$898))</f>
        <v/>
      </c>
      <c r="F1055" s="1519" t="str">
        <f t="shared" ref="F1055:F1063" si="49">IF($A1055="","",LOOKUP($B1055,$T$820:$T$898,N$820:N$898))</f>
        <v/>
      </c>
      <c r="G1055" s="1372"/>
      <c r="H1055" s="1680" t="str">
        <f t="shared" ref="H1055:H1063" si="50">IF($A1055="","",LOOKUP($B1055,$T$820:$T$898,E$820:E$898))</f>
        <v/>
      </c>
      <c r="I1055" s="1680" t="str">
        <f t="shared" ref="I1055:I1063" si="51">IF($A1055="","",LOOKUP($B1055,$T$820:$T$898,O$820:O$898))</f>
        <v/>
      </c>
      <c r="J1055" s="1680" t="str">
        <f t="shared" ref="J1055:J1063" si="52">IF($A1055="","",LOOKUP($B1055,$T$820:$T$898,F$820:F$898))</f>
        <v/>
      </c>
      <c r="K1055" s="1680" t="str">
        <f t="shared" ref="K1055:K1063" si="53">IF($A1055="","",LOOKUP($B1055,$T$820:$T$898,P$820:P$898))</f>
        <v/>
      </c>
      <c r="L1055" s="1372"/>
      <c r="M1055" s="1681" t="str">
        <f t="shared" ref="M1055:M1063" si="54">IF(LOOKUP(R1055,R$1071:R$1094,R$1071:R$1094)=R1055,R1055,"")</f>
        <v/>
      </c>
      <c r="N1055" s="1372"/>
      <c r="O1055" s="1372"/>
      <c r="P1055" s="1372"/>
      <c r="Q1055" s="1659"/>
      <c r="R1055" s="1372" t="str">
        <f t="shared" si="37"/>
        <v/>
      </c>
      <c r="S1055" s="1410"/>
      <c r="T1055" s="1410"/>
      <c r="U1055" s="1447">
        <v>1055</v>
      </c>
      <c r="V1055" s="1410"/>
    </row>
    <row r="1056" spans="1:22" ht="15.75" customHeight="1">
      <c r="A1056" s="1914" t="str">
        <f t="shared" si="46"/>
        <v/>
      </c>
      <c r="B1056" s="1652">
        <v>13</v>
      </c>
      <c r="C1056" s="1519" t="str">
        <f t="shared" si="38"/>
        <v/>
      </c>
      <c r="D1056" s="1519" t="str">
        <f t="shared" si="47"/>
        <v/>
      </c>
      <c r="E1056" s="1519" t="str">
        <f t="shared" si="48"/>
        <v/>
      </c>
      <c r="F1056" s="1519" t="str">
        <f t="shared" si="49"/>
        <v/>
      </c>
      <c r="G1056" s="1372"/>
      <c r="H1056" s="1680" t="str">
        <f t="shared" si="50"/>
        <v/>
      </c>
      <c r="I1056" s="1680" t="str">
        <f t="shared" si="51"/>
        <v/>
      </c>
      <c r="J1056" s="1680" t="str">
        <f t="shared" si="52"/>
        <v/>
      </c>
      <c r="K1056" s="1680" t="str">
        <f t="shared" si="53"/>
        <v/>
      </c>
      <c r="L1056" s="1372"/>
      <c r="M1056" s="1681" t="str">
        <f t="shared" si="54"/>
        <v/>
      </c>
      <c r="N1056" s="1372"/>
      <c r="O1056" s="1372"/>
      <c r="P1056" s="1372"/>
      <c r="Q1056" s="1659"/>
      <c r="R1056" s="1372" t="str">
        <f t="shared" si="37"/>
        <v/>
      </c>
      <c r="S1056" s="1410"/>
      <c r="T1056" s="1410"/>
      <c r="U1056" s="1447">
        <v>1056</v>
      </c>
      <c r="V1056" s="1410"/>
    </row>
    <row r="1057" spans="1:22" ht="15.75" customHeight="1">
      <c r="A1057" s="1914" t="str">
        <f t="shared" si="46"/>
        <v/>
      </c>
      <c r="B1057" s="1652">
        <v>14</v>
      </c>
      <c r="C1057" s="1519" t="str">
        <f t="shared" si="38"/>
        <v/>
      </c>
      <c r="D1057" s="1519" t="str">
        <f t="shared" si="47"/>
        <v/>
      </c>
      <c r="E1057" s="1519" t="str">
        <f t="shared" si="48"/>
        <v/>
      </c>
      <c r="F1057" s="1519" t="str">
        <f t="shared" si="49"/>
        <v/>
      </c>
      <c r="G1057" s="1372"/>
      <c r="H1057" s="1680" t="str">
        <f t="shared" si="50"/>
        <v/>
      </c>
      <c r="I1057" s="1680" t="str">
        <f t="shared" si="51"/>
        <v/>
      </c>
      <c r="J1057" s="1680" t="str">
        <f t="shared" si="52"/>
        <v/>
      </c>
      <c r="K1057" s="1680" t="str">
        <f t="shared" si="53"/>
        <v/>
      </c>
      <c r="L1057" s="1372"/>
      <c r="M1057" s="1681" t="str">
        <f t="shared" si="54"/>
        <v/>
      </c>
      <c r="N1057" s="1372"/>
      <c r="O1057" s="1372"/>
      <c r="P1057" s="1372"/>
      <c r="Q1057" s="1659"/>
      <c r="R1057" s="1372" t="str">
        <f t="shared" si="37"/>
        <v/>
      </c>
      <c r="S1057" s="1410"/>
      <c r="T1057" s="1410"/>
      <c r="U1057" s="1447">
        <v>1057</v>
      </c>
      <c r="V1057" s="1410"/>
    </row>
    <row r="1058" spans="1:22" ht="15.75" customHeight="1">
      <c r="A1058" s="1914" t="str">
        <f t="shared" si="46"/>
        <v/>
      </c>
      <c r="B1058" s="1652">
        <v>15</v>
      </c>
      <c r="C1058" s="1519" t="str">
        <f t="shared" si="38"/>
        <v/>
      </c>
      <c r="D1058" s="1519" t="str">
        <f t="shared" si="47"/>
        <v/>
      </c>
      <c r="E1058" s="1519" t="str">
        <f t="shared" si="48"/>
        <v/>
      </c>
      <c r="F1058" s="1519" t="str">
        <f t="shared" si="49"/>
        <v/>
      </c>
      <c r="G1058" s="1372"/>
      <c r="H1058" s="1680" t="str">
        <f t="shared" si="50"/>
        <v/>
      </c>
      <c r="I1058" s="1680" t="str">
        <f t="shared" si="51"/>
        <v/>
      </c>
      <c r="J1058" s="1680" t="str">
        <f t="shared" si="52"/>
        <v/>
      </c>
      <c r="K1058" s="1680" t="str">
        <f t="shared" si="53"/>
        <v/>
      </c>
      <c r="L1058" s="1372"/>
      <c r="M1058" s="1681" t="str">
        <f t="shared" si="54"/>
        <v/>
      </c>
      <c r="N1058" s="1372"/>
      <c r="O1058" s="1372"/>
      <c r="P1058" s="1372"/>
      <c r="Q1058" s="1659"/>
      <c r="R1058" s="1372" t="str">
        <f t="shared" si="37"/>
        <v/>
      </c>
      <c r="S1058" s="1410"/>
      <c r="T1058" s="1410"/>
      <c r="U1058" s="1447">
        <v>1058</v>
      </c>
      <c r="V1058" s="1410"/>
    </row>
    <row r="1059" spans="1:22" ht="15.75" customHeight="1">
      <c r="A1059" s="1914" t="str">
        <f t="shared" si="46"/>
        <v/>
      </c>
      <c r="B1059" s="1652">
        <v>16</v>
      </c>
      <c r="C1059" s="1519" t="str">
        <f t="shared" si="38"/>
        <v/>
      </c>
      <c r="D1059" s="1519" t="str">
        <f t="shared" si="47"/>
        <v/>
      </c>
      <c r="E1059" s="1519" t="str">
        <f t="shared" si="48"/>
        <v/>
      </c>
      <c r="F1059" s="1519" t="str">
        <f t="shared" si="49"/>
        <v/>
      </c>
      <c r="G1059" s="1372"/>
      <c r="H1059" s="1680" t="str">
        <f t="shared" si="50"/>
        <v/>
      </c>
      <c r="I1059" s="1680" t="str">
        <f t="shared" si="51"/>
        <v/>
      </c>
      <c r="J1059" s="1680" t="str">
        <f t="shared" si="52"/>
        <v/>
      </c>
      <c r="K1059" s="1680" t="str">
        <f t="shared" si="53"/>
        <v/>
      </c>
      <c r="L1059" s="1372"/>
      <c r="M1059" s="1681" t="str">
        <f t="shared" si="54"/>
        <v/>
      </c>
      <c r="N1059" s="1372"/>
      <c r="O1059" s="1372"/>
      <c r="P1059" s="1372"/>
      <c r="Q1059" s="1659"/>
      <c r="R1059" s="1372" t="str">
        <f t="shared" si="37"/>
        <v/>
      </c>
      <c r="S1059" s="1410"/>
      <c r="T1059" s="1410"/>
      <c r="U1059" s="1447">
        <v>1059</v>
      </c>
      <c r="V1059" s="1410"/>
    </row>
    <row r="1060" spans="1:22" ht="15.75" customHeight="1">
      <c r="A1060" s="1914" t="str">
        <f t="shared" si="46"/>
        <v/>
      </c>
      <c r="B1060" s="1652">
        <v>17</v>
      </c>
      <c r="C1060" s="1519" t="str">
        <f t="shared" si="38"/>
        <v/>
      </c>
      <c r="D1060" s="1519" t="str">
        <f t="shared" si="47"/>
        <v/>
      </c>
      <c r="E1060" s="1519" t="str">
        <f t="shared" si="48"/>
        <v/>
      </c>
      <c r="F1060" s="1519" t="str">
        <f t="shared" si="49"/>
        <v/>
      </c>
      <c r="G1060" s="1372"/>
      <c r="H1060" s="1680" t="str">
        <f t="shared" si="50"/>
        <v/>
      </c>
      <c r="I1060" s="1680" t="str">
        <f t="shared" si="51"/>
        <v/>
      </c>
      <c r="J1060" s="1680" t="str">
        <f t="shared" si="52"/>
        <v/>
      </c>
      <c r="K1060" s="1680" t="str">
        <f t="shared" si="53"/>
        <v/>
      </c>
      <c r="L1060" s="1372"/>
      <c r="M1060" s="1681" t="str">
        <f t="shared" si="54"/>
        <v/>
      </c>
      <c r="N1060" s="1372"/>
      <c r="O1060" s="1372"/>
      <c r="P1060" s="1372"/>
      <c r="Q1060" s="1659"/>
      <c r="R1060" s="1372" t="str">
        <f t="shared" si="37"/>
        <v/>
      </c>
      <c r="S1060" s="1410"/>
      <c r="T1060" s="1410"/>
      <c r="U1060" s="1447">
        <v>1060</v>
      </c>
      <c r="V1060" s="1410"/>
    </row>
    <row r="1061" spans="1:22" ht="15.75" customHeight="1">
      <c r="A1061" s="1914" t="str">
        <f t="shared" si="46"/>
        <v/>
      </c>
      <c r="B1061" s="1652">
        <v>18</v>
      </c>
      <c r="C1061" s="1519" t="str">
        <f t="shared" si="38"/>
        <v/>
      </c>
      <c r="D1061" s="1519" t="str">
        <f t="shared" si="47"/>
        <v/>
      </c>
      <c r="E1061" s="1519" t="str">
        <f t="shared" si="48"/>
        <v/>
      </c>
      <c r="F1061" s="1519" t="str">
        <f t="shared" si="49"/>
        <v/>
      </c>
      <c r="G1061" s="1372"/>
      <c r="H1061" s="1680" t="str">
        <f t="shared" si="50"/>
        <v/>
      </c>
      <c r="I1061" s="1680" t="str">
        <f t="shared" si="51"/>
        <v/>
      </c>
      <c r="J1061" s="1680" t="str">
        <f t="shared" si="52"/>
        <v/>
      </c>
      <c r="K1061" s="1680" t="str">
        <f t="shared" si="53"/>
        <v/>
      </c>
      <c r="L1061" s="1372"/>
      <c r="M1061" s="1681" t="str">
        <f t="shared" si="54"/>
        <v/>
      </c>
      <c r="N1061" s="1372"/>
      <c r="O1061" s="1372"/>
      <c r="P1061" s="1372"/>
      <c r="Q1061" s="1659"/>
      <c r="R1061" s="1372" t="str">
        <f t="shared" si="37"/>
        <v/>
      </c>
      <c r="S1061" s="1410"/>
      <c r="T1061" s="1410"/>
      <c r="U1061" s="1447">
        <v>1061</v>
      </c>
      <c r="V1061" s="1410"/>
    </row>
    <row r="1062" spans="1:22" ht="15.75" customHeight="1">
      <c r="A1062" s="1914" t="str">
        <f t="shared" si="46"/>
        <v/>
      </c>
      <c r="B1062" s="1652">
        <v>19</v>
      </c>
      <c r="C1062" s="1519" t="str">
        <f t="shared" si="38"/>
        <v/>
      </c>
      <c r="D1062" s="1519" t="str">
        <f t="shared" si="47"/>
        <v/>
      </c>
      <c r="E1062" s="1519" t="str">
        <f t="shared" si="48"/>
        <v/>
      </c>
      <c r="F1062" s="1519" t="str">
        <f t="shared" si="49"/>
        <v/>
      </c>
      <c r="G1062" s="1372"/>
      <c r="H1062" s="1680" t="str">
        <f t="shared" si="50"/>
        <v/>
      </c>
      <c r="I1062" s="1680" t="str">
        <f t="shared" si="51"/>
        <v/>
      </c>
      <c r="J1062" s="1680" t="str">
        <f t="shared" si="52"/>
        <v/>
      </c>
      <c r="K1062" s="1680" t="str">
        <f t="shared" si="53"/>
        <v/>
      </c>
      <c r="L1062" s="1372"/>
      <c r="M1062" s="1681" t="str">
        <f t="shared" si="54"/>
        <v/>
      </c>
      <c r="N1062" s="1372"/>
      <c r="O1062" s="1372"/>
      <c r="P1062" s="1372"/>
      <c r="Q1062" s="1659"/>
      <c r="R1062" s="1372" t="str">
        <f t="shared" si="37"/>
        <v/>
      </c>
      <c r="S1062" s="1410"/>
      <c r="T1062" s="1410"/>
      <c r="U1062" s="1447">
        <v>1062</v>
      </c>
      <c r="V1062" s="1410"/>
    </row>
    <row r="1063" spans="1:22" ht="15.75" customHeight="1">
      <c r="A1063" s="1914" t="str">
        <f t="shared" si="46"/>
        <v/>
      </c>
      <c r="B1063" s="1652">
        <v>20</v>
      </c>
      <c r="C1063" s="1519" t="str">
        <f t="shared" si="38"/>
        <v/>
      </c>
      <c r="D1063" s="1519" t="str">
        <f t="shared" si="47"/>
        <v/>
      </c>
      <c r="E1063" s="1519" t="str">
        <f t="shared" si="48"/>
        <v/>
      </c>
      <c r="F1063" s="1519" t="str">
        <f t="shared" si="49"/>
        <v/>
      </c>
      <c r="G1063" s="1372"/>
      <c r="H1063" s="1680" t="str">
        <f t="shared" si="50"/>
        <v/>
      </c>
      <c r="I1063" s="1680" t="str">
        <f t="shared" si="51"/>
        <v/>
      </c>
      <c r="J1063" s="1680" t="str">
        <f t="shared" si="52"/>
        <v/>
      </c>
      <c r="K1063" s="1680" t="str">
        <f t="shared" si="53"/>
        <v/>
      </c>
      <c r="L1063" s="1372"/>
      <c r="M1063" s="1681" t="str">
        <f t="shared" si="54"/>
        <v/>
      </c>
      <c r="N1063" s="1372"/>
      <c r="O1063" s="1372"/>
      <c r="P1063" s="1372"/>
      <c r="Q1063" s="1659"/>
      <c r="R1063" s="1372" t="str">
        <f t="shared" si="37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0</v>
      </c>
      <c r="K1065" s="1371">
        <f>SUM(P887:P888)</f>
        <v>0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1.1020794124177193</v>
      </c>
      <c r="D1069" s="1519">
        <f>SUM(D1044:D1068)</f>
        <v>-0.16917790949511374</v>
      </c>
      <c r="E1069" s="1519">
        <f>SUM(E1044:E1068)</f>
        <v>1.1088797037004092</v>
      </c>
      <c r="F1069" s="1519">
        <f>SUM(F1044:F1068)</f>
        <v>-0.14663410314393066</v>
      </c>
      <c r="G1069" s="1682"/>
      <c r="H1069" s="1680">
        <f>SUM(H1044:H1068)</f>
        <v>1.0663096572851805</v>
      </c>
      <c r="I1069" s="1680">
        <f>SUM(I1044:I1068)</f>
        <v>-0.18604503029212494</v>
      </c>
      <c r="J1069" s="1680">
        <f>SUM(J1044:J1068)</f>
        <v>0</v>
      </c>
      <c r="K1069" s="1680">
        <f>SUM(K1044:K1068)</f>
        <v>0.22463677394199713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Temp</v>
      </c>
      <c r="F1071" s="1661" t="str">
        <f>E1036</f>
        <v>Temp</v>
      </c>
      <c r="G1071" s="1372"/>
      <c r="H1071" s="1662" t="str">
        <f>H1036</f>
        <v>Ftime</v>
      </c>
      <c r="I1071" s="1662" t="str">
        <f>H1036</f>
        <v>Ftime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55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3780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str">
        <f t="shared" ref="M1072:M1095" si="56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55"/>
        <v>Construction cash income -- see Data2</v>
      </c>
      <c r="B1073" s="1652">
        <v>2</v>
      </c>
      <c r="C1073" s="1509">
        <f t="shared" ref="C1073:C1099" si="57">IF($A1073="","",LOOKUP($B1073,$T$904:$T$983,C$904:C$983))</f>
        <v>3850</v>
      </c>
      <c r="D1073" s="1509">
        <f t="shared" ref="D1073:D1094" si="58">IF($A1073="","",LOOKUP($B1073,$T$904:$T$983,M$904:M$983))</f>
        <v>0</v>
      </c>
      <c r="E1073" s="1509">
        <f t="shared" ref="E1073:E1094" si="59">IF($A1073="","",LOOKUP($B1073,$T$904:$T$983,D$904:D$983))</f>
        <v>0</v>
      </c>
      <c r="F1073" s="1509">
        <f t="shared" ref="F1073:F1094" si="60">IF($A1073="","",LOOKUP($B1073,$T$904:$T$983,N$904:N$983))</f>
        <v>0</v>
      </c>
      <c r="G1073" s="1372"/>
      <c r="H1073" s="1681">
        <f t="shared" ref="H1073:H1094" si="61">IF($A1073="","",LOOKUP($B1073,$T$904:$T$983,E$904:E$983))</f>
        <v>0</v>
      </c>
      <c r="I1073" s="1681">
        <f t="shared" ref="I1073:I1094" si="62">IF($A1073="","",LOOKUP($B1073,$T$904:$T$983,O$904:O$983))</f>
        <v>0</v>
      </c>
      <c r="J1073" s="1681">
        <f t="shared" ref="J1073:J1094" si="63">IF($A1073="","",LOOKUP($B1073,$T$904:$T$983,F$904:F$983))</f>
        <v>0</v>
      </c>
      <c r="K1073" s="1681">
        <f t="shared" ref="K1073:K1094" si="64">IF($A1073="","",LOOKUP($B1073,$T$904:$T$983,P$904:P$983))</f>
        <v>0</v>
      </c>
      <c r="L1073" s="1372"/>
      <c r="M1073" s="1497" t="str">
        <f t="shared" si="56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55"/>
        <v>Domestic work cash income -- see Data2</v>
      </c>
      <c r="B1074" s="1652">
        <v>3</v>
      </c>
      <c r="C1074" s="1509">
        <f t="shared" si="57"/>
        <v>3000</v>
      </c>
      <c r="D1074" s="1509">
        <f t="shared" si="58"/>
        <v>0</v>
      </c>
      <c r="E1074" s="1509">
        <f t="shared" si="59"/>
        <v>3000</v>
      </c>
      <c r="F1074" s="1509">
        <f t="shared" si="60"/>
        <v>0</v>
      </c>
      <c r="G1074" s="1372"/>
      <c r="H1074" s="1681">
        <f t="shared" si="61"/>
        <v>0</v>
      </c>
      <c r="I1074" s="1681">
        <f t="shared" si="62"/>
        <v>0</v>
      </c>
      <c r="J1074" s="1681">
        <f t="shared" si="63"/>
        <v>0</v>
      </c>
      <c r="K1074" s="1681">
        <f t="shared" si="64"/>
        <v>0</v>
      </c>
      <c r="L1074" s="1372"/>
      <c r="M1074" s="1497" t="str">
        <f t="shared" si="56"/>
        <v/>
      </c>
      <c r="N1074" s="1372"/>
      <c r="O1074" s="1372"/>
      <c r="P1074" s="1372"/>
      <c r="Q1074" s="1659"/>
      <c r="R1074" s="1372" t="str">
        <f t="shared" ref="R1074:R1099" si="65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55"/>
        <v>Formal Employment</v>
      </c>
      <c r="B1075" s="1652">
        <v>4</v>
      </c>
      <c r="C1075" s="1509">
        <f t="shared" si="57"/>
        <v>4200</v>
      </c>
      <c r="D1075" s="1509">
        <f t="shared" si="58"/>
        <v>0</v>
      </c>
      <c r="E1075" s="1509">
        <f t="shared" si="59"/>
        <v>6000</v>
      </c>
      <c r="F1075" s="1509">
        <f t="shared" si="60"/>
        <v>0</v>
      </c>
      <c r="G1075" s="1372"/>
      <c r="H1075" s="1681">
        <f t="shared" si="61"/>
        <v>30000</v>
      </c>
      <c r="I1075" s="1681">
        <f t="shared" si="62"/>
        <v>0</v>
      </c>
      <c r="J1075" s="1681">
        <f t="shared" si="63"/>
        <v>0</v>
      </c>
      <c r="K1075" s="1681">
        <f t="shared" si="64"/>
        <v>0</v>
      </c>
      <c r="L1075" s="1372"/>
      <c r="M1075" s="1497" t="str">
        <f t="shared" si="56"/>
        <v/>
      </c>
      <c r="N1075" s="1372"/>
      <c r="O1075" s="1372"/>
      <c r="P1075" s="1372"/>
      <c r="Q1075" s="1659"/>
      <c r="R1075" s="1372" t="str">
        <f t="shared" si="65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55"/>
        <v>Self-employment -- see Data2</v>
      </c>
      <c r="B1076" s="1652">
        <v>5</v>
      </c>
      <c r="C1076" s="1509">
        <f t="shared" si="57"/>
        <v>4500</v>
      </c>
      <c r="D1076" s="1509">
        <f t="shared" si="58"/>
        <v>900</v>
      </c>
      <c r="E1076" s="1509">
        <f t="shared" si="59"/>
        <v>0</v>
      </c>
      <c r="F1076" s="1509">
        <f t="shared" si="60"/>
        <v>0</v>
      </c>
      <c r="G1076" s="1372"/>
      <c r="H1076" s="1681">
        <f t="shared" si="61"/>
        <v>0</v>
      </c>
      <c r="I1076" s="1681">
        <f t="shared" si="62"/>
        <v>0</v>
      </c>
      <c r="J1076" s="1681">
        <f t="shared" si="63"/>
        <v>0</v>
      </c>
      <c r="K1076" s="1681">
        <f t="shared" si="64"/>
        <v>0</v>
      </c>
      <c r="L1076" s="1372"/>
      <c r="M1076" s="1497" t="str">
        <f t="shared" si="56"/>
        <v/>
      </c>
      <c r="N1076" s="1372"/>
      <c r="O1076" s="1372"/>
      <c r="P1076" s="1372"/>
      <c r="Q1076" s="1659"/>
      <c r="R1076" s="1372" t="str">
        <f t="shared" si="65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55"/>
        <v>Small business -- see Data2</v>
      </c>
      <c r="B1077" s="1652">
        <v>6</v>
      </c>
      <c r="C1077" s="1509">
        <f t="shared" si="57"/>
        <v>0</v>
      </c>
      <c r="D1077" s="1509">
        <f t="shared" si="58"/>
        <v>0</v>
      </c>
      <c r="E1077" s="1509">
        <f t="shared" si="59"/>
        <v>4800</v>
      </c>
      <c r="F1077" s="1509">
        <f t="shared" si="60"/>
        <v>0</v>
      </c>
      <c r="G1077" s="1372"/>
      <c r="H1077" s="1681">
        <f t="shared" si="61"/>
        <v>27600</v>
      </c>
      <c r="I1077" s="1681">
        <f t="shared" si="62"/>
        <v>0</v>
      </c>
      <c r="J1077" s="1681">
        <f t="shared" si="63"/>
        <v>0</v>
      </c>
      <c r="K1077" s="1681">
        <f t="shared" si="64"/>
        <v>0</v>
      </c>
      <c r="L1077" s="1372"/>
      <c r="M1077" s="1497" t="str">
        <f t="shared" si="56"/>
        <v/>
      </c>
      <c r="N1077" s="1372"/>
      <c r="O1077" s="1372"/>
      <c r="P1077" s="1372"/>
      <c r="Q1077" s="1659"/>
      <c r="R1077" s="1372" t="str">
        <f t="shared" si="65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55"/>
        <v>Social development -- see Data2</v>
      </c>
      <c r="B1078" s="1652">
        <v>7</v>
      </c>
      <c r="C1078" s="1509">
        <f t="shared" si="57"/>
        <v>5400</v>
      </c>
      <c r="D1078" s="1509">
        <f t="shared" si="58"/>
        <v>0</v>
      </c>
      <c r="E1078" s="1509">
        <f t="shared" si="59"/>
        <v>5400</v>
      </c>
      <c r="F1078" s="1509">
        <f t="shared" si="60"/>
        <v>0</v>
      </c>
      <c r="G1078" s="1372"/>
      <c r="H1078" s="1681">
        <f t="shared" si="61"/>
        <v>0</v>
      </c>
      <c r="I1078" s="1681">
        <f t="shared" si="62"/>
        <v>0</v>
      </c>
      <c r="J1078" s="1681">
        <f t="shared" si="63"/>
        <v>0</v>
      </c>
      <c r="K1078" s="1681">
        <f t="shared" si="64"/>
        <v>0</v>
      </c>
      <c r="L1078" s="1372"/>
      <c r="M1078" s="1497" t="str">
        <f t="shared" si="56"/>
        <v/>
      </c>
      <c r="N1078" s="1372"/>
      <c r="O1078" s="1372"/>
      <c r="P1078" s="1372"/>
      <c r="Q1078" s="1659"/>
      <c r="R1078" s="1372" t="str">
        <f t="shared" si="65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55"/>
        <v>Public works -- see Data2</v>
      </c>
      <c r="B1079" s="1652">
        <v>8</v>
      </c>
      <c r="C1079" s="1509">
        <f t="shared" si="57"/>
        <v>1286</v>
      </c>
      <c r="D1079" s="1509">
        <f t="shared" si="58"/>
        <v>0</v>
      </c>
      <c r="E1079" s="1509">
        <f t="shared" si="59"/>
        <v>1286</v>
      </c>
      <c r="F1079" s="1509">
        <f t="shared" si="60"/>
        <v>0</v>
      </c>
      <c r="G1079" s="1372"/>
      <c r="H1079" s="1681">
        <f t="shared" si="61"/>
        <v>0</v>
      </c>
      <c r="I1079" s="1681">
        <f t="shared" si="62"/>
        <v>0</v>
      </c>
      <c r="J1079" s="1681">
        <f t="shared" si="63"/>
        <v>0</v>
      </c>
      <c r="K1079" s="1681">
        <f t="shared" si="64"/>
        <v>0</v>
      </c>
      <c r="L1079" s="1372"/>
      <c r="M1079" s="1497" t="str">
        <f t="shared" si="56"/>
        <v/>
      </c>
      <c r="N1079" s="1372"/>
      <c r="O1079" s="1372"/>
      <c r="P1079" s="1372"/>
      <c r="Q1079" s="1659"/>
      <c r="R1079" s="1372" t="str">
        <f t="shared" si="65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55"/>
        <v/>
      </c>
      <c r="B1080" s="1652">
        <v>9</v>
      </c>
      <c r="C1080" s="1509" t="str">
        <f t="shared" si="57"/>
        <v/>
      </c>
      <c r="D1080" s="1509" t="str">
        <f t="shared" si="58"/>
        <v/>
      </c>
      <c r="E1080" s="1509" t="str">
        <f t="shared" si="59"/>
        <v/>
      </c>
      <c r="F1080" s="1509" t="str">
        <f t="shared" si="60"/>
        <v/>
      </c>
      <c r="G1080" s="1372"/>
      <c r="H1080" s="1681" t="str">
        <f t="shared" si="61"/>
        <v/>
      </c>
      <c r="I1080" s="1681" t="str">
        <f t="shared" si="62"/>
        <v/>
      </c>
      <c r="J1080" s="1681" t="str">
        <f t="shared" si="63"/>
        <v/>
      </c>
      <c r="K1080" s="1681" t="str">
        <f t="shared" si="64"/>
        <v/>
      </c>
      <c r="L1080" s="1372"/>
      <c r="M1080" s="1497" t="str">
        <f t="shared" si="56"/>
        <v/>
      </c>
      <c r="N1080" s="1372"/>
      <c r="O1080" s="1372"/>
      <c r="P1080" s="1372"/>
      <c r="Q1080" s="1659"/>
      <c r="R1080" s="1372" t="str">
        <f t="shared" si="65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55"/>
        <v/>
      </c>
      <c r="B1081" s="1652">
        <v>10</v>
      </c>
      <c r="C1081" s="1509" t="str">
        <f t="shared" si="57"/>
        <v/>
      </c>
      <c r="D1081" s="1509" t="str">
        <f t="shared" si="58"/>
        <v/>
      </c>
      <c r="E1081" s="1509" t="str">
        <f t="shared" si="59"/>
        <v/>
      </c>
      <c r="F1081" s="1509" t="str">
        <f t="shared" si="60"/>
        <v/>
      </c>
      <c r="G1081" s="1372"/>
      <c r="H1081" s="1681" t="str">
        <f t="shared" si="61"/>
        <v/>
      </c>
      <c r="I1081" s="1681" t="str">
        <f t="shared" si="62"/>
        <v/>
      </c>
      <c r="J1081" s="1681" t="str">
        <f t="shared" si="63"/>
        <v/>
      </c>
      <c r="K1081" s="1681" t="str">
        <f t="shared" si="64"/>
        <v/>
      </c>
      <c r="L1081" s="1372"/>
      <c r="M1081" s="1497" t="str">
        <f t="shared" si="56"/>
        <v/>
      </c>
      <c r="N1081" s="1372"/>
      <c r="O1081" s="1372"/>
      <c r="P1081" s="1372"/>
      <c r="Q1081" s="1659"/>
      <c r="R1081" s="1372" t="str">
        <f t="shared" si="65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55"/>
        <v/>
      </c>
      <c r="B1082" s="1652">
        <v>11</v>
      </c>
      <c r="C1082" s="1509" t="str">
        <f t="shared" si="57"/>
        <v/>
      </c>
      <c r="D1082" s="1509" t="str">
        <f t="shared" si="58"/>
        <v/>
      </c>
      <c r="E1082" s="1509" t="str">
        <f t="shared" si="59"/>
        <v/>
      </c>
      <c r="F1082" s="1509" t="str">
        <f t="shared" si="60"/>
        <v/>
      </c>
      <c r="G1082" s="1372"/>
      <c r="H1082" s="1681" t="str">
        <f t="shared" si="61"/>
        <v/>
      </c>
      <c r="I1082" s="1681" t="str">
        <f t="shared" si="62"/>
        <v/>
      </c>
      <c r="J1082" s="1681" t="str">
        <f t="shared" si="63"/>
        <v/>
      </c>
      <c r="K1082" s="1681" t="str">
        <f t="shared" si="64"/>
        <v/>
      </c>
      <c r="L1082" s="1372"/>
      <c r="M1082" s="1497" t="str">
        <f t="shared" si="56"/>
        <v/>
      </c>
      <c r="N1082" s="1372"/>
      <c r="O1082" s="1372"/>
      <c r="P1082" s="1372"/>
      <c r="Q1082" s="1659"/>
      <c r="R1082" s="1372" t="str">
        <f t="shared" si="65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55"/>
        <v/>
      </c>
      <c r="B1083" s="1652">
        <v>12</v>
      </c>
      <c r="C1083" s="1509" t="str">
        <f t="shared" si="57"/>
        <v/>
      </c>
      <c r="D1083" s="1509" t="str">
        <f t="shared" si="58"/>
        <v/>
      </c>
      <c r="E1083" s="1509" t="str">
        <f t="shared" si="59"/>
        <v/>
      </c>
      <c r="F1083" s="1509" t="str">
        <f t="shared" si="60"/>
        <v/>
      </c>
      <c r="G1083" s="1372"/>
      <c r="H1083" s="1681" t="str">
        <f t="shared" si="61"/>
        <v/>
      </c>
      <c r="I1083" s="1681" t="str">
        <f t="shared" si="62"/>
        <v/>
      </c>
      <c r="J1083" s="1681" t="str">
        <f t="shared" si="63"/>
        <v/>
      </c>
      <c r="K1083" s="1681" t="str">
        <f t="shared" si="64"/>
        <v/>
      </c>
      <c r="L1083" s="1372"/>
      <c r="M1083" s="1497" t="str">
        <f t="shared" si="56"/>
        <v/>
      </c>
      <c r="N1083" s="1372"/>
      <c r="O1083" s="1372"/>
      <c r="P1083" s="1372"/>
      <c r="Q1083" s="1659"/>
      <c r="R1083" s="1372" t="str">
        <f t="shared" si="65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55"/>
        <v/>
      </c>
      <c r="B1084" s="1652">
        <v>13</v>
      </c>
      <c r="C1084" s="1509" t="str">
        <f t="shared" si="57"/>
        <v/>
      </c>
      <c r="D1084" s="1509" t="str">
        <f t="shared" si="58"/>
        <v/>
      </c>
      <c r="E1084" s="1509" t="str">
        <f t="shared" si="59"/>
        <v/>
      </c>
      <c r="F1084" s="1509" t="str">
        <f t="shared" si="60"/>
        <v/>
      </c>
      <c r="G1084" s="1372"/>
      <c r="H1084" s="1681" t="str">
        <f t="shared" si="61"/>
        <v/>
      </c>
      <c r="I1084" s="1681" t="str">
        <f t="shared" si="62"/>
        <v/>
      </c>
      <c r="J1084" s="1681" t="str">
        <f t="shared" si="63"/>
        <v/>
      </c>
      <c r="K1084" s="1681" t="str">
        <f t="shared" si="64"/>
        <v/>
      </c>
      <c r="L1084" s="1372"/>
      <c r="M1084" s="1497" t="str">
        <f t="shared" si="56"/>
        <v/>
      </c>
      <c r="N1084" s="1372"/>
      <c r="O1084" s="1372"/>
      <c r="P1084" s="1372"/>
      <c r="Q1084" s="1659"/>
      <c r="R1084" s="1372" t="str">
        <f t="shared" si="65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55"/>
        <v/>
      </c>
      <c r="B1085" s="1652">
        <v>14</v>
      </c>
      <c r="C1085" s="1509" t="str">
        <f t="shared" si="57"/>
        <v/>
      </c>
      <c r="D1085" s="1509" t="str">
        <f t="shared" si="58"/>
        <v/>
      </c>
      <c r="E1085" s="1509" t="str">
        <f t="shared" si="59"/>
        <v/>
      </c>
      <c r="F1085" s="1509" t="str">
        <f t="shared" si="60"/>
        <v/>
      </c>
      <c r="G1085" s="1372"/>
      <c r="H1085" s="1681" t="str">
        <f t="shared" si="61"/>
        <v/>
      </c>
      <c r="I1085" s="1681" t="str">
        <f t="shared" si="62"/>
        <v/>
      </c>
      <c r="J1085" s="1681" t="str">
        <f t="shared" si="63"/>
        <v/>
      </c>
      <c r="K1085" s="1681" t="str">
        <f t="shared" si="64"/>
        <v/>
      </c>
      <c r="L1085" s="1372"/>
      <c r="M1085" s="1497" t="str">
        <f t="shared" si="56"/>
        <v/>
      </c>
      <c r="N1085" s="1372"/>
      <c r="O1085" s="1372"/>
      <c r="P1085" s="1372"/>
      <c r="Q1085" s="1659"/>
      <c r="R1085" s="1372" t="str">
        <f t="shared" si="65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55"/>
        <v/>
      </c>
      <c r="B1086" s="1652">
        <v>15</v>
      </c>
      <c r="C1086" s="1509" t="str">
        <f t="shared" si="57"/>
        <v/>
      </c>
      <c r="D1086" s="1509" t="str">
        <f t="shared" si="58"/>
        <v/>
      </c>
      <c r="E1086" s="1509" t="str">
        <f t="shared" si="59"/>
        <v/>
      </c>
      <c r="F1086" s="1509" t="str">
        <f t="shared" si="60"/>
        <v/>
      </c>
      <c r="G1086" s="1372"/>
      <c r="H1086" s="1681" t="str">
        <f t="shared" si="61"/>
        <v/>
      </c>
      <c r="I1086" s="1681" t="str">
        <f t="shared" si="62"/>
        <v/>
      </c>
      <c r="J1086" s="1681" t="str">
        <f t="shared" si="63"/>
        <v/>
      </c>
      <c r="K1086" s="1681" t="str">
        <f t="shared" si="64"/>
        <v/>
      </c>
      <c r="L1086" s="1372"/>
      <c r="M1086" s="1497" t="str">
        <f t="shared" si="56"/>
        <v/>
      </c>
      <c r="N1086" s="1372"/>
      <c r="O1086" s="1372"/>
      <c r="P1086" s="1372"/>
      <c r="Q1086" s="1659"/>
      <c r="R1086" s="1372" t="str">
        <f t="shared" si="65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55"/>
        <v/>
      </c>
      <c r="B1087" s="1652">
        <v>16</v>
      </c>
      <c r="C1087" s="1509" t="str">
        <f t="shared" si="57"/>
        <v/>
      </c>
      <c r="D1087" s="1509" t="str">
        <f t="shared" si="58"/>
        <v/>
      </c>
      <c r="E1087" s="1509" t="str">
        <f t="shared" si="59"/>
        <v/>
      </c>
      <c r="F1087" s="1509" t="str">
        <f t="shared" si="60"/>
        <v/>
      </c>
      <c r="G1087" s="1372"/>
      <c r="H1087" s="1681" t="str">
        <f t="shared" si="61"/>
        <v/>
      </c>
      <c r="I1087" s="1681" t="str">
        <f t="shared" si="62"/>
        <v/>
      </c>
      <c r="J1087" s="1681" t="str">
        <f t="shared" si="63"/>
        <v/>
      </c>
      <c r="K1087" s="1681" t="str">
        <f t="shared" si="64"/>
        <v/>
      </c>
      <c r="L1087" s="1372"/>
      <c r="M1087" s="1497" t="str">
        <f t="shared" si="56"/>
        <v/>
      </c>
      <c r="N1087" s="1372"/>
      <c r="O1087" s="1372"/>
      <c r="P1087" s="1372"/>
      <c r="Q1087" s="1659"/>
      <c r="R1087" s="1372" t="str">
        <f t="shared" si="65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55"/>
        <v/>
      </c>
      <c r="B1088" s="1652">
        <v>17</v>
      </c>
      <c r="C1088" s="1509" t="str">
        <f t="shared" si="57"/>
        <v/>
      </c>
      <c r="D1088" s="1509" t="str">
        <f t="shared" si="58"/>
        <v/>
      </c>
      <c r="E1088" s="1509" t="str">
        <f t="shared" si="59"/>
        <v/>
      </c>
      <c r="F1088" s="1509" t="str">
        <f t="shared" si="60"/>
        <v/>
      </c>
      <c r="G1088" s="1372"/>
      <c r="H1088" s="1681" t="str">
        <f t="shared" si="61"/>
        <v/>
      </c>
      <c r="I1088" s="1681" t="str">
        <f t="shared" si="62"/>
        <v/>
      </c>
      <c r="J1088" s="1681" t="str">
        <f t="shared" si="63"/>
        <v/>
      </c>
      <c r="K1088" s="1681" t="str">
        <f t="shared" si="64"/>
        <v/>
      </c>
      <c r="L1088" s="1372"/>
      <c r="M1088" s="1497" t="str">
        <f t="shared" si="56"/>
        <v/>
      </c>
      <c r="N1088" s="1372"/>
      <c r="O1088" s="1372"/>
      <c r="P1088" s="1372"/>
      <c r="Q1088" s="1659"/>
      <c r="R1088" s="1372" t="str">
        <f t="shared" si="65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55"/>
        <v/>
      </c>
      <c r="B1089" s="1652">
        <v>18</v>
      </c>
      <c r="C1089" s="1509" t="str">
        <f t="shared" si="57"/>
        <v/>
      </c>
      <c r="D1089" s="1509" t="str">
        <f t="shared" si="58"/>
        <v/>
      </c>
      <c r="E1089" s="1509" t="str">
        <f t="shared" si="59"/>
        <v/>
      </c>
      <c r="F1089" s="1509" t="str">
        <f t="shared" si="60"/>
        <v/>
      </c>
      <c r="G1089" s="1372"/>
      <c r="H1089" s="1681" t="str">
        <f t="shared" si="61"/>
        <v/>
      </c>
      <c r="I1089" s="1681" t="str">
        <f t="shared" si="62"/>
        <v/>
      </c>
      <c r="J1089" s="1681" t="str">
        <f t="shared" si="63"/>
        <v/>
      </c>
      <c r="K1089" s="1681" t="str">
        <f t="shared" si="64"/>
        <v/>
      </c>
      <c r="L1089" s="1372"/>
      <c r="M1089" s="1497" t="str">
        <f t="shared" si="56"/>
        <v/>
      </c>
      <c r="N1089" s="1372"/>
      <c r="O1089" s="1372"/>
      <c r="P1089" s="1372"/>
      <c r="Q1089" s="1659"/>
      <c r="R1089" s="1372" t="str">
        <f t="shared" si="65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55"/>
        <v/>
      </c>
      <c r="B1090" s="1652">
        <v>19</v>
      </c>
      <c r="C1090" s="1509" t="str">
        <f t="shared" si="57"/>
        <v/>
      </c>
      <c r="D1090" s="1509" t="str">
        <f t="shared" si="58"/>
        <v/>
      </c>
      <c r="E1090" s="1509" t="str">
        <f t="shared" si="59"/>
        <v/>
      </c>
      <c r="F1090" s="1509" t="str">
        <f t="shared" si="60"/>
        <v/>
      </c>
      <c r="G1090" s="1372"/>
      <c r="H1090" s="1681" t="str">
        <f t="shared" si="61"/>
        <v/>
      </c>
      <c r="I1090" s="1681" t="str">
        <f t="shared" si="62"/>
        <v/>
      </c>
      <c r="J1090" s="1681" t="str">
        <f t="shared" si="63"/>
        <v/>
      </c>
      <c r="K1090" s="1681" t="str">
        <f t="shared" si="64"/>
        <v/>
      </c>
      <c r="L1090" s="1372"/>
      <c r="M1090" s="1497" t="str">
        <f t="shared" si="56"/>
        <v/>
      </c>
      <c r="N1090" s="1372"/>
      <c r="O1090" s="1372"/>
      <c r="P1090" s="1372"/>
      <c r="Q1090" s="1659"/>
      <c r="R1090" s="1372" t="str">
        <f t="shared" si="65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55"/>
        <v/>
      </c>
      <c r="B1091" s="1652">
        <v>20</v>
      </c>
      <c r="C1091" s="1509" t="str">
        <f t="shared" si="57"/>
        <v/>
      </c>
      <c r="D1091" s="1509" t="str">
        <f t="shared" si="58"/>
        <v/>
      </c>
      <c r="E1091" s="1509" t="str">
        <f t="shared" si="59"/>
        <v/>
      </c>
      <c r="F1091" s="1509" t="str">
        <f t="shared" si="60"/>
        <v/>
      </c>
      <c r="G1091" s="1372"/>
      <c r="H1091" s="1681" t="str">
        <f t="shared" si="61"/>
        <v/>
      </c>
      <c r="I1091" s="1681" t="str">
        <f t="shared" si="62"/>
        <v/>
      </c>
      <c r="J1091" s="1681" t="str">
        <f t="shared" si="63"/>
        <v/>
      </c>
      <c r="K1091" s="1681" t="str">
        <f t="shared" si="64"/>
        <v/>
      </c>
      <c r="L1091" s="1372"/>
      <c r="M1091" s="1497" t="str">
        <f t="shared" si="56"/>
        <v/>
      </c>
      <c r="N1091" s="1372"/>
      <c r="O1091" s="1372"/>
      <c r="P1091" s="1372"/>
      <c r="Q1091" s="1659"/>
      <c r="R1091" s="1372" t="str">
        <f t="shared" si="65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55"/>
        <v/>
      </c>
      <c r="B1092" s="1652">
        <v>21</v>
      </c>
      <c r="C1092" s="1509" t="str">
        <f t="shared" si="57"/>
        <v/>
      </c>
      <c r="D1092" s="1509" t="str">
        <f t="shared" si="58"/>
        <v/>
      </c>
      <c r="E1092" s="1509" t="str">
        <f t="shared" si="59"/>
        <v/>
      </c>
      <c r="F1092" s="1509" t="str">
        <f t="shared" si="60"/>
        <v/>
      </c>
      <c r="G1092" s="1372"/>
      <c r="H1092" s="1681" t="str">
        <f t="shared" si="61"/>
        <v/>
      </c>
      <c r="I1092" s="1681" t="str">
        <f t="shared" si="62"/>
        <v/>
      </c>
      <c r="J1092" s="1681" t="str">
        <f t="shared" si="63"/>
        <v/>
      </c>
      <c r="K1092" s="1681" t="str">
        <f t="shared" si="64"/>
        <v/>
      </c>
      <c r="L1092" s="1372"/>
      <c r="M1092" s="1497" t="str">
        <f t="shared" si="56"/>
        <v/>
      </c>
      <c r="N1092" s="1372"/>
      <c r="O1092" s="1372"/>
      <c r="P1092" s="1372"/>
      <c r="Q1092" s="1659"/>
      <c r="R1092" s="1372" t="str">
        <f t="shared" si="65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55"/>
        <v/>
      </c>
      <c r="B1093" s="1652">
        <v>22</v>
      </c>
      <c r="C1093" s="1509" t="str">
        <f t="shared" si="57"/>
        <v/>
      </c>
      <c r="D1093" s="1509" t="str">
        <f t="shared" si="58"/>
        <v/>
      </c>
      <c r="E1093" s="1509" t="str">
        <f t="shared" si="59"/>
        <v/>
      </c>
      <c r="F1093" s="1509" t="str">
        <f t="shared" si="60"/>
        <v/>
      </c>
      <c r="G1093" s="1372"/>
      <c r="H1093" s="1681" t="str">
        <f t="shared" si="61"/>
        <v/>
      </c>
      <c r="I1093" s="1681" t="str">
        <f t="shared" si="62"/>
        <v/>
      </c>
      <c r="J1093" s="1681" t="str">
        <f t="shared" si="63"/>
        <v/>
      </c>
      <c r="K1093" s="1681" t="str">
        <f t="shared" si="64"/>
        <v/>
      </c>
      <c r="L1093" s="1372"/>
      <c r="M1093" s="1497" t="str">
        <f t="shared" si="56"/>
        <v/>
      </c>
      <c r="N1093" s="1372"/>
      <c r="O1093" s="1372"/>
      <c r="P1093" s="1372"/>
      <c r="Q1093" s="1659"/>
      <c r="R1093" s="1372" t="str">
        <f t="shared" si="65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55"/>
        <v/>
      </c>
      <c r="B1094" s="1652">
        <v>23</v>
      </c>
      <c r="C1094" s="1509" t="str">
        <f t="shared" si="57"/>
        <v/>
      </c>
      <c r="D1094" s="1509" t="str">
        <f t="shared" si="58"/>
        <v/>
      </c>
      <c r="E1094" s="1509" t="str">
        <f t="shared" si="59"/>
        <v/>
      </c>
      <c r="F1094" s="1509" t="str">
        <f t="shared" si="60"/>
        <v/>
      </c>
      <c r="G1094" s="1372"/>
      <c r="H1094" s="1681" t="str">
        <f t="shared" si="61"/>
        <v/>
      </c>
      <c r="I1094" s="1681" t="str">
        <f t="shared" si="62"/>
        <v/>
      </c>
      <c r="J1094" s="1681" t="str">
        <f t="shared" si="63"/>
        <v/>
      </c>
      <c r="K1094" s="1681" t="str">
        <f t="shared" si="64"/>
        <v/>
      </c>
      <c r="L1094" s="1372"/>
      <c r="M1094" s="1497" t="str">
        <f t="shared" si="56"/>
        <v/>
      </c>
      <c r="N1094" s="1372"/>
      <c r="O1094" s="1372"/>
      <c r="P1094" s="1372"/>
      <c r="Q1094" s="1659"/>
      <c r="R1094" s="1372" t="str">
        <f t="shared" si="65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>IF(OR(A1094="",LOOKUP(B1095,$T$904:$T$983,A$904:A$983)=A1094),"",LOOKUP(B1095,$T$904:$T$983,A$904:A$983))</f>
        <v/>
      </c>
      <c r="B1095" s="1652">
        <v>24</v>
      </c>
      <c r="C1095" s="1509" t="str">
        <f t="shared" si="57"/>
        <v/>
      </c>
      <c r="D1095" s="1509" t="str">
        <f>IF($A1095="","",LOOKUP($B1095,$T$904:$T$983,M$904:M$983))</f>
        <v/>
      </c>
      <c r="E1095" s="1509" t="str">
        <f>IF($A1095="","",LOOKUP($B1095,$T$904:$T$983,D$904:D$983))</f>
        <v/>
      </c>
      <c r="F1095" s="1509" t="str">
        <f>IF($A1095="","",LOOKUP($B1095,$T$904:$T$983,N$904:N$983))</f>
        <v/>
      </c>
      <c r="G1095" s="1372"/>
      <c r="H1095" s="1681" t="str">
        <f>IF($A1095="","",LOOKUP($B1095,$T$904:$T$983,E$904:E$983))</f>
        <v/>
      </c>
      <c r="I1095" s="1681" t="str">
        <f>IF($A1095="","",LOOKUP($B1095,$T$904:$T$983,O$904:O$983))</f>
        <v/>
      </c>
      <c r="J1095" s="1681" t="str">
        <f>IF($A1095="","",LOOKUP($B1095,$T$904:$T$983,F$904:F$983))</f>
        <v/>
      </c>
      <c r="K1095" s="1681" t="str">
        <f>IF($A1095="","",LOOKUP($B1095,$T$904:$T$983,P$904:P$983))</f>
        <v/>
      </c>
      <c r="L1095" s="1372"/>
      <c r="M1095" s="1497" t="str">
        <f t="shared" si="56"/>
        <v/>
      </c>
      <c r="N1095" s="1372"/>
      <c r="O1095" s="1372"/>
      <c r="P1095" s="1372"/>
      <c r="Q1095" s="1659"/>
      <c r="R1095" s="1372" t="str">
        <f t="shared" si="65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>IF(OR(A1095="",LOOKUP(B1096,$T$904:$T$983,A$904:A$983)=A1095),"",LOOKUP(B1096,$T$904:$T$983,A$904:A$983))</f>
        <v/>
      </c>
      <c r="B1096" s="1652">
        <v>25</v>
      </c>
      <c r="C1096" s="1509" t="str">
        <f t="shared" si="57"/>
        <v/>
      </c>
      <c r="D1096" s="1509" t="str">
        <f>IF($A1096="","",LOOKUP($B1096,$T$904:$T$983,M$904:M$983))</f>
        <v/>
      </c>
      <c r="E1096" s="1509" t="str">
        <f>IF($A1096="","",LOOKUP($B1096,$T$904:$T$983,D$904:D$983))</f>
        <v/>
      </c>
      <c r="F1096" s="1509" t="str">
        <f>IF($A1096="","",LOOKUP($B1096,$T$904:$T$983,N$904:N$983))</f>
        <v/>
      </c>
      <c r="G1096" s="1372"/>
      <c r="H1096" s="1681" t="str">
        <f>IF($A1096="","",LOOKUP($B1096,$T$904:$T$983,E$904:E$983))</f>
        <v/>
      </c>
      <c r="I1096" s="1681" t="str">
        <f>IF($A1096="","",LOOKUP($B1096,$T$904:$T$983,O$904:O$983))</f>
        <v/>
      </c>
      <c r="J1096" s="1681" t="str">
        <f>IF($A1096="","",LOOKUP($B1096,$T$904:$T$983,F$904:F$983))</f>
        <v/>
      </c>
      <c r="K1096" s="1681" t="str">
        <f>IF($A1096="","",LOOKUP($B1096,$T$904:$T$983,P$904:P$983))</f>
        <v/>
      </c>
      <c r="L1096" s="1372"/>
      <c r="M1096" s="1497" t="str">
        <f>IF(LOOKUP(R1096,R$1044:R$1065,R$1044:R$1065)=R1096,R1096,"")</f>
        <v/>
      </c>
      <c r="N1096" s="1372"/>
      <c r="O1096" s="1372"/>
      <c r="P1096" s="1372"/>
      <c r="Q1096" s="1659"/>
      <c r="R1096" s="1372" t="str">
        <f t="shared" si="65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>IF(OR(A1096="",LOOKUP(B1097,$T$904:$T$983,A$904:A$983)=A1096),"",LOOKUP(B1097,$T$904:$T$983,A$904:A$983))</f>
        <v/>
      </c>
      <c r="B1097" s="1652">
        <v>26</v>
      </c>
      <c r="C1097" s="1509" t="str">
        <f t="shared" si="57"/>
        <v/>
      </c>
      <c r="D1097" s="1509" t="str">
        <f>IF($A1097="","",LOOKUP($B1097,$T$904:$T$983,M$904:M$983))</f>
        <v/>
      </c>
      <c r="E1097" s="1509" t="str">
        <f>IF($A1097="","",LOOKUP($B1097,$T$904:$T$983,D$904:D$983))</f>
        <v/>
      </c>
      <c r="F1097" s="1509" t="str">
        <f>IF($A1097="","",LOOKUP($B1097,$T$904:$T$983,N$904:N$983))</f>
        <v/>
      </c>
      <c r="G1097" s="1372"/>
      <c r="H1097" s="1681" t="str">
        <f>IF($A1097="","",LOOKUP($B1097,$T$904:$T$983,E$904:E$983))</f>
        <v/>
      </c>
      <c r="I1097" s="1681" t="str">
        <f>IF($A1097="","",LOOKUP($B1097,$T$904:$T$983,O$904:O$983))</f>
        <v/>
      </c>
      <c r="J1097" s="1681" t="str">
        <f>IF($A1097="","",LOOKUP($B1097,$T$904:$T$983,F$904:F$983))</f>
        <v/>
      </c>
      <c r="K1097" s="1681" t="str">
        <f>IF($A1097="","",LOOKUP($B1097,$T$904:$T$983,P$904:P$983))</f>
        <v/>
      </c>
      <c r="L1097" s="1372"/>
      <c r="M1097" s="1497" t="str">
        <f>IF(LOOKUP(R1097,R$1044:R$1065,R$1044:R$1065)=R1097,R1097,"")</f>
        <v/>
      </c>
      <c r="N1097" s="1372"/>
      <c r="O1097" s="1372"/>
      <c r="P1097" s="1372"/>
      <c r="Q1097" s="1659"/>
      <c r="R1097" s="1372" t="str">
        <f t="shared" si="65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>IF(OR(A1097="",LOOKUP(B1098,$T$904:$T$983,A$904:A$983)=A1097),"",LOOKUP(B1098,$T$904:$T$983,A$904:A$983))</f>
        <v/>
      </c>
      <c r="B1098" s="1652">
        <v>27</v>
      </c>
      <c r="C1098" s="1509" t="str">
        <f t="shared" si="57"/>
        <v/>
      </c>
      <c r="D1098" s="1509" t="str">
        <f>IF($A1098="","",LOOKUP($B1098,$T$904:$T$983,M$904:M$983))</f>
        <v/>
      </c>
      <c r="E1098" s="1509" t="str">
        <f>IF($A1098="","",LOOKUP($B1098,$T$904:$T$983,D$904:D$983))</f>
        <v/>
      </c>
      <c r="F1098" s="1509" t="str">
        <f>IF($A1098="","",LOOKUP($B1098,$T$904:$T$983,N$904:N$983))</f>
        <v/>
      </c>
      <c r="G1098" s="1372"/>
      <c r="H1098" s="1681" t="str">
        <f>IF($A1098="","",LOOKUP($B1098,$T$904:$T$983,E$904:E$983))</f>
        <v/>
      </c>
      <c r="I1098" s="1681" t="str">
        <f>IF($A1098="","",LOOKUP($B1098,$T$904:$T$983,O$904:O$983))</f>
        <v/>
      </c>
      <c r="J1098" s="1681" t="str">
        <f>IF($A1098="","",LOOKUP($B1098,$T$904:$T$983,F$904:F$983))</f>
        <v/>
      </c>
      <c r="K1098" s="1681" t="str">
        <f>IF($A1098="","",LOOKUP($B1098,$T$904:$T$983,P$904:P$983))</f>
        <v/>
      </c>
      <c r="L1098" s="1372"/>
      <c r="M1098" s="1497" t="str">
        <f>IF(LOOKUP(R1098,R$1044:R$1065,R$1044:R$1065)=R1098,R1098,"")</f>
        <v/>
      </c>
      <c r="N1098" s="1372"/>
      <c r="O1098" s="1372"/>
      <c r="P1098" s="1372"/>
      <c r="Q1098" s="1659"/>
      <c r="R1098" s="1372" t="str">
        <f t="shared" si="65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>IF(OR(A1098="",LOOKUP(B1099,$T$904:$T$983,A$904:A$983)=A1098),"",LOOKUP(B1099,$T$904:$T$983,A$904:A$983))</f>
        <v/>
      </c>
      <c r="B1099" s="1652">
        <v>28</v>
      </c>
      <c r="C1099" s="1509" t="str">
        <f t="shared" si="57"/>
        <v/>
      </c>
      <c r="D1099" s="1509" t="str">
        <f>IF($A1099="","",LOOKUP($B1099,$T$904:$T$983,M$904:M$983))</f>
        <v/>
      </c>
      <c r="E1099" s="1509" t="str">
        <f>IF($A1099="","",LOOKUP($B1099,$T$904:$T$983,D$904:D$983))</f>
        <v/>
      </c>
      <c r="F1099" s="1509" t="str">
        <f>IF($A1099="","",LOOKUP($B1099,$T$904:$T$983,N$904:N$983))</f>
        <v/>
      </c>
      <c r="G1099" s="1372"/>
      <c r="H1099" s="1681" t="str">
        <f>IF($A1099="","",LOOKUP($B1099,$T$904:$T$983,E$904:E$983))</f>
        <v/>
      </c>
      <c r="I1099" s="1681" t="str">
        <f>IF($A1099="","",LOOKUP($B1099,$T$904:$T$983,O$904:O$983))</f>
        <v/>
      </c>
      <c r="J1099" s="1681" t="str">
        <f>IF($A1099="","",LOOKUP($B1099,$T$904:$T$983,F$904:F$983))</f>
        <v/>
      </c>
      <c r="K1099" s="1681" t="str">
        <f>IF($A1099="","",LOOKUP($B1099,$T$904:$T$983,P$904:P$983))</f>
        <v/>
      </c>
      <c r="L1099" s="1372"/>
      <c r="M1099" s="1497" t="str">
        <f>IF(LOOKUP(R1099,R$1044:R$1065,R$1044:R$1065)=R1099,R1099,"")</f>
        <v/>
      </c>
      <c r="N1099" s="1372"/>
      <c r="O1099" s="1372"/>
      <c r="P1099" s="1372"/>
      <c r="Q1099" s="1659"/>
      <c r="R1099" s="1372" t="str">
        <f t="shared" si="65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26016</v>
      </c>
      <c r="D1100" s="1509">
        <f>SUM(D1072:D1099)</f>
        <v>900</v>
      </c>
      <c r="E1100" s="1509">
        <f>SUM(E1072:E1099)</f>
        <v>31986</v>
      </c>
      <c r="F1100" s="1509">
        <f>SUM(F1072:F1099)</f>
        <v>0</v>
      </c>
      <c r="G1100" s="1372"/>
      <c r="H1100" s="1509">
        <f>SUM(H1072:H1099)</f>
        <v>57600</v>
      </c>
      <c r="I1100" s="1509">
        <f>SUM(I1072:I1099)</f>
        <v>0</v>
      </c>
      <c r="J1100" s="1509">
        <f>SUM(J1072:J1099)</f>
        <v>0</v>
      </c>
      <c r="K1100" s="1509">
        <f>SUM(K1072:K1099)</f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0</v>
      </c>
      <c r="K1103" s="1687">
        <f>P900</f>
        <v>0.46566101593823161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-0.16917790949511374</v>
      </c>
      <c r="E1104" s="1683" t="str">
        <f>IF(SUM(E1043:E1068)=E1103,"OK",SUM(E1043:E1068))</f>
        <v>OK</v>
      </c>
      <c r="F1104" s="1683">
        <f>IF(SUM(F1043:F1068)=F1103,"OK",SUM(F1043:F1068))</f>
        <v>-0.14663410314393066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-0.18604503029212494</v>
      </c>
      <c r="J1104" s="1683" t="str">
        <f>IF(SUM(J1043:J1068)=J1103,"OK",SUM(J1043:J1068))</f>
        <v>OK</v>
      </c>
      <c r="K1104" s="1683">
        <f>IF(SUM(K1043:K1068)=K1103,"OK",SUM(K1043:K1068))</f>
        <v>0.22463677394199713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26016</v>
      </c>
      <c r="D1105" s="1653">
        <f>M985</f>
        <v>900</v>
      </c>
      <c r="E1105" s="1653">
        <f>D985</f>
        <v>31986</v>
      </c>
      <c r="F1105" s="1653">
        <f>N985</f>
        <v>0</v>
      </c>
      <c r="G1105" s="1372"/>
      <c r="H1105" s="1688">
        <f>E985</f>
        <v>57600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Temp</v>
      </c>
      <c r="E1110" s="1661" t="str">
        <f>WB!B11</f>
        <v>Ftime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Temp</v>
      </c>
      <c r="J1110" s="1662" t="str">
        <f>E1110</f>
        <v>Ftime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66">A830</f>
        <v>Green cons - Season 1: no of months</v>
      </c>
      <c r="B1114" s="1372"/>
      <c r="C1114" s="1683">
        <f t="shared" ref="C1114:F1115" si="67">MAX(SUM(C830,M830),SUM(C830))</f>
        <v>0</v>
      </c>
      <c r="D1114" s="1683">
        <f t="shared" si="67"/>
        <v>0</v>
      </c>
      <c r="E1114" s="1683">
        <f t="shared" si="67"/>
        <v>0</v>
      </c>
      <c r="F1114" s="1683">
        <f t="shared" si="67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68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66"/>
        <v xml:space="preserve">Green beans </v>
      </c>
      <c r="B1115" s="1372"/>
      <c r="C1115" s="1683">
        <f t="shared" si="67"/>
        <v>0</v>
      </c>
      <c r="D1115" s="1683">
        <f t="shared" si="67"/>
        <v>0</v>
      </c>
      <c r="E1115" s="1683">
        <f t="shared" si="67"/>
        <v>0</v>
      </c>
      <c r="F1115" s="1683">
        <f t="shared" si="67"/>
        <v>0</v>
      </c>
      <c r="G1115" s="1372"/>
      <c r="H1115" s="1410"/>
      <c r="I1115" s="1410"/>
      <c r="J1115" s="1410"/>
      <c r="K1115" s="1410"/>
      <c r="L1115" s="1428"/>
      <c r="M1115" s="1676" t="str">
        <f t="shared" si="68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66"/>
        <v>Maize: kg produced</v>
      </c>
      <c r="B1116" s="1372"/>
      <c r="C1116" s="1683">
        <f t="shared" ref="C1116:C1133" si="69">IF(C$1111=0,0,MAX((SUM(C832,M832)+SUM(C932,M932)/C$1111),(SUM(C832)+SUM(C932)/C$1111)))</f>
        <v>0</v>
      </c>
      <c r="D1116" s="1683">
        <f t="shared" ref="D1116:D1133" si="70">IF(D$1111=0,0,MAX((SUM(D832,N832)+SUM(D932,N932)/D$1111),(SUM(D832)+SUM(D932)/D$1111)))</f>
        <v>0</v>
      </c>
      <c r="E1116" s="1683">
        <f t="shared" ref="E1116:E1133" si="71">IF(E$1111=0,0,MAX((SUM(E832,O832)+SUM(E932,O932)/E$1111),(SUM(E832)+SUM(E932)/E$1111)))</f>
        <v>0</v>
      </c>
      <c r="F1116" s="1683">
        <f t="shared" ref="F1116:F1133" si="72">IF(F$1111=0,0,MAX((SUM(F832,P832)+SUM(F932,P932)/F$1111),(SUM(F832)+SUM(F932)/F$1111)))</f>
        <v>0</v>
      </c>
      <c r="G1116" s="1372"/>
      <c r="H1116" s="1684">
        <f t="shared" ref="H1116:H1133" si="73">IF(C$1111=0,0,MAX(SUM(C932,M932)/C$1111,SUM(C932)/C$1111))</f>
        <v>0</v>
      </c>
      <c r="I1116" s="1684">
        <f t="shared" ref="I1116:I1133" si="74">IF(D$1111=0,0,MAX(SUM(D932,N932)/D$1111,SUM(D932)/D$1111))</f>
        <v>0</v>
      </c>
      <c r="J1116" s="1684">
        <f t="shared" ref="J1116:J1133" si="75">IF(E$1111=0,0,MAX(SUM(E932,O932)/E$1111,SUM(E932)/E$1111))</f>
        <v>0</v>
      </c>
      <c r="K1116" s="1684">
        <f t="shared" ref="K1116:K1133" si="76">IF(F$1111=0,0,MAX(SUM(F932,P932)/F$1111,SUM(F932)/F$1111))</f>
        <v>0</v>
      </c>
      <c r="L1116" s="1428"/>
      <c r="M1116" s="1676" t="str">
        <f t="shared" si="68"/>
        <v/>
      </c>
      <c r="N1116" s="1690" t="str">
        <f t="shared" ref="N1116:N1135" si="77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66"/>
        <v>Sorghum: kg produced</v>
      </c>
      <c r="B1117" s="1372"/>
      <c r="C1117" s="1683">
        <f t="shared" si="69"/>
        <v>0</v>
      </c>
      <c r="D1117" s="1683">
        <f t="shared" si="70"/>
        <v>0</v>
      </c>
      <c r="E1117" s="1683">
        <f t="shared" si="71"/>
        <v>0</v>
      </c>
      <c r="F1117" s="1683">
        <f t="shared" si="72"/>
        <v>0</v>
      </c>
      <c r="G1117" s="1372"/>
      <c r="H1117" s="1684">
        <f t="shared" si="73"/>
        <v>0</v>
      </c>
      <c r="I1117" s="1684">
        <f t="shared" si="74"/>
        <v>0</v>
      </c>
      <c r="J1117" s="1684">
        <f t="shared" si="75"/>
        <v>0</v>
      </c>
      <c r="K1117" s="1684">
        <f t="shared" si="76"/>
        <v>0</v>
      </c>
      <c r="L1117" s="1428"/>
      <c r="M1117" s="1676" t="str">
        <f t="shared" si="68"/>
        <v/>
      </c>
      <c r="N1117" s="1690" t="str">
        <f t="shared" si="77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66"/>
        <v>High value cereal: kg produced</v>
      </c>
      <c r="B1118" s="1372"/>
      <c r="C1118" s="1683">
        <f t="shared" si="69"/>
        <v>0</v>
      </c>
      <c r="D1118" s="1683">
        <f t="shared" si="70"/>
        <v>0</v>
      </c>
      <c r="E1118" s="1683">
        <f t="shared" si="71"/>
        <v>0</v>
      </c>
      <c r="F1118" s="1683">
        <f t="shared" si="72"/>
        <v>0</v>
      </c>
      <c r="G1118" s="1372"/>
      <c r="H1118" s="1684">
        <f t="shared" si="73"/>
        <v>0</v>
      </c>
      <c r="I1118" s="1684">
        <f t="shared" si="74"/>
        <v>0</v>
      </c>
      <c r="J1118" s="1684">
        <f t="shared" si="75"/>
        <v>0</v>
      </c>
      <c r="K1118" s="1684">
        <f t="shared" si="76"/>
        <v>0</v>
      </c>
      <c r="L1118" s="1428"/>
      <c r="M1118" s="1676" t="str">
        <f t="shared" si="68"/>
        <v/>
      </c>
      <c r="N1118" s="1690" t="str">
        <f t="shared" si="77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66"/>
        <v>High value cereal: kg produced</v>
      </c>
      <c r="B1119" s="1372"/>
      <c r="C1119" s="1683">
        <f t="shared" si="69"/>
        <v>0</v>
      </c>
      <c r="D1119" s="1683">
        <f t="shared" si="70"/>
        <v>0</v>
      </c>
      <c r="E1119" s="1683">
        <f t="shared" si="71"/>
        <v>0</v>
      </c>
      <c r="F1119" s="1683">
        <f t="shared" si="72"/>
        <v>0</v>
      </c>
      <c r="G1119" s="1372"/>
      <c r="H1119" s="1684">
        <f t="shared" si="73"/>
        <v>0</v>
      </c>
      <c r="I1119" s="1684">
        <f t="shared" si="74"/>
        <v>0</v>
      </c>
      <c r="J1119" s="1684">
        <f t="shared" si="75"/>
        <v>0</v>
      </c>
      <c r="K1119" s="1684">
        <f t="shared" si="76"/>
        <v>0</v>
      </c>
      <c r="L1119" s="1428"/>
      <c r="M1119" s="1676" t="str">
        <f t="shared" si="68"/>
        <v/>
      </c>
      <c r="N1119" s="1690" t="str">
        <f t="shared" si="77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66"/>
        <v>Cowpeas: kg produced</v>
      </c>
      <c r="B1120" s="1372"/>
      <c r="C1120" s="1683">
        <f t="shared" si="69"/>
        <v>0</v>
      </c>
      <c r="D1120" s="1683">
        <f t="shared" si="70"/>
        <v>0</v>
      </c>
      <c r="E1120" s="1683">
        <f t="shared" si="71"/>
        <v>0</v>
      </c>
      <c r="F1120" s="1683">
        <f t="shared" si="72"/>
        <v>0</v>
      </c>
      <c r="G1120" s="1372"/>
      <c r="H1120" s="1684">
        <f t="shared" si="73"/>
        <v>0</v>
      </c>
      <c r="I1120" s="1684">
        <f t="shared" si="74"/>
        <v>0</v>
      </c>
      <c r="J1120" s="1684">
        <f t="shared" si="75"/>
        <v>0</v>
      </c>
      <c r="K1120" s="1684">
        <f t="shared" si="76"/>
        <v>0</v>
      </c>
      <c r="L1120" s="1428"/>
      <c r="M1120" s="1676" t="str">
        <f t="shared" si="68"/>
        <v/>
      </c>
      <c r="N1120" s="1690" t="str">
        <f t="shared" si="77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66"/>
        <v>Beans: kg produced</v>
      </c>
      <c r="B1121" s="1372"/>
      <c r="C1121" s="1683">
        <f t="shared" si="69"/>
        <v>0</v>
      </c>
      <c r="D1121" s="1683">
        <f t="shared" si="70"/>
        <v>0</v>
      </c>
      <c r="E1121" s="1683">
        <f t="shared" si="71"/>
        <v>0</v>
      </c>
      <c r="F1121" s="1683">
        <f t="shared" si="72"/>
        <v>0</v>
      </c>
      <c r="G1121" s="1372"/>
      <c r="H1121" s="1684">
        <f t="shared" si="73"/>
        <v>0</v>
      </c>
      <c r="I1121" s="1684">
        <f t="shared" si="74"/>
        <v>0</v>
      </c>
      <c r="J1121" s="1684">
        <f t="shared" si="75"/>
        <v>0</v>
      </c>
      <c r="K1121" s="1684">
        <f t="shared" si="76"/>
        <v>0</v>
      </c>
      <c r="L1121" s="1428"/>
      <c r="M1121" s="1676" t="str">
        <f t="shared" si="68"/>
        <v/>
      </c>
      <c r="N1121" s="1690" t="str">
        <f t="shared" si="77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66"/>
        <v>Amadumb: kg produced</v>
      </c>
      <c r="B1122" s="1372"/>
      <c r="C1122" s="1683">
        <f t="shared" si="69"/>
        <v>0</v>
      </c>
      <c r="D1122" s="1683">
        <f t="shared" si="70"/>
        <v>0</v>
      </c>
      <c r="E1122" s="1683">
        <f t="shared" si="71"/>
        <v>0</v>
      </c>
      <c r="F1122" s="1683">
        <f t="shared" si="72"/>
        <v>0</v>
      </c>
      <c r="G1122" s="1372"/>
      <c r="H1122" s="1684">
        <f t="shared" si="73"/>
        <v>0</v>
      </c>
      <c r="I1122" s="1684">
        <f t="shared" si="74"/>
        <v>0</v>
      </c>
      <c r="J1122" s="1684">
        <f t="shared" si="75"/>
        <v>0</v>
      </c>
      <c r="K1122" s="1684">
        <f t="shared" si="76"/>
        <v>0</v>
      </c>
      <c r="L1122" s="1428"/>
      <c r="M1122" s="1676" t="str">
        <f t="shared" si="68"/>
        <v/>
      </c>
      <c r="N1122" s="1690" t="str">
        <f t="shared" si="77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66"/>
        <v>potatoes: kg produced</v>
      </c>
      <c r="B1123" s="1372"/>
      <c r="C1123" s="1683">
        <f t="shared" si="69"/>
        <v>0</v>
      </c>
      <c r="D1123" s="1683">
        <f t="shared" si="70"/>
        <v>0</v>
      </c>
      <c r="E1123" s="1683">
        <f t="shared" si="71"/>
        <v>0</v>
      </c>
      <c r="F1123" s="1683">
        <f t="shared" si="72"/>
        <v>0</v>
      </c>
      <c r="G1123" s="1372"/>
      <c r="H1123" s="1684">
        <f t="shared" si="73"/>
        <v>0</v>
      </c>
      <c r="I1123" s="1684">
        <f t="shared" si="74"/>
        <v>0</v>
      </c>
      <c r="J1123" s="1684">
        <f t="shared" si="75"/>
        <v>0</v>
      </c>
      <c r="K1123" s="1684">
        <f t="shared" si="76"/>
        <v>0</v>
      </c>
      <c r="L1123" s="1428"/>
      <c r="M1123" s="1676" t="str">
        <f t="shared" si="68"/>
        <v/>
      </c>
      <c r="N1123" s="1690" t="str">
        <f t="shared" si="77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66"/>
        <v>Wheat: kg produced</v>
      </c>
      <c r="B1124" s="1372"/>
      <c r="C1124" s="1683">
        <f t="shared" si="69"/>
        <v>0</v>
      </c>
      <c r="D1124" s="1683">
        <f t="shared" si="70"/>
        <v>0</v>
      </c>
      <c r="E1124" s="1683">
        <f t="shared" si="71"/>
        <v>0</v>
      </c>
      <c r="F1124" s="1683">
        <f t="shared" si="72"/>
        <v>0</v>
      </c>
      <c r="G1124" s="1372"/>
      <c r="H1124" s="1684">
        <f t="shared" si="73"/>
        <v>0</v>
      </c>
      <c r="I1124" s="1684">
        <f t="shared" si="74"/>
        <v>0</v>
      </c>
      <c r="J1124" s="1684">
        <f t="shared" si="75"/>
        <v>0</v>
      </c>
      <c r="K1124" s="1684">
        <f t="shared" si="76"/>
        <v>0</v>
      </c>
      <c r="L1124" s="1428"/>
      <c r="M1124" s="1676" t="str">
        <f t="shared" si="68"/>
        <v/>
      </c>
      <c r="N1124" s="1690" t="str">
        <f t="shared" si="77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66"/>
        <v>Cassava: no. local meas.</v>
      </c>
      <c r="B1125" s="1372"/>
      <c r="C1125" s="1683">
        <f t="shared" si="69"/>
        <v>0</v>
      </c>
      <c r="D1125" s="1683">
        <f t="shared" si="70"/>
        <v>0</v>
      </c>
      <c r="E1125" s="1683">
        <f t="shared" si="71"/>
        <v>0</v>
      </c>
      <c r="F1125" s="1683">
        <f t="shared" si="72"/>
        <v>0</v>
      </c>
      <c r="G1125" s="1372"/>
      <c r="H1125" s="1684">
        <f t="shared" si="73"/>
        <v>0</v>
      </c>
      <c r="I1125" s="1684">
        <f t="shared" si="74"/>
        <v>0</v>
      </c>
      <c r="J1125" s="1684">
        <f t="shared" si="75"/>
        <v>0</v>
      </c>
      <c r="K1125" s="1684">
        <f t="shared" si="76"/>
        <v>0</v>
      </c>
      <c r="L1125" s="1428"/>
      <c r="M1125" s="1676" t="str">
        <f t="shared" si="68"/>
        <v/>
      </c>
      <c r="N1125" s="1690" t="str">
        <f t="shared" si="77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66"/>
        <v>Water melon: no. local meas</v>
      </c>
      <c r="B1126" s="1372"/>
      <c r="C1126" s="1683">
        <f t="shared" si="69"/>
        <v>0</v>
      </c>
      <c r="D1126" s="1683">
        <f t="shared" si="70"/>
        <v>0</v>
      </c>
      <c r="E1126" s="1683">
        <f t="shared" si="71"/>
        <v>0</v>
      </c>
      <c r="F1126" s="1683">
        <f t="shared" si="72"/>
        <v>0</v>
      </c>
      <c r="G1126" s="1372"/>
      <c r="H1126" s="1684">
        <f t="shared" si="73"/>
        <v>0</v>
      </c>
      <c r="I1126" s="1684">
        <f t="shared" si="74"/>
        <v>0</v>
      </c>
      <c r="J1126" s="1684">
        <f t="shared" si="75"/>
        <v>0</v>
      </c>
      <c r="K1126" s="1684">
        <f t="shared" si="76"/>
        <v>0</v>
      </c>
      <c r="L1126" s="1428"/>
      <c r="M1126" s="1676" t="str">
        <f t="shared" si="68"/>
        <v/>
      </c>
      <c r="N1126" s="1690" t="str">
        <f t="shared" si="77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66"/>
        <v>Other melons: no. local meas</v>
      </c>
      <c r="B1127" s="1372"/>
      <c r="C1127" s="1683">
        <f t="shared" si="69"/>
        <v>0</v>
      </c>
      <c r="D1127" s="1683">
        <f t="shared" si="70"/>
        <v>0</v>
      </c>
      <c r="E1127" s="1683">
        <f t="shared" si="71"/>
        <v>0</v>
      </c>
      <c r="F1127" s="1683">
        <f t="shared" si="72"/>
        <v>0</v>
      </c>
      <c r="G1127" s="1372"/>
      <c r="H1127" s="1684">
        <f t="shared" si="73"/>
        <v>0</v>
      </c>
      <c r="I1127" s="1684">
        <f t="shared" si="74"/>
        <v>0</v>
      </c>
      <c r="J1127" s="1684">
        <f t="shared" si="75"/>
        <v>0</v>
      </c>
      <c r="K1127" s="1684">
        <f t="shared" si="76"/>
        <v>0</v>
      </c>
      <c r="L1127" s="1428"/>
      <c r="M1127" s="1676" t="str">
        <f t="shared" si="68"/>
        <v/>
      </c>
      <c r="N1127" s="1690" t="str">
        <f t="shared" si="77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66"/>
        <v>Other root crops: no. local meas</v>
      </c>
      <c r="B1128" s="1372"/>
      <c r="C1128" s="1683">
        <f t="shared" si="69"/>
        <v>0</v>
      </c>
      <c r="D1128" s="1683">
        <f t="shared" si="70"/>
        <v>0</v>
      </c>
      <c r="E1128" s="1683">
        <f t="shared" si="71"/>
        <v>0</v>
      </c>
      <c r="F1128" s="1683">
        <f t="shared" si="72"/>
        <v>0</v>
      </c>
      <c r="G1128" s="1372"/>
      <c r="H1128" s="1684">
        <f t="shared" si="73"/>
        <v>0</v>
      </c>
      <c r="I1128" s="1684">
        <f t="shared" si="74"/>
        <v>0</v>
      </c>
      <c r="J1128" s="1684">
        <f t="shared" si="75"/>
        <v>0</v>
      </c>
      <c r="K1128" s="1684">
        <f t="shared" si="76"/>
        <v>0</v>
      </c>
      <c r="L1128" s="1428"/>
      <c r="M1128" s="1676" t="str">
        <f t="shared" si="68"/>
        <v/>
      </c>
      <c r="N1128" s="1690" t="str">
        <f t="shared" si="77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66"/>
        <v>Groundnuts (dry): no. local meas</v>
      </c>
      <c r="B1129" s="1372"/>
      <c r="C1129" s="1683">
        <f t="shared" si="69"/>
        <v>0</v>
      </c>
      <c r="D1129" s="1683">
        <f t="shared" si="70"/>
        <v>0</v>
      </c>
      <c r="E1129" s="1683">
        <f t="shared" si="71"/>
        <v>0</v>
      </c>
      <c r="F1129" s="1683">
        <f t="shared" si="72"/>
        <v>0</v>
      </c>
      <c r="G1129" s="1372"/>
      <c r="H1129" s="1684">
        <f t="shared" si="73"/>
        <v>0</v>
      </c>
      <c r="I1129" s="1684">
        <f t="shared" si="74"/>
        <v>0</v>
      </c>
      <c r="J1129" s="1684">
        <f t="shared" si="75"/>
        <v>0</v>
      </c>
      <c r="K1129" s="1684">
        <f t="shared" si="76"/>
        <v>0</v>
      </c>
      <c r="L1129" s="1428"/>
      <c r="M1129" s="1676" t="str">
        <f t="shared" si="68"/>
        <v/>
      </c>
      <c r="N1129" s="1690" t="str">
        <f t="shared" si="77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66"/>
        <v>Roundnuts (bambara): no. local meas</v>
      </c>
      <c r="B1130" s="1372"/>
      <c r="C1130" s="1683">
        <f t="shared" si="69"/>
        <v>0</v>
      </c>
      <c r="D1130" s="1683">
        <f t="shared" si="70"/>
        <v>0</v>
      </c>
      <c r="E1130" s="1683">
        <f t="shared" si="71"/>
        <v>0</v>
      </c>
      <c r="F1130" s="1683">
        <f t="shared" si="72"/>
        <v>0</v>
      </c>
      <c r="G1130" s="1372"/>
      <c r="H1130" s="1684">
        <f t="shared" si="73"/>
        <v>0</v>
      </c>
      <c r="I1130" s="1684">
        <f t="shared" si="74"/>
        <v>0</v>
      </c>
      <c r="J1130" s="1684">
        <f t="shared" si="75"/>
        <v>0</v>
      </c>
      <c r="K1130" s="1684">
        <f t="shared" si="76"/>
        <v>0</v>
      </c>
      <c r="L1130" s="1428"/>
      <c r="M1130" s="1676" t="str">
        <f t="shared" si="68"/>
        <v/>
      </c>
      <c r="N1130" s="1690" t="str">
        <f t="shared" si="77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66"/>
        <v>Other crop: type</v>
      </c>
      <c r="B1131" s="1372"/>
      <c r="C1131" s="1683">
        <f t="shared" si="69"/>
        <v>0</v>
      </c>
      <c r="D1131" s="1683">
        <f t="shared" si="70"/>
        <v>0</v>
      </c>
      <c r="E1131" s="1683">
        <f t="shared" si="71"/>
        <v>0</v>
      </c>
      <c r="F1131" s="1683">
        <f t="shared" si="72"/>
        <v>0</v>
      </c>
      <c r="G1131" s="1372"/>
      <c r="H1131" s="1684">
        <f t="shared" si="73"/>
        <v>0</v>
      </c>
      <c r="I1131" s="1684">
        <f t="shared" si="74"/>
        <v>0</v>
      </c>
      <c r="J1131" s="1684">
        <f t="shared" si="75"/>
        <v>0</v>
      </c>
      <c r="K1131" s="1684">
        <f t="shared" si="76"/>
        <v>0</v>
      </c>
      <c r="L1131" s="1428"/>
      <c r="M1131" s="1676" t="str">
        <f t="shared" si="68"/>
        <v/>
      </c>
      <c r="N1131" s="1690" t="str">
        <f t="shared" si="77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66"/>
        <v>Other crop: pumpkin</v>
      </c>
      <c r="B1132" s="1372"/>
      <c r="C1132" s="1683">
        <f t="shared" si="69"/>
        <v>0</v>
      </c>
      <c r="D1132" s="1683">
        <f t="shared" si="70"/>
        <v>0</v>
      </c>
      <c r="E1132" s="1683">
        <f t="shared" si="71"/>
        <v>0</v>
      </c>
      <c r="F1132" s="1683">
        <f t="shared" si="72"/>
        <v>0</v>
      </c>
      <c r="G1132" s="1372"/>
      <c r="H1132" s="1684">
        <f t="shared" si="73"/>
        <v>0</v>
      </c>
      <c r="I1132" s="1684">
        <f t="shared" si="74"/>
        <v>0</v>
      </c>
      <c r="J1132" s="1684">
        <f t="shared" si="75"/>
        <v>0</v>
      </c>
      <c r="K1132" s="1684">
        <f t="shared" si="76"/>
        <v>0</v>
      </c>
      <c r="L1132" s="1428"/>
      <c r="M1132" s="1676" t="str">
        <f t="shared" si="68"/>
        <v/>
      </c>
      <c r="N1132" s="1690" t="str">
        <f t="shared" si="77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66"/>
        <v>Other crop: type</v>
      </c>
      <c r="B1133" s="1372"/>
      <c r="C1133" s="1683">
        <f t="shared" si="69"/>
        <v>0</v>
      </c>
      <c r="D1133" s="1683">
        <f t="shared" si="70"/>
        <v>0</v>
      </c>
      <c r="E1133" s="1683">
        <f t="shared" si="71"/>
        <v>0</v>
      </c>
      <c r="F1133" s="1683">
        <f t="shared" si="72"/>
        <v>0</v>
      </c>
      <c r="G1133" s="1372"/>
      <c r="H1133" s="1684">
        <f t="shared" si="73"/>
        <v>0</v>
      </c>
      <c r="I1133" s="1684">
        <f t="shared" si="74"/>
        <v>0</v>
      </c>
      <c r="J1133" s="1684">
        <f t="shared" si="75"/>
        <v>0</v>
      </c>
      <c r="K1133" s="1684">
        <f t="shared" si="76"/>
        <v>0</v>
      </c>
      <c r="L1133" s="1428"/>
      <c r="M1133" s="1676" t="str">
        <f t="shared" si="68"/>
        <v/>
      </c>
      <c r="N1133" s="1690" t="str">
        <f t="shared" si="77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78">IF(C$1111=0,0,MAX((SUM(C851,M851)+SUM(C962,M962)/C$1111),(SUM(C851)+SUM(C962)/C$1111)))</f>
        <v>0</v>
      </c>
      <c r="D1134" s="1683">
        <f t="shared" si="78"/>
        <v>0</v>
      </c>
      <c r="E1134" s="1683">
        <f t="shared" si="78"/>
        <v>0</v>
      </c>
      <c r="F1134" s="1683">
        <f t="shared" si="78"/>
        <v>0</v>
      </c>
      <c r="G1134" s="1372"/>
      <c r="H1134" s="1684">
        <f t="shared" ref="H1134:K1135" si="79">IF(C$1111=0,0,MAX(SUM(C962,M962)/C$1111,SUM(C962)/C$1111))</f>
        <v>0</v>
      </c>
      <c r="I1134" s="1684">
        <f t="shared" si="79"/>
        <v>0</v>
      </c>
      <c r="J1134" s="1684">
        <f t="shared" si="79"/>
        <v>0</v>
      </c>
      <c r="K1134" s="1684">
        <f t="shared" si="79"/>
        <v>0</v>
      </c>
      <c r="L1134" s="1428"/>
      <c r="M1134" s="1676" t="str">
        <f t="shared" si="68"/>
        <v/>
      </c>
      <c r="N1134" s="1690" t="str">
        <f t="shared" si="77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78"/>
        <v>0</v>
      </c>
      <c r="D1135" s="1683">
        <f t="shared" si="78"/>
        <v>0</v>
      </c>
      <c r="E1135" s="1683">
        <f t="shared" si="78"/>
        <v>0</v>
      </c>
      <c r="F1135" s="1683">
        <f t="shared" si="78"/>
        <v>0</v>
      </c>
      <c r="G1135" s="1372"/>
      <c r="H1135" s="1684">
        <f t="shared" si="79"/>
        <v>0</v>
      </c>
      <c r="I1135" s="1684">
        <f t="shared" si="79"/>
        <v>0</v>
      </c>
      <c r="J1135" s="1684">
        <f t="shared" si="79"/>
        <v>0</v>
      </c>
      <c r="K1135" s="1684">
        <f t="shared" si="79"/>
        <v>0</v>
      </c>
      <c r="L1135" s="1428"/>
      <c r="M1135" s="1676" t="str">
        <f t="shared" si="68"/>
        <v/>
      </c>
      <c r="N1135" s="1690" t="str">
        <f t="shared" si="77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68"/>
        <v/>
      </c>
      <c r="N1136" s="1676" t="str">
        <f t="shared" ref="N1136:N1147" si="80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81">A950</f>
        <v>Main cashcrop kg sold (tomato)</v>
      </c>
      <c r="B1137" s="1372"/>
      <c r="C1137" s="1683">
        <f t="shared" ref="C1137:C1147" si="82">IF(C$1111=0,0,MAX(SUM(C950,M950)/C$1111,SUM(C950)/C$1111))</f>
        <v>0</v>
      </c>
      <c r="D1137" s="1683">
        <f t="shared" ref="D1137:D1147" si="83">IF(D$1111=0,0,MAX(SUM(D950,N950)/D$1111,SUM(D950)/D$1111))</f>
        <v>0</v>
      </c>
      <c r="E1137" s="1683">
        <f t="shared" ref="E1137:E1147" si="84">IF(E$1111=0,0,MAX(SUM(E950,O950)/E$1111,SUM(E950)/E$1111))</f>
        <v>0</v>
      </c>
      <c r="F1137" s="1683">
        <f t="shared" ref="F1137:F1147" si="85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68"/>
        <v/>
      </c>
      <c r="N1137" s="1676" t="str">
        <f t="shared" si="80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81"/>
        <v>Other cashcrop: kg produced  (Cabbage)</v>
      </c>
      <c r="B1138" s="1372"/>
      <c r="C1138" s="1683">
        <f t="shared" si="82"/>
        <v>0</v>
      </c>
      <c r="D1138" s="1683">
        <f t="shared" si="83"/>
        <v>0</v>
      </c>
      <c r="E1138" s="1683">
        <f t="shared" si="84"/>
        <v>0</v>
      </c>
      <c r="F1138" s="1683">
        <f t="shared" si="85"/>
        <v>0</v>
      </c>
      <c r="G1138" s="1372"/>
      <c r="H1138" s="1410"/>
      <c r="I1138" s="1410"/>
      <c r="J1138" s="1410"/>
      <c r="K1138" s="1651"/>
      <c r="L1138" s="1372"/>
      <c r="M1138" s="1676" t="str">
        <f t="shared" si="68"/>
        <v/>
      </c>
      <c r="N1138" s="1676" t="str">
        <f t="shared" si="80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81"/>
        <v>Other cashcrop: kg produced  (Spinach)</v>
      </c>
      <c r="B1139" s="1372"/>
      <c r="C1139" s="1683">
        <f t="shared" si="82"/>
        <v>0</v>
      </c>
      <c r="D1139" s="1683">
        <f t="shared" si="83"/>
        <v>0</v>
      </c>
      <c r="E1139" s="1683">
        <f t="shared" si="84"/>
        <v>0</v>
      </c>
      <c r="F1139" s="1683">
        <f t="shared" si="85"/>
        <v>0</v>
      </c>
      <c r="G1139" s="1372"/>
      <c r="H1139" s="1410"/>
      <c r="I1139" s="1410"/>
      <c r="J1139" s="1410"/>
      <c r="K1139" s="1651"/>
      <c r="L1139" s="1372"/>
      <c r="M1139" s="1676" t="str">
        <f t="shared" si="68"/>
        <v/>
      </c>
      <c r="N1139" s="1676" t="str">
        <f t="shared" si="80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81"/>
        <v>Other cashcrop: kg produced (Carrots)</v>
      </c>
      <c r="B1140" s="1372"/>
      <c r="C1140" s="1683">
        <f t="shared" si="82"/>
        <v>0</v>
      </c>
      <c r="D1140" s="1683">
        <f t="shared" si="83"/>
        <v>0</v>
      </c>
      <c r="E1140" s="1683">
        <f t="shared" si="84"/>
        <v>0</v>
      </c>
      <c r="F1140" s="1683">
        <f t="shared" si="85"/>
        <v>0</v>
      </c>
      <c r="G1140" s="1372"/>
      <c r="H1140" s="1410"/>
      <c r="I1140" s="1410"/>
      <c r="J1140" s="1410"/>
      <c r="K1140" s="1651"/>
      <c r="L1140" s="1372"/>
      <c r="M1140" s="1676" t="str">
        <f t="shared" si="68"/>
        <v/>
      </c>
      <c r="N1140" s="1676" t="str">
        <f t="shared" si="80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81"/>
        <v>Other cashcrop: kg produced (Onoin)</v>
      </c>
      <c r="B1141" s="1372"/>
      <c r="C1141" s="1683">
        <f t="shared" si="82"/>
        <v>0</v>
      </c>
      <c r="D1141" s="1683">
        <f t="shared" si="83"/>
        <v>0</v>
      </c>
      <c r="E1141" s="1683">
        <f t="shared" si="84"/>
        <v>0</v>
      </c>
      <c r="F1141" s="1683">
        <f t="shared" si="85"/>
        <v>0</v>
      </c>
      <c r="G1141" s="1372"/>
      <c r="H1141" s="1410"/>
      <c r="I1141" s="1410"/>
      <c r="J1141" s="1410"/>
      <c r="K1141" s="1651"/>
      <c r="L1141" s="1372"/>
      <c r="M1141" s="1676" t="str">
        <f t="shared" si="68"/>
        <v/>
      </c>
      <c r="N1141" s="1676" t="str">
        <f t="shared" si="80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81"/>
        <v xml:space="preserve">Other cashcrop: kg produced </v>
      </c>
      <c r="B1142" s="1372"/>
      <c r="C1142" s="1683">
        <f t="shared" si="82"/>
        <v>0</v>
      </c>
      <c r="D1142" s="1683">
        <f t="shared" si="83"/>
        <v>0</v>
      </c>
      <c r="E1142" s="1683">
        <f t="shared" si="84"/>
        <v>0</v>
      </c>
      <c r="F1142" s="1683">
        <f t="shared" si="85"/>
        <v>0</v>
      </c>
      <c r="G1142" s="1372"/>
      <c r="H1142" s="1410"/>
      <c r="I1142" s="1410"/>
      <c r="J1142" s="1410"/>
      <c r="K1142" s="1651"/>
      <c r="L1142" s="1372"/>
      <c r="M1142" s="1676" t="str">
        <f t="shared" si="68"/>
        <v/>
      </c>
      <c r="N1142" s="1676" t="str">
        <f t="shared" si="80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81"/>
        <v>Other cashcrop: kg produced</v>
      </c>
      <c r="B1143" s="1372"/>
      <c r="C1143" s="1683">
        <f t="shared" si="82"/>
        <v>0</v>
      </c>
      <c r="D1143" s="1683">
        <f t="shared" si="83"/>
        <v>0</v>
      </c>
      <c r="E1143" s="1683">
        <f t="shared" si="84"/>
        <v>0</v>
      </c>
      <c r="F1143" s="1683">
        <f t="shared" si="85"/>
        <v>0</v>
      </c>
      <c r="G1143" s="1372"/>
      <c r="H1143" s="1410"/>
      <c r="I1143" s="1410"/>
      <c r="J1143" s="1410"/>
      <c r="K1143" s="1651"/>
      <c r="L1143" s="1372"/>
      <c r="M1143" s="1676" t="str">
        <f t="shared" si="68"/>
        <v/>
      </c>
      <c r="N1143" s="1676" t="str">
        <f t="shared" si="80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81"/>
        <v>Straw: quantity sold</v>
      </c>
      <c r="B1144" s="1372"/>
      <c r="C1144" s="1683">
        <f t="shared" si="82"/>
        <v>0</v>
      </c>
      <c r="D1144" s="1683">
        <f t="shared" si="83"/>
        <v>0</v>
      </c>
      <c r="E1144" s="1683">
        <f t="shared" si="84"/>
        <v>0</v>
      </c>
      <c r="F1144" s="1683">
        <f t="shared" si="85"/>
        <v>0</v>
      </c>
      <c r="G1144" s="1372"/>
      <c r="H1144" s="1410"/>
      <c r="I1144" s="1410"/>
      <c r="J1144" s="1410"/>
      <c r="K1144" s="1651"/>
      <c r="L1144" s="1372"/>
      <c r="M1144" s="1676" t="str">
        <f t="shared" si="68"/>
        <v/>
      </c>
      <c r="N1144" s="1676" t="str">
        <f t="shared" si="80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81"/>
        <v>Trees: quantity sold</v>
      </c>
      <c r="B1145" s="1372"/>
      <c r="C1145" s="1683">
        <f t="shared" si="82"/>
        <v>0</v>
      </c>
      <c r="D1145" s="1683">
        <f t="shared" si="83"/>
        <v>0</v>
      </c>
      <c r="E1145" s="1683">
        <f t="shared" si="84"/>
        <v>0</v>
      </c>
      <c r="F1145" s="1683">
        <f t="shared" si="85"/>
        <v>0</v>
      </c>
      <c r="G1145" s="1372"/>
      <c r="H1145" s="1410"/>
      <c r="I1145" s="1410"/>
      <c r="J1145" s="1410"/>
      <c r="K1145" s="1651"/>
      <c r="L1145" s="1372"/>
      <c r="M1145" s="1676" t="str">
        <f t="shared" si="68"/>
        <v/>
      </c>
      <c r="N1145" s="1676" t="str">
        <f t="shared" si="80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81"/>
        <v>Other cash crop: type</v>
      </c>
      <c r="B1146" s="1372"/>
      <c r="C1146" s="1683">
        <f t="shared" si="82"/>
        <v>0</v>
      </c>
      <c r="D1146" s="1683">
        <f t="shared" si="83"/>
        <v>0</v>
      </c>
      <c r="E1146" s="1683">
        <f t="shared" si="84"/>
        <v>0</v>
      </c>
      <c r="F1146" s="1683">
        <f t="shared" si="85"/>
        <v>0</v>
      </c>
      <c r="G1146" s="1372"/>
      <c r="H1146" s="1410"/>
      <c r="I1146" s="1410"/>
      <c r="J1146" s="1410"/>
      <c r="K1146" s="1651"/>
      <c r="L1146" s="1372"/>
      <c r="M1146" s="1676" t="str">
        <f t="shared" si="68"/>
        <v/>
      </c>
      <c r="N1146" s="1676" t="str">
        <f t="shared" si="80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81"/>
        <v>Other cash crop: type</v>
      </c>
      <c r="B1147" s="1372"/>
      <c r="C1147" s="1683">
        <f t="shared" si="82"/>
        <v>0</v>
      </c>
      <c r="D1147" s="1683">
        <f t="shared" si="83"/>
        <v>0</v>
      </c>
      <c r="E1147" s="1683">
        <f t="shared" si="84"/>
        <v>0</v>
      </c>
      <c r="F1147" s="1683">
        <f t="shared" si="85"/>
        <v>0</v>
      </c>
      <c r="G1147" s="1372"/>
      <c r="H1147" s="1410"/>
      <c r="I1147" s="1410"/>
      <c r="J1147" s="1410"/>
      <c r="K1147" s="1651"/>
      <c r="L1147" s="1372"/>
      <c r="M1147" s="1676" t="str">
        <f t="shared" si="68"/>
        <v/>
      </c>
      <c r="N1147" s="1676" t="str">
        <f t="shared" si="80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86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87">MAX(SUM(C854,M854),SUM(C854))</f>
        <v>0</v>
      </c>
      <c r="D1170" s="1683">
        <f t="shared" si="87"/>
        <v>0</v>
      </c>
      <c r="E1170" s="1683">
        <f t="shared" si="87"/>
        <v>0</v>
      </c>
      <c r="F1170" s="1683">
        <f t="shared" si="87"/>
        <v>0</v>
      </c>
      <c r="G1170" s="1372"/>
      <c r="H1170" s="1410"/>
      <c r="I1170" s="1410"/>
      <c r="J1170" s="1410"/>
      <c r="K1170" s="1410"/>
      <c r="L1170" s="1428"/>
      <c r="M1170" s="1676" t="str">
        <f t="shared" si="86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87"/>
        <v>0</v>
      </c>
      <c r="D1171" s="1683">
        <f t="shared" si="87"/>
        <v>0</v>
      </c>
      <c r="E1171" s="1683">
        <f t="shared" si="87"/>
        <v>0</v>
      </c>
      <c r="F1171" s="1683">
        <f t="shared" si="87"/>
        <v>0</v>
      </c>
      <c r="G1171" s="1372"/>
      <c r="H1171" s="1410"/>
      <c r="I1171" s="1410"/>
      <c r="J1171" s="1410"/>
      <c r="K1171" s="1410"/>
      <c r="L1171" s="1428"/>
      <c r="M1171" s="1676" t="str">
        <f t="shared" si="86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87"/>
        <v>0</v>
      </c>
      <c r="D1172" s="1683">
        <f t="shared" si="87"/>
        <v>0</v>
      </c>
      <c r="E1172" s="1683">
        <f t="shared" si="87"/>
        <v>0</v>
      </c>
      <c r="F1172" s="1683">
        <f t="shared" si="87"/>
        <v>0</v>
      </c>
      <c r="G1172" s="1372"/>
      <c r="H1172" s="1410"/>
      <c r="I1172" s="1410"/>
      <c r="J1172" s="1410"/>
      <c r="K1172" s="1410"/>
      <c r="L1172" s="1428"/>
      <c r="M1172" s="1676" t="str">
        <f t="shared" si="86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88">MAX(SUM(C896,M896),SUM(C896))</f>
        <v>0</v>
      </c>
      <c r="D1173" s="1683">
        <f t="shared" si="88"/>
        <v>0</v>
      </c>
      <c r="E1173" s="1683">
        <f t="shared" si="88"/>
        <v>0</v>
      </c>
      <c r="F1173" s="1683">
        <f t="shared" si="88"/>
        <v>0</v>
      </c>
      <c r="G1173" s="1372"/>
      <c r="H1173" s="1410"/>
      <c r="I1173" s="1410"/>
      <c r="J1173" s="1410"/>
      <c r="K1173" s="1410"/>
      <c r="L1173" s="1428"/>
      <c r="M1173" s="1676" t="str">
        <f t="shared" si="86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88"/>
        <v>0</v>
      </c>
      <c r="D1174" s="1683">
        <f t="shared" si="88"/>
        <v>0</v>
      </c>
      <c r="E1174" s="1683">
        <f t="shared" si="88"/>
        <v>0</v>
      </c>
      <c r="F1174" s="1683">
        <f t="shared" si="88"/>
        <v>0</v>
      </c>
      <c r="G1174" s="1372"/>
      <c r="H1174" s="1410"/>
      <c r="I1174" s="1410"/>
      <c r="J1174" s="1410"/>
      <c r="K1174" s="1410"/>
      <c r="L1174" s="1428"/>
      <c r="M1174" s="1676" t="str">
        <f t="shared" si="86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88"/>
        <v>0</v>
      </c>
      <c r="D1175" s="1683">
        <f t="shared" si="88"/>
        <v>0</v>
      </c>
      <c r="E1175" s="1683">
        <f t="shared" si="88"/>
        <v>0</v>
      </c>
      <c r="F1175" s="1683">
        <f t="shared" si="88"/>
        <v>0</v>
      </c>
      <c r="G1175" s="1372"/>
      <c r="H1175" s="1410"/>
      <c r="I1175" s="1410"/>
      <c r="J1175" s="1410"/>
      <c r="K1175" s="1410"/>
      <c r="L1175" s="1428"/>
      <c r="M1175" s="1676" t="str">
        <f t="shared" si="86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89">IF(C$1111=0,0,MAX(SUM(C916,M916)/C$1111,SUM(C916)/C$1111))</f>
        <v>0</v>
      </c>
      <c r="D1177" s="1683">
        <f t="shared" si="89"/>
        <v>0</v>
      </c>
      <c r="E1177" s="1683">
        <f t="shared" si="89"/>
        <v>0</v>
      </c>
      <c r="F1177" s="1683">
        <f t="shared" si="89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90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91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89"/>
        <v>0</v>
      </c>
      <c r="D1178" s="1683">
        <f t="shared" si="89"/>
        <v>0</v>
      </c>
      <c r="E1178" s="1683">
        <f t="shared" si="89"/>
        <v>0</v>
      </c>
      <c r="F1178" s="1683">
        <f t="shared" si="89"/>
        <v>0</v>
      </c>
      <c r="G1178" s="1372"/>
      <c r="H1178" s="1410"/>
      <c r="I1178" s="1410"/>
      <c r="J1178" s="1410"/>
      <c r="K1178" s="1651"/>
      <c r="L1178" s="1372"/>
      <c r="M1178" s="1676" t="str">
        <f t="shared" si="90"/>
        <v/>
      </c>
      <c r="N1178" s="1676" t="str">
        <f t="shared" si="91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89"/>
        <v>0</v>
      </c>
      <c r="D1179" s="1683">
        <f t="shared" si="89"/>
        <v>0</v>
      </c>
      <c r="E1179" s="1683">
        <f t="shared" si="89"/>
        <v>0</v>
      </c>
      <c r="F1179" s="1683">
        <f t="shared" si="89"/>
        <v>0</v>
      </c>
      <c r="G1179" s="1372"/>
      <c r="H1179" s="1410"/>
      <c r="I1179" s="1410"/>
      <c r="J1179" s="1410"/>
      <c r="K1179" s="1651"/>
      <c r="L1179" s="1372"/>
      <c r="M1179" s="1676" t="str">
        <f t="shared" si="90"/>
        <v/>
      </c>
      <c r="N1179" s="1676" t="str">
        <f t="shared" si="91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92">A920</f>
        <v>Camel sales - export: no. sold</v>
      </c>
      <c r="B1180" s="1372"/>
      <c r="C1180" s="1683">
        <f t="shared" ref="C1180:C1189" si="93">IF(C$1111=0,0,MAX(SUM(C920,M920)/C$1111,SUM(C920)/C$1111))</f>
        <v>0</v>
      </c>
      <c r="D1180" s="1683">
        <f t="shared" ref="D1180:D1189" si="94">IF(D$1111=0,0,MAX(SUM(D920,N920)/D$1111,SUM(D920)/D$1111))</f>
        <v>0</v>
      </c>
      <c r="E1180" s="1683">
        <f t="shared" ref="E1180:E1189" si="95">IF(E$1111=0,0,MAX(SUM(E920,O920)/E$1111,SUM(E920)/E$1111))</f>
        <v>0</v>
      </c>
      <c r="F1180" s="1683">
        <f t="shared" ref="F1180:F1189" si="96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90"/>
        <v/>
      </c>
      <c r="N1180" s="1676" t="str">
        <f t="shared" si="91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92"/>
        <v>Camel sales - local: no. sold</v>
      </c>
      <c r="B1181" s="1372"/>
      <c r="C1181" s="1683">
        <f t="shared" si="93"/>
        <v>0</v>
      </c>
      <c r="D1181" s="1683">
        <f t="shared" si="94"/>
        <v>0</v>
      </c>
      <c r="E1181" s="1683">
        <f t="shared" si="95"/>
        <v>0</v>
      </c>
      <c r="F1181" s="1683">
        <f t="shared" si="96"/>
        <v>0</v>
      </c>
      <c r="G1181" s="1372"/>
      <c r="H1181" s="1410"/>
      <c r="I1181" s="1410"/>
      <c r="J1181" s="1410"/>
      <c r="K1181" s="1651"/>
      <c r="L1181" s="1372"/>
      <c r="M1181" s="1676" t="str">
        <f t="shared" si="90"/>
        <v/>
      </c>
      <c r="N1181" s="1676" t="str">
        <f t="shared" si="91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92"/>
        <v>Fattened Ox sales: no. sold</v>
      </c>
      <c r="B1182" s="1372"/>
      <c r="C1182" s="1683">
        <f t="shared" si="93"/>
        <v>0</v>
      </c>
      <c r="D1182" s="1683">
        <f t="shared" si="94"/>
        <v>0</v>
      </c>
      <c r="E1182" s="1683">
        <f t="shared" si="95"/>
        <v>0</v>
      </c>
      <c r="F1182" s="1683">
        <f t="shared" si="96"/>
        <v>0</v>
      </c>
      <c r="G1182" s="1372"/>
      <c r="H1182" s="1410"/>
      <c r="I1182" s="1410"/>
      <c r="J1182" s="1410"/>
      <c r="K1182" s="1651"/>
      <c r="L1182" s="1372"/>
      <c r="M1182" s="1676" t="str">
        <f t="shared" si="90"/>
        <v/>
      </c>
      <c r="N1182" s="1676" t="str">
        <f t="shared" si="91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92"/>
        <v>Cattle sales - export: no. sold</v>
      </c>
      <c r="B1183" s="1372"/>
      <c r="C1183" s="1683">
        <f t="shared" si="93"/>
        <v>0</v>
      </c>
      <c r="D1183" s="1683">
        <f t="shared" si="94"/>
        <v>0</v>
      </c>
      <c r="E1183" s="1683">
        <f t="shared" si="95"/>
        <v>0</v>
      </c>
      <c r="F1183" s="1683">
        <f t="shared" si="96"/>
        <v>0</v>
      </c>
      <c r="G1183" s="1372"/>
      <c r="H1183" s="1410"/>
      <c r="I1183" s="1410"/>
      <c r="J1183" s="1410"/>
      <c r="K1183" s="1651"/>
      <c r="L1183" s="1372"/>
      <c r="M1183" s="1676" t="str">
        <f t="shared" si="90"/>
        <v/>
      </c>
      <c r="N1183" s="1676" t="str">
        <f t="shared" si="91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92"/>
        <v>Cattle sales - local: no. sold</v>
      </c>
      <c r="B1184" s="1372"/>
      <c r="C1184" s="1683">
        <f t="shared" si="93"/>
        <v>0</v>
      </c>
      <c r="D1184" s="1683">
        <f t="shared" si="94"/>
        <v>0</v>
      </c>
      <c r="E1184" s="1683">
        <f t="shared" si="95"/>
        <v>0</v>
      </c>
      <c r="F1184" s="1683">
        <f t="shared" si="96"/>
        <v>0</v>
      </c>
      <c r="G1184" s="1372"/>
      <c r="H1184" s="1410"/>
      <c r="I1184" s="1410"/>
      <c r="J1184" s="1410"/>
      <c r="K1184" s="1651"/>
      <c r="L1184" s="1372"/>
      <c r="M1184" s="1676" t="str">
        <f t="shared" si="90"/>
        <v/>
      </c>
      <c r="N1184" s="1676" t="str">
        <f t="shared" si="91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92"/>
        <v>Goat sales - export: no. sold</v>
      </c>
      <c r="B1185" s="1372"/>
      <c r="C1185" s="1683">
        <f t="shared" si="93"/>
        <v>0</v>
      </c>
      <c r="D1185" s="1683">
        <f t="shared" si="94"/>
        <v>0</v>
      </c>
      <c r="E1185" s="1683">
        <f t="shared" si="95"/>
        <v>0</v>
      </c>
      <c r="F1185" s="1683">
        <f t="shared" si="96"/>
        <v>0</v>
      </c>
      <c r="G1185" s="1372"/>
      <c r="H1185" s="1410"/>
      <c r="I1185" s="1410"/>
      <c r="J1185" s="1410"/>
      <c r="K1185" s="1651"/>
      <c r="L1185" s="1372"/>
      <c r="M1185" s="1676" t="str">
        <f t="shared" si="90"/>
        <v/>
      </c>
      <c r="N1185" s="1676" t="str">
        <f t="shared" si="91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92"/>
        <v>Goat sales - local: no. sold</v>
      </c>
      <c r="B1186" s="1372"/>
      <c r="C1186" s="1683">
        <f t="shared" si="93"/>
        <v>0</v>
      </c>
      <c r="D1186" s="1683">
        <f t="shared" si="94"/>
        <v>0</v>
      </c>
      <c r="E1186" s="1683">
        <f t="shared" si="95"/>
        <v>0</v>
      </c>
      <c r="F1186" s="1683">
        <f t="shared" si="96"/>
        <v>0</v>
      </c>
      <c r="G1186" s="1372"/>
      <c r="H1186" s="1410"/>
      <c r="I1186" s="1410"/>
      <c r="J1186" s="1410"/>
      <c r="K1186" s="1651"/>
      <c r="L1186" s="1372"/>
      <c r="M1186" s="1676" t="str">
        <f t="shared" si="90"/>
        <v/>
      </c>
      <c r="N1186" s="1676" t="str">
        <f t="shared" si="91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92"/>
        <v>Sheep sales - export: no. sold</v>
      </c>
      <c r="B1187" s="1372"/>
      <c r="C1187" s="1683">
        <f t="shared" si="93"/>
        <v>0</v>
      </c>
      <c r="D1187" s="1683">
        <f t="shared" si="94"/>
        <v>0</v>
      </c>
      <c r="E1187" s="1683">
        <f t="shared" si="95"/>
        <v>0</v>
      </c>
      <c r="F1187" s="1683">
        <f t="shared" si="96"/>
        <v>0</v>
      </c>
      <c r="G1187" s="1372"/>
      <c r="H1187" s="1410"/>
      <c r="I1187" s="1410"/>
      <c r="J1187" s="1410"/>
      <c r="K1187" s="1651"/>
      <c r="L1187" s="1372"/>
      <c r="M1187" s="1676" t="str">
        <f t="shared" si="90"/>
        <v/>
      </c>
      <c r="N1187" s="1676" t="str">
        <f t="shared" si="91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92"/>
        <v>Sheep sales - local: no. sold</v>
      </c>
      <c r="B1188" s="1372"/>
      <c r="C1188" s="1683">
        <f t="shared" si="93"/>
        <v>0</v>
      </c>
      <c r="D1188" s="1683">
        <f t="shared" si="94"/>
        <v>0</v>
      </c>
      <c r="E1188" s="1683">
        <f t="shared" si="95"/>
        <v>0</v>
      </c>
      <c r="F1188" s="1683">
        <f t="shared" si="96"/>
        <v>0</v>
      </c>
      <c r="G1188" s="1372"/>
      <c r="H1188" s="1410"/>
      <c r="I1188" s="1410"/>
      <c r="J1188" s="1410"/>
      <c r="K1188" s="1651"/>
      <c r="L1188" s="1372"/>
      <c r="M1188" s="1676" t="str">
        <f t="shared" si="90"/>
        <v/>
      </c>
      <c r="N1188" s="1676" t="str">
        <f t="shared" si="91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92"/>
        <v>Chicken sales: no. sold</v>
      </c>
      <c r="B1189" s="1372"/>
      <c r="C1189" s="1683">
        <f t="shared" si="93"/>
        <v>0</v>
      </c>
      <c r="D1189" s="1683">
        <f t="shared" si="94"/>
        <v>0</v>
      </c>
      <c r="E1189" s="1683">
        <f t="shared" si="95"/>
        <v>0</v>
      </c>
      <c r="F1189" s="1683">
        <f t="shared" si="96"/>
        <v>0</v>
      </c>
      <c r="G1189" s="1372"/>
      <c r="H1189" s="1410"/>
      <c r="I1189" s="1410"/>
      <c r="J1189" s="1410"/>
      <c r="K1189" s="1651"/>
      <c r="L1189" s="1372"/>
      <c r="M1189" s="1676" t="str">
        <f t="shared" si="90"/>
        <v/>
      </c>
      <c r="N1189" s="1676" t="str">
        <f t="shared" si="91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97">IF(C$1111=0,0,MAX(SUM(C965,M965)/C$1111,SUM(C965)/C$1111))</f>
        <v>0.34711917345647875</v>
      </c>
      <c r="D1190" s="1683">
        <f t="shared" si="97"/>
        <v>1.0560503954363771</v>
      </c>
      <c r="E1190" s="1683">
        <f t="shared" si="97"/>
        <v>0</v>
      </c>
      <c r="F1190" s="1683">
        <f t="shared" si="97"/>
        <v>0</v>
      </c>
      <c r="G1190" s="1372"/>
      <c r="H1190" s="1410"/>
      <c r="I1190" s="1410"/>
      <c r="J1190" s="1410"/>
      <c r="K1190" s="1651"/>
      <c r="L1190" s="1372"/>
      <c r="M1190" s="1676" t="str">
        <f t="shared" si="90"/>
        <v>yes</v>
      </c>
      <c r="N1190" s="1676" t="str">
        <f t="shared" si="91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97"/>
        <v>0.35354730629826542</v>
      </c>
      <c r="D1191" s="1683">
        <f t="shared" si="97"/>
        <v>0</v>
      </c>
      <c r="E1191" s="1683">
        <f t="shared" si="97"/>
        <v>0</v>
      </c>
      <c r="F1191" s="1683">
        <f t="shared" si="97"/>
        <v>0</v>
      </c>
      <c r="G1191" s="1372"/>
      <c r="H1191" s="1410"/>
      <c r="I1191" s="1410"/>
      <c r="J1191" s="1410"/>
      <c r="K1191" s="1651"/>
      <c r="L1191" s="1372"/>
      <c r="M1191" s="1676" t="str">
        <f t="shared" si="90"/>
        <v>yes</v>
      </c>
      <c r="N1191" s="1676" t="str">
        <f t="shared" si="91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97"/>
        <v>0.27549140750514189</v>
      </c>
      <c r="D1192" s="1683">
        <f t="shared" si="97"/>
        <v>0.27549140750514189</v>
      </c>
      <c r="E1192" s="1683">
        <f t="shared" si="97"/>
        <v>0</v>
      </c>
      <c r="F1192" s="1683">
        <f t="shared" si="97"/>
        <v>0</v>
      </c>
      <c r="G1192" s="1372"/>
      <c r="H1192" s="1410"/>
      <c r="I1192" s="1410"/>
      <c r="J1192" s="1410"/>
      <c r="K1192" s="1651"/>
      <c r="L1192" s="1372"/>
      <c r="M1192" s="1676" t="str">
        <f t="shared" si="90"/>
        <v>yes</v>
      </c>
      <c r="N1192" s="1676" t="str">
        <f t="shared" si="91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90"/>
        <v/>
      </c>
      <c r="N1193" s="1676" t="str">
        <f t="shared" si="91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0.38568797050719861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90"/>
        <v>yes</v>
      </c>
      <c r="N1194" s="1676" t="str">
        <f t="shared" si="91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98">IF(C$1111=0,0,MAX(SUM(C972,M972)/C$1111,SUM(C972)/C$1111))</f>
        <v>0</v>
      </c>
      <c r="D1195" s="1683">
        <f t="shared" si="98"/>
        <v>0</v>
      </c>
      <c r="E1195" s="1683">
        <f t="shared" si="98"/>
        <v>0</v>
      </c>
      <c r="F1195" s="1683">
        <f t="shared" si="98"/>
        <v>0</v>
      </c>
      <c r="G1195" s="1372"/>
      <c r="H1195" s="1410"/>
      <c r="I1195" s="1410"/>
      <c r="J1195" s="1410"/>
      <c r="K1195" s="1651"/>
      <c r="L1195" s="1372"/>
      <c r="M1195" s="1676" t="str">
        <f t="shared" si="90"/>
        <v/>
      </c>
      <c r="N1195" s="1676" t="str">
        <f t="shared" si="91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98"/>
        <v>0.49588453350925538</v>
      </c>
      <c r="D1196" s="1683">
        <f t="shared" si="98"/>
        <v>0</v>
      </c>
      <c r="E1196" s="1683">
        <f t="shared" si="98"/>
        <v>0</v>
      </c>
      <c r="F1196" s="1683">
        <f t="shared" si="98"/>
        <v>0</v>
      </c>
      <c r="G1196" s="1372"/>
      <c r="H1196" s="1410"/>
      <c r="I1196" s="1410"/>
      <c r="J1196" s="1410"/>
      <c r="K1196" s="1651"/>
      <c r="L1196" s="1372"/>
      <c r="M1196" s="1676" t="str">
        <f t="shared" si="90"/>
        <v>yes</v>
      </c>
      <c r="N1196" s="1676" t="str">
        <f t="shared" si="91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2.5345209490473053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90"/>
        <v>yes</v>
      </c>
      <c r="N1197" s="1676" t="str">
        <f t="shared" si="91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90"/>
        <v>yes</v>
      </c>
      <c r="N1198" s="1676" t="str">
        <f t="shared" si="91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90"/>
        <v>yes</v>
      </c>
      <c r="N1199" s="1676" t="str">
        <f t="shared" si="91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90"/>
        <v/>
      </c>
      <c r="N1200" s="1676" t="str">
        <f t="shared" si="91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90"/>
        <v/>
      </c>
      <c r="N1201" s="1676" t="str">
        <f t="shared" si="91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30" t="s">
        <v>573</v>
      </c>
      <c r="D42" s="1930"/>
      <c r="E42" s="1930"/>
      <c r="F42" s="1930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30" t="s">
        <v>573</v>
      </c>
      <c r="D70" s="1930"/>
      <c r="E70" s="1930"/>
      <c r="F70" s="1930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30" t="s">
        <v>573</v>
      </c>
      <c r="D83" s="1930"/>
      <c r="E83" s="1930"/>
      <c r="F83" s="1930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30" t="s">
        <v>573</v>
      </c>
      <c r="D86" s="1930"/>
      <c r="E86" s="1930"/>
      <c r="F86" s="1930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30" t="s">
        <v>573</v>
      </c>
      <c r="D89" s="1930"/>
      <c r="E89" s="1930"/>
      <c r="F89" s="1930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30" t="s">
        <v>573</v>
      </c>
      <c r="D92" s="1930"/>
      <c r="E92" s="1930"/>
      <c r="F92" s="1930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30" t="s">
        <v>573</v>
      </c>
      <c r="D95" s="1930"/>
      <c r="E95" s="1930"/>
      <c r="F95" s="1930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9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4" t="s">
        <v>910</v>
      </c>
      <c r="C1" s="1934"/>
      <c r="D1" s="1934"/>
      <c r="E1" s="1934"/>
      <c r="F1" s="1934"/>
      <c r="G1" s="1934"/>
      <c r="H1" s="1934"/>
      <c r="I1" s="1934"/>
      <c r="J1" s="1934"/>
      <c r="K1" s="1934"/>
      <c r="L1" s="1934"/>
      <c r="M1" s="1934"/>
      <c r="N1" s="1934" t="s">
        <v>911</v>
      </c>
      <c r="O1" s="1934"/>
      <c r="P1" s="1934"/>
      <c r="Q1" s="1934"/>
      <c r="R1" s="1934"/>
      <c r="S1" s="1934"/>
      <c r="T1" s="1934"/>
      <c r="U1" s="1934"/>
      <c r="V1" s="1934"/>
      <c r="W1" s="1934"/>
      <c r="X1" s="1934"/>
      <c r="Y1" s="1934"/>
      <c r="Z1" s="1934" t="s">
        <v>910</v>
      </c>
      <c r="AA1" s="1934"/>
      <c r="AB1" s="1934"/>
      <c r="AC1" s="1934"/>
      <c r="AD1" s="1934"/>
      <c r="AE1" s="1934"/>
      <c r="AF1" s="1934"/>
      <c r="AG1" s="1934"/>
      <c r="AH1" s="1934"/>
      <c r="AI1" s="1934"/>
      <c r="AJ1" s="1934"/>
      <c r="AK1" s="1934"/>
      <c r="AL1" s="1934" t="s">
        <v>912</v>
      </c>
      <c r="AM1" s="1934"/>
      <c r="AN1" s="1934"/>
      <c r="AO1" s="1934"/>
      <c r="AP1" s="1934"/>
      <c r="AQ1" s="1934"/>
      <c r="AR1" s="1934"/>
      <c r="AS1" s="1934"/>
      <c r="AT1" s="1934"/>
      <c r="AU1" s="1934"/>
      <c r="AV1" s="1934"/>
      <c r="AW1" s="1934"/>
      <c r="AX1" s="1934" t="s">
        <v>912</v>
      </c>
      <c r="AY1" s="1934"/>
      <c r="AZ1" s="1934"/>
      <c r="BA1" s="1934"/>
      <c r="BB1" s="1934"/>
      <c r="BC1" s="1934"/>
      <c r="BD1" s="1934"/>
      <c r="BE1" s="1934"/>
      <c r="BF1" s="1934"/>
      <c r="BG1" s="1934"/>
      <c r="BH1" s="1934"/>
      <c r="BI1" s="1934"/>
      <c r="BJ1" s="1935" t="s">
        <v>912</v>
      </c>
      <c r="BK1" s="1935"/>
      <c r="BL1" s="1935"/>
      <c r="BM1" s="1935"/>
      <c r="BN1" s="1935"/>
      <c r="BO1" s="1935"/>
      <c r="BP1" s="1935"/>
      <c r="BQ1" s="1935"/>
      <c r="BR1" s="1935"/>
      <c r="BS1" s="1935"/>
      <c r="BT1" s="1935"/>
      <c r="BU1" s="1935"/>
      <c r="BV1" s="1934" t="s">
        <v>912</v>
      </c>
      <c r="BW1" s="1934"/>
      <c r="BX1" s="1934"/>
      <c r="BY1" s="1934"/>
      <c r="BZ1" s="1934"/>
      <c r="CA1" s="1934"/>
      <c r="CB1" s="1934"/>
      <c r="CC1" s="1934"/>
      <c r="CD1" s="1934"/>
      <c r="CE1" s="1934"/>
      <c r="CF1" s="1934"/>
      <c r="CG1" s="1934"/>
      <c r="CH1" s="1934" t="s">
        <v>913</v>
      </c>
      <c r="CI1" s="1934"/>
      <c r="CJ1" s="1934"/>
      <c r="CK1" s="1934"/>
      <c r="CL1" s="1934"/>
      <c r="CM1" s="1934"/>
      <c r="CN1" s="1934"/>
      <c r="CO1" s="1934"/>
      <c r="CP1" s="1934"/>
      <c r="CQ1" s="1934"/>
      <c r="CR1" s="1934"/>
      <c r="CS1" s="1934"/>
      <c r="CT1" s="1934" t="s">
        <v>912</v>
      </c>
      <c r="CU1" s="1934"/>
      <c r="CV1" s="1934"/>
      <c r="CW1" s="1934"/>
      <c r="CX1" s="1934"/>
      <c r="CY1" s="1934"/>
      <c r="CZ1" s="1934"/>
      <c r="DA1" s="1934"/>
      <c r="DB1" s="1934"/>
      <c r="DC1" s="1934"/>
      <c r="DD1" s="1934"/>
      <c r="DE1" s="1934"/>
      <c r="DF1" s="1934" t="s">
        <v>912</v>
      </c>
      <c r="DG1" s="1934"/>
      <c r="DH1" s="1934"/>
      <c r="DI1" s="1934"/>
      <c r="DJ1" s="1934"/>
      <c r="DK1" s="1934"/>
      <c r="DL1" s="1934"/>
      <c r="DM1" s="1934"/>
      <c r="DN1" s="1934"/>
      <c r="DO1" s="1934"/>
      <c r="DP1" s="1934"/>
      <c r="DQ1" s="1934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4" t="s">
        <v>884</v>
      </c>
      <c r="C2" s="1934"/>
      <c r="D2" s="1934"/>
      <c r="E2" s="1934"/>
      <c r="F2" s="1934"/>
      <c r="G2" s="1934"/>
      <c r="H2" s="1934"/>
      <c r="I2" s="1934"/>
      <c r="J2" s="1934"/>
      <c r="K2" s="1934"/>
      <c r="L2" s="1934"/>
      <c r="M2" s="1934"/>
      <c r="N2" s="1934" t="s">
        <v>886</v>
      </c>
      <c r="O2" s="1934"/>
      <c r="P2" s="1934"/>
      <c r="Q2" s="1934"/>
      <c r="R2" s="1934"/>
      <c r="S2" s="1934"/>
      <c r="T2" s="1934"/>
      <c r="U2" s="1934"/>
      <c r="V2" s="1934"/>
      <c r="W2" s="1934"/>
      <c r="X2" s="1934"/>
      <c r="Y2" s="1934"/>
      <c r="Z2" s="1934" t="s">
        <v>886</v>
      </c>
      <c r="AA2" s="1934"/>
      <c r="AB2" s="1934"/>
      <c r="AC2" s="1934"/>
      <c r="AD2" s="1934"/>
      <c r="AE2" s="1934"/>
      <c r="AF2" s="1934"/>
      <c r="AG2" s="1934"/>
      <c r="AH2" s="1934"/>
      <c r="AI2" s="1934"/>
      <c r="AJ2" s="1934"/>
      <c r="AK2" s="1934"/>
      <c r="AL2" s="1934" t="s">
        <v>890</v>
      </c>
      <c r="AM2" s="1934"/>
      <c r="AN2" s="1934"/>
      <c r="AO2" s="1934"/>
      <c r="AP2" s="1934"/>
      <c r="AQ2" s="1934"/>
      <c r="AR2" s="1934"/>
      <c r="AS2" s="1934"/>
      <c r="AT2" s="1934"/>
      <c r="AU2" s="1934"/>
      <c r="AV2" s="1934"/>
      <c r="AW2" s="1934"/>
      <c r="AX2" s="1934" t="s">
        <v>890</v>
      </c>
      <c r="AY2" s="1934"/>
      <c r="AZ2" s="1934"/>
      <c r="BA2" s="1934"/>
      <c r="BB2" s="1934"/>
      <c r="BC2" s="1934"/>
      <c r="BD2" s="1934"/>
      <c r="BE2" s="1934"/>
      <c r="BF2" s="1934"/>
      <c r="BG2" s="1934"/>
      <c r="BH2" s="1934"/>
      <c r="BI2" s="1934"/>
      <c r="BJ2" s="1935" t="s">
        <v>891</v>
      </c>
      <c r="BK2" s="1935"/>
      <c r="BL2" s="1935"/>
      <c r="BM2" s="1935"/>
      <c r="BN2" s="1935"/>
      <c r="BO2" s="1935"/>
      <c r="BP2" s="1935"/>
      <c r="BQ2" s="1935"/>
      <c r="BR2" s="1935"/>
      <c r="BS2" s="1935"/>
      <c r="BT2" s="1935"/>
      <c r="BU2" s="1935"/>
      <c r="BV2" s="1934" t="s">
        <v>890</v>
      </c>
      <c r="BW2" s="1934"/>
      <c r="BX2" s="1934"/>
      <c r="BY2" s="1934"/>
      <c r="BZ2" s="1934"/>
      <c r="CA2" s="1934"/>
      <c r="CB2" s="1934"/>
      <c r="CC2" s="1934"/>
      <c r="CD2" s="1934"/>
      <c r="CE2" s="1934"/>
      <c r="CF2" s="1934"/>
      <c r="CG2" s="1934"/>
      <c r="CH2" s="1934" t="s">
        <v>891</v>
      </c>
      <c r="CI2" s="1934"/>
      <c r="CJ2" s="1934"/>
      <c r="CK2" s="1934"/>
      <c r="CL2" s="1934"/>
      <c r="CM2" s="1934"/>
      <c r="CN2" s="1934"/>
      <c r="CO2" s="1934"/>
      <c r="CP2" s="1934"/>
      <c r="CQ2" s="1934"/>
      <c r="CR2" s="1934"/>
      <c r="CS2" s="1934"/>
      <c r="CT2" s="1934" t="s">
        <v>891</v>
      </c>
      <c r="CU2" s="1934"/>
      <c r="CV2" s="1934"/>
      <c r="CW2" s="1934"/>
      <c r="CX2" s="1934"/>
      <c r="CY2" s="1934"/>
      <c r="CZ2" s="1934"/>
      <c r="DA2" s="1934"/>
      <c r="DB2" s="1934"/>
      <c r="DC2" s="1934"/>
      <c r="DD2" s="1934"/>
      <c r="DE2" s="1934"/>
      <c r="DF2" s="1934" t="s">
        <v>891</v>
      </c>
      <c r="DG2" s="1934"/>
      <c r="DH2" s="1934"/>
      <c r="DI2" s="1934"/>
      <c r="DJ2" s="1934"/>
      <c r="DK2" s="1934"/>
      <c r="DL2" s="1934"/>
      <c r="DM2" s="1934"/>
      <c r="DN2" s="1934"/>
      <c r="DO2" s="1934"/>
      <c r="DP2" s="1934"/>
      <c r="DQ2" s="1934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4" t="s">
        <v>885</v>
      </c>
      <c r="C3" s="1934"/>
      <c r="D3" s="1934"/>
      <c r="E3" s="1934"/>
      <c r="F3" s="1934"/>
      <c r="G3" s="1934"/>
      <c r="H3" s="1934"/>
      <c r="I3" s="1934"/>
      <c r="J3" s="1934"/>
      <c r="K3" s="1934"/>
      <c r="L3" s="1934"/>
      <c r="M3" s="1934"/>
      <c r="N3" s="1934" t="s">
        <v>887</v>
      </c>
      <c r="O3" s="1934"/>
      <c r="P3" s="1934"/>
      <c r="Q3" s="1934"/>
      <c r="R3" s="1934"/>
      <c r="S3" s="1934"/>
      <c r="T3" s="1934"/>
      <c r="U3" s="1934"/>
      <c r="V3" s="1934"/>
      <c r="W3" s="1934"/>
      <c r="X3" s="1934"/>
      <c r="Y3" s="1934"/>
      <c r="Z3" s="1934" t="s">
        <v>914</v>
      </c>
      <c r="AA3" s="1934"/>
      <c r="AB3" s="1934"/>
      <c r="AC3" s="1934"/>
      <c r="AD3" s="1934"/>
      <c r="AE3" s="1934"/>
      <c r="AF3" s="1934"/>
      <c r="AG3" s="1934"/>
      <c r="AH3" s="1934"/>
      <c r="AI3" s="1934"/>
      <c r="AJ3" s="1934"/>
      <c r="AK3" s="1934"/>
      <c r="AL3" s="1934" t="s">
        <v>888</v>
      </c>
      <c r="AM3" s="1934"/>
      <c r="AN3" s="1934"/>
      <c r="AO3" s="1934"/>
      <c r="AP3" s="1934"/>
      <c r="AQ3" s="1934"/>
      <c r="AR3" s="1934"/>
      <c r="AS3" s="1934"/>
      <c r="AT3" s="1934"/>
      <c r="AU3" s="1934"/>
      <c r="AV3" s="1934"/>
      <c r="AW3" s="1934"/>
      <c r="AX3" s="1934" t="s">
        <v>889</v>
      </c>
      <c r="AY3" s="1934"/>
      <c r="AZ3" s="1934"/>
      <c r="BA3" s="1934"/>
      <c r="BB3" s="1934"/>
      <c r="BC3" s="1934"/>
      <c r="BD3" s="1934"/>
      <c r="BE3" s="1934"/>
      <c r="BF3" s="1934"/>
      <c r="BG3" s="1934"/>
      <c r="BH3" s="1934"/>
      <c r="BI3" s="1934"/>
      <c r="BJ3" s="1931" t="s">
        <v>915</v>
      </c>
      <c r="BK3" s="1932"/>
      <c r="BL3" s="1932"/>
      <c r="BM3" s="1932"/>
      <c r="BN3" s="1932"/>
      <c r="BO3" s="1932"/>
      <c r="BP3" s="1932"/>
      <c r="BQ3" s="1932"/>
      <c r="BR3" s="1932"/>
      <c r="BS3" s="1932"/>
      <c r="BT3" s="1932"/>
      <c r="BU3" s="1933"/>
      <c r="BV3" s="1934" t="s">
        <v>916</v>
      </c>
      <c r="BW3" s="1934"/>
      <c r="BX3" s="1934"/>
      <c r="BY3" s="1934"/>
      <c r="BZ3" s="1934"/>
      <c r="CA3" s="1934"/>
      <c r="CB3" s="1934"/>
      <c r="CC3" s="1934"/>
      <c r="CD3" s="1934"/>
      <c r="CE3" s="1934"/>
      <c r="CF3" s="1934"/>
      <c r="CG3" s="1934"/>
      <c r="CH3" s="1934" t="s">
        <v>917</v>
      </c>
      <c r="CI3" s="1934"/>
      <c r="CJ3" s="1934"/>
      <c r="CK3" s="1934"/>
      <c r="CL3" s="1934"/>
      <c r="CM3" s="1934"/>
      <c r="CN3" s="1934"/>
      <c r="CO3" s="1934"/>
      <c r="CP3" s="1934"/>
      <c r="CQ3" s="1934"/>
      <c r="CR3" s="1934"/>
      <c r="CS3" s="1934"/>
      <c r="CT3" s="1934" t="s">
        <v>918</v>
      </c>
      <c r="CU3" s="1934"/>
      <c r="CV3" s="1934"/>
      <c r="CW3" s="1934"/>
      <c r="CX3" s="1934"/>
      <c r="CY3" s="1934"/>
      <c r="CZ3" s="1934"/>
      <c r="DA3" s="1934"/>
      <c r="DB3" s="1934"/>
      <c r="DC3" s="1934"/>
      <c r="DD3" s="1934"/>
      <c r="DE3" s="1934"/>
      <c r="DF3" s="1934" t="s">
        <v>919</v>
      </c>
      <c r="DG3" s="1934"/>
      <c r="DH3" s="1934"/>
      <c r="DI3" s="1934"/>
      <c r="DJ3" s="1934"/>
      <c r="DK3" s="1934"/>
      <c r="DL3" s="1934"/>
      <c r="DM3" s="1934"/>
      <c r="DN3" s="1934"/>
      <c r="DO3" s="1934"/>
      <c r="DP3" s="1934"/>
      <c r="DQ3" s="1934"/>
      <c r="DR3" s="1934" t="s">
        <v>746</v>
      </c>
      <c r="DS3" s="1934"/>
      <c r="DT3" s="1934"/>
      <c r="DU3" s="1934"/>
      <c r="DV3" s="1934"/>
      <c r="DW3" s="1934"/>
      <c r="DX3" s="1934"/>
      <c r="DY3" s="1934"/>
      <c r="DZ3" s="1934"/>
      <c r="EA3" s="1934"/>
      <c r="EB3" s="1934"/>
      <c r="EC3" s="1934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2016-08-05T12:33:33Z</dcterms:modified>
  <cp:category/>
</cp:coreProperties>
</file>