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7720" windowHeight="167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8" l="1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E17" i="7"/>
  <c r="E17" i="8"/>
  <c r="H17" i="8"/>
  <c r="I17" i="8"/>
  <c r="B18" i="8"/>
  <c r="C18" i="8"/>
  <c r="D18" i="8"/>
  <c r="E18" i="7"/>
  <c r="E18" i="8"/>
  <c r="H18" i="8"/>
  <c r="I18" i="8"/>
  <c r="B19" i="8"/>
  <c r="C19" i="8"/>
  <c r="D19" i="8"/>
  <c r="E19" i="7"/>
  <c r="E19" i="8"/>
  <c r="H19" i="8"/>
  <c r="I19" i="8"/>
  <c r="B20" i="8"/>
  <c r="C20" i="8"/>
  <c r="D20" i="8"/>
  <c r="I20" i="8"/>
  <c r="B21" i="8"/>
  <c r="C21" i="8"/>
  <c r="D21" i="8"/>
  <c r="E21" i="7"/>
  <c r="E21" i="8"/>
  <c r="H21" i="8"/>
  <c r="I21" i="8"/>
  <c r="B22" i="8"/>
  <c r="C22" i="8"/>
  <c r="D22" i="8"/>
  <c r="E22" i="7"/>
  <c r="E22" i="8"/>
  <c r="H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B37" i="8"/>
  <c r="B80" i="8"/>
  <c r="B82" i="8"/>
  <c r="B81" i="8"/>
  <c r="B83" i="8"/>
  <c r="B91" i="8"/>
  <c r="C37" i="8"/>
  <c r="C91" i="8"/>
  <c r="D91" i="8"/>
  <c r="E37" i="7"/>
  <c r="E37" i="8"/>
  <c r="F37" i="7"/>
  <c r="F37" i="8"/>
  <c r="G37" i="7"/>
  <c r="G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G39" i="8"/>
  <c r="F39" i="7"/>
  <c r="F39" i="8"/>
  <c r="H93" i="8"/>
  <c r="I93" i="8"/>
  <c r="B40" i="8"/>
  <c r="B94" i="8"/>
  <c r="C40" i="8"/>
  <c r="C94" i="8"/>
  <c r="D94" i="8"/>
  <c r="E40" i="1"/>
  <c r="E40" i="7"/>
  <c r="E40" i="8"/>
  <c r="G40" i="8"/>
  <c r="F40" i="7"/>
  <c r="F40" i="8"/>
  <c r="H94" i="8"/>
  <c r="I94" i="8"/>
  <c r="B41" i="8"/>
  <c r="B95" i="8"/>
  <c r="C41" i="8"/>
  <c r="C95" i="8"/>
  <c r="D95" i="8"/>
  <c r="G41" i="8"/>
  <c r="F41" i="7"/>
  <c r="F41" i="8"/>
  <c r="E41" i="1"/>
  <c r="E41" i="7"/>
  <c r="E41" i="8"/>
  <c r="H95" i="8"/>
  <c r="I95" i="8"/>
  <c r="B42" i="8"/>
  <c r="B96" i="8"/>
  <c r="C42" i="8"/>
  <c r="C96" i="8"/>
  <c r="D96" i="8"/>
  <c r="G42" i="8"/>
  <c r="F42" i="7"/>
  <c r="F42" i="8"/>
  <c r="E42" i="1"/>
  <c r="E42" i="7"/>
  <c r="E42" i="8"/>
  <c r="H96" i="8"/>
  <c r="I96" i="8"/>
  <c r="B43" i="8"/>
  <c r="B97" i="8"/>
  <c r="C43" i="8"/>
  <c r="C97" i="8"/>
  <c r="D97" i="8"/>
  <c r="G43" i="8"/>
  <c r="F43" i="7"/>
  <c r="F43" i="8"/>
  <c r="E43" i="1"/>
  <c r="E43" i="7"/>
  <c r="E43" i="8"/>
  <c r="H97" i="8"/>
  <c r="I97" i="8"/>
  <c r="B44" i="8"/>
  <c r="B98" i="8"/>
  <c r="C44" i="8"/>
  <c r="C98" i="8"/>
  <c r="D98" i="8"/>
  <c r="G44" i="8"/>
  <c r="F44" i="7"/>
  <c r="F44" i="8"/>
  <c r="E44" i="1"/>
  <c r="E44" i="7"/>
  <c r="E44" i="8"/>
  <c r="H98" i="8"/>
  <c r="I98" i="8"/>
  <c r="B45" i="8"/>
  <c r="B99" i="8"/>
  <c r="C45" i="8"/>
  <c r="C99" i="8"/>
  <c r="D99" i="8"/>
  <c r="G45" i="8"/>
  <c r="F45" i="7"/>
  <c r="F45" i="8"/>
  <c r="E45" i="1"/>
  <c r="E45" i="7"/>
  <c r="E45" i="8"/>
  <c r="H99" i="8"/>
  <c r="I99" i="8"/>
  <c r="B46" i="8"/>
  <c r="B100" i="8"/>
  <c r="C46" i="8"/>
  <c r="C100" i="8"/>
  <c r="D100" i="8"/>
  <c r="G46" i="8"/>
  <c r="F46" i="7"/>
  <c r="F46" i="8"/>
  <c r="E46" i="1"/>
  <c r="E46" i="7"/>
  <c r="E46" i="8"/>
  <c r="H100" i="8"/>
  <c r="I100" i="8"/>
  <c r="B47" i="8"/>
  <c r="B101" i="8"/>
  <c r="C47" i="8"/>
  <c r="C101" i="8"/>
  <c r="D101" i="8"/>
  <c r="G47" i="8"/>
  <c r="F47" i="7"/>
  <c r="F47" i="8"/>
  <c r="E47" i="7"/>
  <c r="E47" i="8"/>
  <c r="H101" i="8"/>
  <c r="I101" i="8"/>
  <c r="B48" i="8"/>
  <c r="B102" i="8"/>
  <c r="C48" i="8"/>
  <c r="C102" i="8"/>
  <c r="D102" i="8"/>
  <c r="G48" i="8"/>
  <c r="F48" i="7"/>
  <c r="F48" i="8"/>
  <c r="E48" i="7"/>
  <c r="E48" i="8"/>
  <c r="H102" i="8"/>
  <c r="I102" i="8"/>
  <c r="B49" i="8"/>
  <c r="B103" i="8"/>
  <c r="C49" i="8"/>
  <c r="C103" i="8"/>
  <c r="D103" i="8"/>
  <c r="G49" i="8"/>
  <c r="F49" i="7"/>
  <c r="F49" i="8"/>
  <c r="E49" i="7"/>
  <c r="E49" i="8"/>
  <c r="H103" i="8"/>
  <c r="I103" i="8"/>
  <c r="B50" i="8"/>
  <c r="B104" i="8"/>
  <c r="C50" i="8"/>
  <c r="C104" i="8"/>
  <c r="D104" i="8"/>
  <c r="G50" i="8"/>
  <c r="F50" i="7"/>
  <c r="F50" i="8"/>
  <c r="E50" i="7"/>
  <c r="E50" i="8"/>
  <c r="H104" i="8"/>
  <c r="I104" i="8"/>
  <c r="B51" i="8"/>
  <c r="B105" i="8"/>
  <c r="C51" i="8"/>
  <c r="C105" i="8"/>
  <c r="D105" i="8"/>
  <c r="G51" i="8"/>
  <c r="F51" i="7"/>
  <c r="F51" i="8"/>
  <c r="E51" i="7"/>
  <c r="E51" i="8"/>
  <c r="H105" i="8"/>
  <c r="I105" i="8"/>
  <c r="B52" i="8"/>
  <c r="B106" i="8"/>
  <c r="C52" i="8"/>
  <c r="C106" i="8"/>
  <c r="D106" i="8"/>
  <c r="G52" i="8"/>
  <c r="F52" i="7"/>
  <c r="F52" i="8"/>
  <c r="E52" i="7"/>
  <c r="E52" i="8"/>
  <c r="H106" i="8"/>
  <c r="I106" i="8"/>
  <c r="B53" i="8"/>
  <c r="B107" i="8"/>
  <c r="C53" i="8"/>
  <c r="C107" i="8"/>
  <c r="D107" i="8"/>
  <c r="E53" i="7"/>
  <c r="E53" i="8"/>
  <c r="G53" i="8"/>
  <c r="H107" i="8"/>
  <c r="I107" i="8"/>
  <c r="B54" i="8"/>
  <c r="B108" i="8"/>
  <c r="C54" i="8"/>
  <c r="C108" i="8"/>
  <c r="D108" i="8"/>
  <c r="E54" i="7"/>
  <c r="E54" i="8"/>
  <c r="G54" i="8"/>
  <c r="F54" i="7"/>
  <c r="F54" i="8"/>
  <c r="H108" i="8"/>
  <c r="I108" i="8"/>
  <c r="B55" i="8"/>
  <c r="B109" i="8"/>
  <c r="C55" i="8"/>
  <c r="C109" i="8"/>
  <c r="D109" i="8"/>
  <c r="G55" i="8"/>
  <c r="F55" i="7"/>
  <c r="F55" i="8"/>
  <c r="H109" i="8"/>
  <c r="I109" i="8"/>
  <c r="B56" i="8"/>
  <c r="B110" i="8"/>
  <c r="C56" i="8"/>
  <c r="C110" i="8"/>
  <c r="D110" i="8"/>
  <c r="G56" i="8"/>
  <c r="F56" i="7"/>
  <c r="F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70" i="8"/>
  <c r="B124" i="8"/>
  <c r="F70" i="7"/>
  <c r="F70" i="8"/>
  <c r="H124" i="8"/>
  <c r="I124" i="8"/>
  <c r="I30" i="8"/>
  <c r="I32" i="8"/>
  <c r="B71" i="8"/>
  <c r="B125" i="8"/>
  <c r="I128" i="8"/>
  <c r="F71" i="7"/>
  <c r="F71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7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H17" i="7"/>
  <c r="I17" i="7"/>
  <c r="B18" i="7"/>
  <c r="C18" i="7"/>
  <c r="D18" i="7"/>
  <c r="H18" i="7"/>
  <c r="I18" i="7"/>
  <c r="B19" i="7"/>
  <c r="C19" i="7"/>
  <c r="D19" i="7"/>
  <c r="H19" i="7"/>
  <c r="I19" i="7"/>
  <c r="B20" i="7"/>
  <c r="C20" i="7"/>
  <c r="D20" i="7"/>
  <c r="I20" i="7"/>
  <c r="B21" i="7"/>
  <c r="C21" i="7"/>
  <c r="D21" i="7"/>
  <c r="H21" i="7"/>
  <c r="I21" i="7"/>
  <c r="B22" i="7"/>
  <c r="C22" i="7"/>
  <c r="D22" i="7"/>
  <c r="H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1" i="7"/>
  <c r="B83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70" i="7"/>
  <c r="B124" i="7"/>
  <c r="H124" i="7"/>
  <c r="I124" i="7"/>
  <c r="I30" i="7"/>
  <c r="I32" i="7"/>
  <c r="B71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1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J6" i="1"/>
  <c r="J7" i="1"/>
  <c r="J8" i="1"/>
  <c r="J9" i="1"/>
  <c r="J10" i="1"/>
  <c r="J11" i="1"/>
  <c r="J12" i="1"/>
  <c r="J13" i="1"/>
  <c r="J14" i="1"/>
  <c r="J15" i="1"/>
  <c r="J16" i="1"/>
  <c r="J17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E15" i="12"/>
  <c r="H15" i="12"/>
  <c r="I15" i="12"/>
  <c r="B16" i="12"/>
  <c r="C16" i="12"/>
  <c r="D16" i="12"/>
  <c r="E16" i="12"/>
  <c r="H16" i="12"/>
  <c r="I16" i="12"/>
  <c r="B17" i="12"/>
  <c r="C17" i="12"/>
  <c r="D17" i="12"/>
  <c r="E17" i="12"/>
  <c r="H17" i="12"/>
  <c r="I17" i="12"/>
  <c r="B18" i="12"/>
  <c r="C18" i="12"/>
  <c r="D18" i="12"/>
  <c r="E18" i="12"/>
  <c r="H18" i="12"/>
  <c r="I18" i="12"/>
  <c r="B19" i="12"/>
  <c r="C19" i="12"/>
  <c r="D19" i="12"/>
  <c r="E19" i="12"/>
  <c r="H19" i="12"/>
  <c r="I19" i="12"/>
  <c r="B20" i="12"/>
  <c r="C20" i="12"/>
  <c r="D20" i="12"/>
  <c r="I20" i="12"/>
  <c r="B21" i="12"/>
  <c r="C21" i="12"/>
  <c r="D21" i="12"/>
  <c r="E21" i="12"/>
  <c r="H21" i="12"/>
  <c r="I21" i="12"/>
  <c r="B22" i="12"/>
  <c r="C22" i="12"/>
  <c r="D22" i="12"/>
  <c r="E22" i="12"/>
  <c r="H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B29" i="12"/>
  <c r="C29" i="12"/>
  <c r="D29" i="12"/>
  <c r="I29" i="12"/>
  <c r="B37" i="12"/>
  <c r="B80" i="12"/>
  <c r="B82" i="12"/>
  <c r="B81" i="12"/>
  <c r="B83" i="12"/>
  <c r="B91" i="12"/>
  <c r="C37" i="12"/>
  <c r="C91" i="12"/>
  <c r="D91" i="12"/>
  <c r="E37" i="12"/>
  <c r="F37" i="12"/>
  <c r="G37" i="12"/>
  <c r="H91" i="12"/>
  <c r="I91" i="12"/>
  <c r="B38" i="12"/>
  <c r="B92" i="12"/>
  <c r="C38" i="12"/>
  <c r="C92" i="12"/>
  <c r="D92" i="12"/>
  <c r="E38" i="12"/>
  <c r="G38" i="12"/>
  <c r="F38" i="12"/>
  <c r="H92" i="12"/>
  <c r="I92" i="12"/>
  <c r="B39" i="12"/>
  <c r="B93" i="12"/>
  <c r="C39" i="12"/>
  <c r="C93" i="12"/>
  <c r="D93" i="12"/>
  <c r="G39" i="12"/>
  <c r="F39" i="12"/>
  <c r="H93" i="12"/>
  <c r="I93" i="12"/>
  <c r="B40" i="12"/>
  <c r="B94" i="12"/>
  <c r="C40" i="12"/>
  <c r="C94" i="12"/>
  <c r="D94" i="12"/>
  <c r="E40" i="12"/>
  <c r="G40" i="12"/>
  <c r="F40" i="12"/>
  <c r="H94" i="12"/>
  <c r="I94" i="12"/>
  <c r="B41" i="12"/>
  <c r="B95" i="12"/>
  <c r="C41" i="12"/>
  <c r="C95" i="12"/>
  <c r="D95" i="12"/>
  <c r="G41" i="12"/>
  <c r="F41" i="12"/>
  <c r="E41" i="12"/>
  <c r="H95" i="12"/>
  <c r="I95" i="12"/>
  <c r="B42" i="12"/>
  <c r="B96" i="12"/>
  <c r="C42" i="12"/>
  <c r="C96" i="12"/>
  <c r="D96" i="12"/>
  <c r="G42" i="12"/>
  <c r="F42" i="12"/>
  <c r="E42" i="12"/>
  <c r="H96" i="12"/>
  <c r="I96" i="12"/>
  <c r="B43" i="12"/>
  <c r="B97" i="12"/>
  <c r="C43" i="12"/>
  <c r="C97" i="12"/>
  <c r="D97" i="12"/>
  <c r="G43" i="12"/>
  <c r="F43" i="12"/>
  <c r="E43" i="12"/>
  <c r="H97" i="12"/>
  <c r="I97" i="12"/>
  <c r="B44" i="12"/>
  <c r="B98" i="12"/>
  <c r="C44" i="12"/>
  <c r="C98" i="12"/>
  <c r="D98" i="12"/>
  <c r="G44" i="12"/>
  <c r="F44" i="12"/>
  <c r="E44" i="12"/>
  <c r="H98" i="12"/>
  <c r="I98" i="12"/>
  <c r="B45" i="12"/>
  <c r="B99" i="12"/>
  <c r="C45" i="12"/>
  <c r="C99" i="12"/>
  <c r="D99" i="12"/>
  <c r="G45" i="12"/>
  <c r="F45" i="12"/>
  <c r="E45" i="12"/>
  <c r="H99" i="12"/>
  <c r="I99" i="12"/>
  <c r="B46" i="12"/>
  <c r="B100" i="12"/>
  <c r="C46" i="12"/>
  <c r="C100" i="12"/>
  <c r="D100" i="12"/>
  <c r="G46" i="12"/>
  <c r="F46" i="12"/>
  <c r="E46" i="12"/>
  <c r="H100" i="12"/>
  <c r="I100" i="12"/>
  <c r="B47" i="12"/>
  <c r="B101" i="12"/>
  <c r="C47" i="12"/>
  <c r="C101" i="12"/>
  <c r="D101" i="12"/>
  <c r="G47" i="12"/>
  <c r="F47" i="12"/>
  <c r="E47" i="12"/>
  <c r="H101" i="12"/>
  <c r="I101" i="12"/>
  <c r="B48" i="12"/>
  <c r="B102" i="12"/>
  <c r="C48" i="12"/>
  <c r="C102" i="12"/>
  <c r="D102" i="12"/>
  <c r="G48" i="12"/>
  <c r="F48" i="12"/>
  <c r="E48" i="12"/>
  <c r="H102" i="12"/>
  <c r="I102" i="12"/>
  <c r="B49" i="12"/>
  <c r="B103" i="12"/>
  <c r="C49" i="12"/>
  <c r="C103" i="12"/>
  <c r="D103" i="12"/>
  <c r="G49" i="12"/>
  <c r="F49" i="12"/>
  <c r="E49" i="12"/>
  <c r="H103" i="12"/>
  <c r="I103" i="12"/>
  <c r="B50" i="12"/>
  <c r="B104" i="12"/>
  <c r="C50" i="12"/>
  <c r="C104" i="12"/>
  <c r="D104" i="12"/>
  <c r="G50" i="12"/>
  <c r="F50" i="12"/>
  <c r="E50" i="12"/>
  <c r="H104" i="12"/>
  <c r="I104" i="12"/>
  <c r="B51" i="12"/>
  <c r="B105" i="12"/>
  <c r="C51" i="12"/>
  <c r="C105" i="12"/>
  <c r="D105" i="12"/>
  <c r="G51" i="12"/>
  <c r="F51" i="12"/>
  <c r="E51" i="12"/>
  <c r="H105" i="12"/>
  <c r="I105" i="12"/>
  <c r="B52" i="12"/>
  <c r="B106" i="12"/>
  <c r="C52" i="12"/>
  <c r="C106" i="12"/>
  <c r="D106" i="12"/>
  <c r="G52" i="12"/>
  <c r="F52" i="12"/>
  <c r="E52" i="12"/>
  <c r="H106" i="12"/>
  <c r="I106" i="12"/>
  <c r="B53" i="12"/>
  <c r="B107" i="12"/>
  <c r="C53" i="12"/>
  <c r="C107" i="12"/>
  <c r="D107" i="12"/>
  <c r="E53" i="12"/>
  <c r="G53" i="12"/>
  <c r="H107" i="12"/>
  <c r="I107" i="12"/>
  <c r="B54" i="12"/>
  <c r="B108" i="12"/>
  <c r="C54" i="12"/>
  <c r="C108" i="12"/>
  <c r="D108" i="12"/>
  <c r="E54" i="12"/>
  <c r="G54" i="12"/>
  <c r="F54" i="12"/>
  <c r="H108" i="12"/>
  <c r="I108" i="12"/>
  <c r="B55" i="12"/>
  <c r="B109" i="12"/>
  <c r="C55" i="12"/>
  <c r="C109" i="12"/>
  <c r="D109" i="12"/>
  <c r="G55" i="12"/>
  <c r="F55" i="12"/>
  <c r="H109" i="12"/>
  <c r="I109" i="12"/>
  <c r="B56" i="12"/>
  <c r="B110" i="12"/>
  <c r="C56" i="12"/>
  <c r="C110" i="12"/>
  <c r="D110" i="12"/>
  <c r="G56" i="12"/>
  <c r="F56" i="12"/>
  <c r="H110" i="12"/>
  <c r="I110" i="12"/>
  <c r="B57" i="12"/>
  <c r="B111" i="12"/>
  <c r="C57" i="12"/>
  <c r="C111" i="12"/>
  <c r="D111" i="12"/>
  <c r="G57" i="12"/>
  <c r="H111" i="12"/>
  <c r="I111" i="12"/>
  <c r="B58" i="12"/>
  <c r="B112" i="12"/>
  <c r="C58" i="12"/>
  <c r="C112" i="12"/>
  <c r="D112" i="12"/>
  <c r="G58" i="12"/>
  <c r="H112" i="12"/>
  <c r="I112" i="12"/>
  <c r="B59" i="12"/>
  <c r="B113" i="12"/>
  <c r="C59" i="12"/>
  <c r="C113" i="12"/>
  <c r="D113" i="12"/>
  <c r="G59" i="12"/>
  <c r="H113" i="12"/>
  <c r="I113" i="12"/>
  <c r="B60" i="12"/>
  <c r="B114" i="12"/>
  <c r="C60" i="12"/>
  <c r="C114" i="12"/>
  <c r="D114" i="12"/>
  <c r="G60" i="12"/>
  <c r="H114" i="12"/>
  <c r="I114" i="12"/>
  <c r="B61" i="12"/>
  <c r="B115" i="12"/>
  <c r="C61" i="12"/>
  <c r="C115" i="12"/>
  <c r="D115" i="12"/>
  <c r="G61" i="12"/>
  <c r="H115" i="12"/>
  <c r="I115" i="12"/>
  <c r="B62" i="12"/>
  <c r="B116" i="12"/>
  <c r="C62" i="12"/>
  <c r="C116" i="12"/>
  <c r="D116" i="12"/>
  <c r="G62" i="12"/>
  <c r="H116" i="12"/>
  <c r="I116" i="12"/>
  <c r="B63" i="12"/>
  <c r="B117" i="12"/>
  <c r="C63" i="12"/>
  <c r="C117" i="12"/>
  <c r="D117" i="12"/>
  <c r="G63" i="12"/>
  <c r="H117" i="12"/>
  <c r="I117" i="12"/>
  <c r="B64" i="12"/>
  <c r="B118" i="12"/>
  <c r="C64" i="12"/>
  <c r="C118" i="12"/>
  <c r="D118" i="12"/>
  <c r="G64" i="12"/>
  <c r="H118" i="12"/>
  <c r="I118" i="12"/>
  <c r="I119" i="12"/>
  <c r="B70" i="12"/>
  <c r="B124" i="12"/>
  <c r="F70" i="12"/>
  <c r="H124" i="12"/>
  <c r="I124" i="12"/>
  <c r="I30" i="12"/>
  <c r="I32" i="12"/>
  <c r="B71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7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A1" i="1"/>
  <c r="B1" i="1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9" i="12"/>
  <c r="F53" i="12"/>
  <c r="E55" i="12"/>
  <c r="E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20" i="12"/>
  <c r="H20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9" i="7"/>
  <c r="F53" i="7"/>
  <c r="E55" i="7"/>
  <c r="E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0" i="7"/>
  <c r="H20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9" i="8"/>
  <c r="F53" i="8"/>
  <c r="E55" i="8"/>
  <c r="E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20" i="8"/>
  <c r="H20" i="8"/>
  <c r="E23" i="8"/>
  <c r="H23" i="8"/>
  <c r="E24" i="8"/>
  <c r="H24" i="8"/>
  <c r="E73" i="8"/>
  <c r="A38" i="1"/>
  <c r="A38" i="8"/>
  <c r="A92" i="8"/>
  <c r="A39" i="1"/>
  <c r="A39" i="8"/>
  <c r="A93" i="8"/>
  <c r="A40" i="1"/>
  <c r="A40" i="8"/>
  <c r="A94" i="8"/>
  <c r="A41" i="1"/>
  <c r="A41" i="8"/>
  <c r="A95" i="8"/>
  <c r="A42" i="1"/>
  <c r="A42" i="8"/>
  <c r="A96" i="8"/>
  <c r="A43" i="1"/>
  <c r="A43" i="8"/>
  <c r="A97" i="8"/>
  <c r="A44" i="1"/>
  <c r="A44" i="8"/>
  <c r="A98" i="8"/>
  <c r="A45" i="1"/>
  <c r="A45" i="8"/>
  <c r="A99" i="8"/>
  <c r="A46" i="1"/>
  <c r="A46" i="8"/>
  <c r="A100" i="8"/>
  <c r="A47" i="1"/>
  <c r="A47" i="8"/>
  <c r="A101" i="8"/>
  <c r="A48" i="1"/>
  <c r="A48" i="8"/>
  <c r="A102" i="8"/>
  <c r="A49" i="1"/>
  <c r="A49" i="8"/>
  <c r="A103" i="8"/>
  <c r="A50" i="1"/>
  <c r="A50" i="8"/>
  <c r="A104" i="8"/>
  <c r="A51" i="1"/>
  <c r="A51" i="8"/>
  <c r="A105" i="8"/>
  <c r="A52" i="1"/>
  <c r="A52" i="8"/>
  <c r="A106" i="8"/>
  <c r="A53" i="1"/>
  <c r="A53" i="8"/>
  <c r="A107" i="8"/>
  <c r="A54" i="1"/>
  <c r="A54" i="8"/>
  <c r="A108" i="8"/>
  <c r="A55" i="1"/>
  <c r="A55" i="8"/>
  <c r="A109" i="8"/>
  <c r="A56" i="1"/>
  <c r="A56" i="8"/>
  <c r="A110" i="8"/>
  <c r="A57" i="1"/>
  <c r="A57" i="8"/>
  <c r="A111" i="8"/>
  <c r="A58" i="1"/>
  <c r="A58" i="8"/>
  <c r="A112" i="8"/>
  <c r="A59" i="1"/>
  <c r="A59" i="8"/>
  <c r="A113" i="8"/>
  <c r="A60" i="1"/>
  <c r="A60" i="8"/>
  <c r="A114" i="8"/>
  <c r="A61" i="1"/>
  <c r="A61" i="8"/>
  <c r="A115" i="8"/>
  <c r="A62" i="1"/>
  <c r="A62" i="8"/>
  <c r="A116" i="8"/>
  <c r="A63" i="1"/>
  <c r="A63" i="8"/>
  <c r="A117" i="8"/>
  <c r="A64" i="1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1"/>
  <c r="A18" i="8"/>
  <c r="A19" i="1"/>
  <c r="A19" i="8"/>
  <c r="A20" i="1"/>
  <c r="A20" i="8"/>
  <c r="A21" i="1"/>
  <c r="A21" i="8"/>
  <c r="A22" i="1"/>
  <c r="A22" i="8"/>
  <c r="A23" i="1"/>
  <c r="A23" i="8"/>
  <c r="A24" i="1"/>
  <c r="A24" i="8"/>
  <c r="A25" i="1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"/>
  <c r="A16" i="12"/>
  <c r="A17" i="1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37" i="1"/>
  <c r="A30" i="1"/>
  <c r="A7" i="1"/>
  <c r="A8" i="1"/>
  <c r="A9" i="1"/>
  <c r="A10" i="1"/>
  <c r="A11" i="1"/>
  <c r="A12" i="1"/>
  <c r="A13" i="1"/>
  <c r="A14" i="1"/>
  <c r="A15" i="1"/>
  <c r="A26" i="1"/>
  <c r="A27" i="1"/>
  <c r="A28" i="1"/>
  <c r="A29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B87" i="8"/>
  <c r="B79" i="8"/>
  <c r="B87" i="7"/>
  <c r="B79" i="7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B2" i="13"/>
  <c r="E2" i="13"/>
  <c r="D2" i="13"/>
  <c r="C2" i="13"/>
  <c r="B87" i="1"/>
  <c r="B79" i="1"/>
  <c r="A6" i="1"/>
  <c r="B87" i="12"/>
  <c r="B79" i="12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J37" i="8"/>
  <c r="J38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C38" i="8"/>
  <c r="AE37" i="8"/>
  <c r="AD37" i="8"/>
  <c r="AF37" i="8"/>
  <c r="AG37" i="8"/>
  <c r="Z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AE8" i="1"/>
  <c r="AE9" i="1"/>
  <c r="AE10" i="1"/>
  <c r="AE11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A9" i="1"/>
  <c r="AA10" i="1"/>
  <c r="AA11" i="1"/>
  <c r="J119" i="1"/>
  <c r="J124" i="1"/>
  <c r="J70" i="1"/>
  <c r="AA70" i="1"/>
  <c r="J39" i="1"/>
  <c r="Y8" i="1"/>
  <c r="Z8" i="1"/>
  <c r="Z39" i="1"/>
  <c r="AA39" i="1"/>
  <c r="J40" i="1"/>
  <c r="Y9" i="1"/>
  <c r="Z9" i="1"/>
  <c r="Z40" i="1"/>
  <c r="AA40" i="1"/>
  <c r="J41" i="1"/>
  <c r="Y1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Y7" i="1"/>
  <c r="Z7" i="1"/>
  <c r="AB7" i="1"/>
  <c r="AD7" i="1"/>
  <c r="AF7" i="1"/>
  <c r="AG7" i="1"/>
  <c r="AC6" i="1"/>
  <c r="AC12" i="1"/>
  <c r="AC13" i="1"/>
  <c r="AC14" i="1"/>
  <c r="AC15" i="1"/>
  <c r="AC16" i="1"/>
  <c r="AC17" i="1"/>
  <c r="AC26" i="1"/>
  <c r="AC27" i="1"/>
  <c r="AC28" i="1"/>
  <c r="AC29" i="1"/>
  <c r="AC8" i="1"/>
  <c r="AB8" i="1"/>
  <c r="AD8" i="1"/>
  <c r="AF8" i="1"/>
  <c r="AG8" i="1"/>
  <c r="AC9" i="1"/>
  <c r="AB9" i="1"/>
  <c r="AD9" i="1"/>
  <c r="AF9" i="1"/>
  <c r="AG9" i="1"/>
  <c r="Y10" i="1"/>
  <c r="Z10" i="1"/>
  <c r="AC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B37" i="1"/>
  <c r="AD37" i="1"/>
  <c r="AF37" i="1"/>
  <c r="AG37" i="1"/>
  <c r="J38" i="1"/>
  <c r="Z38" i="1"/>
  <c r="AC11" i="1"/>
  <c r="AC70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8" i="1"/>
  <c r="AB38" i="1"/>
  <c r="AE70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8" i="1"/>
  <c r="AD38" i="1"/>
  <c r="AF38" i="1"/>
  <c r="AG38" i="1"/>
  <c r="AB39" i="1"/>
  <c r="AD39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39" i="1"/>
  <c r="AC37" i="1"/>
  <c r="AC65" i="1"/>
  <c r="AC79" i="1"/>
  <c r="AC30" i="1"/>
  <c r="AC74" i="1"/>
  <c r="AE39" i="1"/>
  <c r="AE37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B38" i="12"/>
  <c r="AD38" i="12"/>
  <c r="AF38" i="12"/>
  <c r="AG38" i="12"/>
  <c r="AB39" i="12"/>
  <c r="AD39" i="12"/>
  <c r="AF39" i="12"/>
  <c r="AG39" i="12"/>
  <c r="AB40" i="12"/>
  <c r="AD40" i="12"/>
  <c r="AF40" i="12"/>
  <c r="AG40" i="12"/>
  <c r="AB41" i="12"/>
  <c r="AD41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70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C38" i="12"/>
  <c r="AC65" i="12"/>
  <c r="AC79" i="12"/>
  <c r="AC30" i="12"/>
  <c r="AC74" i="12"/>
  <c r="AE70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E38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<sst xmlns="http://schemas.openxmlformats.org/spreadsheetml/2006/main" count="790" uniqueCount="145">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</sst>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4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4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0.00834371108343711</c:v>
                </c:pt>
                <c:pt idx="1">
                  <c:v>0.00417185554171855</c:v>
                </c:pt>
                <c:pt idx="2" formatCode="0.0%">
                  <c:v>0.00417185554171855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0.0261715733966376</c:v>
                </c:pt>
                <c:pt idx="1">
                  <c:v>0.0130857866983188</c:v>
                </c:pt>
                <c:pt idx="2" formatCode="0.0%">
                  <c:v>0.0130857866983188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0.0425</c:v>
                </c:pt>
                <c:pt idx="2" formatCode="0.0%">
                  <c:v>0.0425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0.0967032508561644</c:v>
                </c:pt>
                <c:pt idx="2" formatCode="0.0%">
                  <c:v>0.0967032508561644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0.0828528876089664</c:v>
                </c:pt>
                <c:pt idx="1">
                  <c:v>0.0828528876089664</c:v>
                </c:pt>
                <c:pt idx="2" formatCode="0.0%">
                  <c:v>0.0828528876089664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0.0219963418430884</c:v>
                </c:pt>
                <c:pt idx="1">
                  <c:v>0.0219963418430884</c:v>
                </c:pt>
                <c:pt idx="2" formatCode="0.0%">
                  <c:v>0.0219963418430884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0.0259884806973848</c:v>
                </c:pt>
                <c:pt idx="2" formatCode="0.0%">
                  <c:v>0.0259884806973848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0.0584907169987546</c:v>
                </c:pt>
                <c:pt idx="1">
                  <c:v>0.0584907169987546</c:v>
                </c:pt>
                <c:pt idx="2" formatCode="0.0%">
                  <c:v>0.105660650062266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0.00830946450809464</c:v>
                </c:pt>
                <c:pt idx="1">
                  <c:v>0.00830946450809464</c:v>
                </c:pt>
                <c:pt idx="2" formatCode="0.0%">
                  <c:v>0.00952695759018124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0.0208223069738481</c:v>
                </c:pt>
                <c:pt idx="1">
                  <c:v>0.0208223069738481</c:v>
                </c:pt>
                <c:pt idx="2" formatCode="0.0%">
                  <c:v>0.0208223069738481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0.0567798904109589</c:v>
                </c:pt>
                <c:pt idx="1">
                  <c:v>0.0567798904109589</c:v>
                </c:pt>
                <c:pt idx="2" formatCode="0.0%">
                  <c:v>0.0567798904109589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0.0189266301369863</c:v>
                </c:pt>
                <c:pt idx="1">
                  <c:v>0.0189266301369863</c:v>
                </c:pt>
                <c:pt idx="2" formatCode="0.0%">
                  <c:v>0.0189266301369863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0.197158914694894</c:v>
                </c:pt>
                <c:pt idx="1">
                  <c:v>0.197158914694894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0.570487345890411</c:v>
                </c:pt>
                <c:pt idx="1">
                  <c:v>0.312728856427583</c:v>
                </c:pt>
                <c:pt idx="2" formatCode="0.0%">
                  <c:v>0.157300568590501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4348280"/>
        <c:axId val="2114351576"/>
      </c:barChart>
      <c:catAx>
        <c:axId val="2114348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4351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4351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4348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0.0580500972339129</c:v>
                </c:pt>
                <c:pt idx="1">
                  <c:v>0.0547992917888137</c:v>
                </c:pt>
                <c:pt idx="2">
                  <c:v>0.0547992917888137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0.0435375729254346</c:v>
                </c:pt>
                <c:pt idx="1">
                  <c:v>0.0410994688416103</c:v>
                </c:pt>
                <c:pt idx="2">
                  <c:v>0.0487261730402675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0.0145125243084782</c:v>
                </c:pt>
                <c:pt idx="1">
                  <c:v>0.0221461120947378</c:v>
                </c:pt>
                <c:pt idx="2">
                  <c:v>0.0159817314765434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0.0362813107711955</c:v>
                </c:pt>
                <c:pt idx="1">
                  <c:v>0.0507938350796737</c:v>
                </c:pt>
                <c:pt idx="2">
                  <c:v>0.0712946421814669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0.00287347981307869</c:v>
                </c:pt>
                <c:pt idx="1">
                  <c:v>0.00402287173831016</c:v>
                </c:pt>
                <c:pt idx="2">
                  <c:v>0.00290310351592256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0.0101587670159347</c:v>
                </c:pt>
                <c:pt idx="2">
                  <c:v>0.00733106948465293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0.0101587670159347</c:v>
                </c:pt>
                <c:pt idx="2">
                  <c:v>0.00733106948465293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0.0224073375322904</c:v>
                </c:pt>
                <c:pt idx="1">
                  <c:v>0.0313702725452065</c:v>
                </c:pt>
                <c:pt idx="2">
                  <c:v>0.0226383425686083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0.0116100194467826</c:v>
                </c:pt>
                <c:pt idx="1">
                  <c:v>0.0162540272254956</c:v>
                </c:pt>
                <c:pt idx="2">
                  <c:v>0.0162540272254956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0.00290250486169564</c:v>
                </c:pt>
                <c:pt idx="1">
                  <c:v>0.0040635068063739</c:v>
                </c:pt>
                <c:pt idx="2">
                  <c:v>0.0040635068063739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0.0218268365599512</c:v>
                </c:pt>
                <c:pt idx="1">
                  <c:v>0.0242277885815459</c:v>
                </c:pt>
                <c:pt idx="2">
                  <c:v>0.0242277885815459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0.0124517458566743</c:v>
                </c:pt>
                <c:pt idx="1">
                  <c:v>0.00996139668533945</c:v>
                </c:pt>
                <c:pt idx="2">
                  <c:v>0.0105159485669028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0.0626941050126259</c:v>
                </c:pt>
                <c:pt idx="1">
                  <c:v>0.0591832351319188</c:v>
                </c:pt>
                <c:pt idx="2">
                  <c:v>0.0591832351319188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0.639131570545381</c:v>
                </c:pt>
                <c:pt idx="1">
                  <c:v>0.754175253243549</c:v>
                </c:pt>
                <c:pt idx="2">
                  <c:v>0.754175253243549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0.0107682930368908</c:v>
                </c:pt>
                <c:pt idx="1">
                  <c:v>0.0127065857835312</c:v>
                </c:pt>
                <c:pt idx="2">
                  <c:v>0.0127065857835312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0.0464400777871303</c:v>
                </c:pt>
                <c:pt idx="1">
                  <c:v>0.0464400777871303</c:v>
                </c:pt>
                <c:pt idx="2">
                  <c:v>0.0464400777871303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5180552"/>
        <c:axId val="-2145197032"/>
      </c:barChart>
      <c:catAx>
        <c:axId val="-2145180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5197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5197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5180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0.138537734215357</c:v>
                </c:pt>
                <c:pt idx="1">
                  <c:v>0.130779621099297</c:v>
                </c:pt>
                <c:pt idx="2">
                  <c:v>0.136432089507463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0.043293041942299</c:v>
                </c:pt>
                <c:pt idx="1">
                  <c:v>0.0408686315935303</c:v>
                </c:pt>
                <c:pt idx="2">
                  <c:v>0.0422817486955718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0.00952446922730578</c:v>
                </c:pt>
                <c:pt idx="1">
                  <c:v>0.0112388736882208</c:v>
                </c:pt>
                <c:pt idx="2">
                  <c:v>0.0112388736882208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0.0113427769888823</c:v>
                </c:pt>
                <c:pt idx="1">
                  <c:v>0.0173090776850345</c:v>
                </c:pt>
                <c:pt idx="2">
                  <c:v>0.0143165926490099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0.0216465209711495</c:v>
                </c:pt>
                <c:pt idx="1">
                  <c:v>0.0303051293596093</c:v>
                </c:pt>
                <c:pt idx="2">
                  <c:v>0.0348109370684494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0.00171440446091504</c:v>
                </c:pt>
                <c:pt idx="1">
                  <c:v>0.00240016624528106</c:v>
                </c:pt>
                <c:pt idx="2">
                  <c:v>0.00198521279116462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0.0129879125826897</c:v>
                </c:pt>
                <c:pt idx="1">
                  <c:v>0.0181830776157656</c:v>
                </c:pt>
                <c:pt idx="2">
                  <c:v>0.0150394908421562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0.0197416271256884</c:v>
                </c:pt>
                <c:pt idx="1">
                  <c:v>0.0276382779759637</c:v>
                </c:pt>
                <c:pt idx="2">
                  <c:v>0.0228600260800774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0.00484882069753749</c:v>
                </c:pt>
                <c:pt idx="1">
                  <c:v>0.00678834897655249</c:v>
                </c:pt>
                <c:pt idx="2">
                  <c:v>0.00561474324773832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0.0086586083884598</c:v>
                </c:pt>
                <c:pt idx="1">
                  <c:v>0.0121220517438437</c:v>
                </c:pt>
                <c:pt idx="2">
                  <c:v>0.0121220517438437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0.00727323104630624</c:v>
                </c:pt>
                <c:pt idx="2">
                  <c:v>0.00727323104630624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0.0086586083884598</c:v>
                </c:pt>
                <c:pt idx="1">
                  <c:v>0.0121220517438437</c:v>
                </c:pt>
                <c:pt idx="2">
                  <c:v>0.0121220517438437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0.00727323104630624</c:v>
                </c:pt>
                <c:pt idx="2">
                  <c:v>0.00727323104630624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0.190489384546116</c:v>
                </c:pt>
                <c:pt idx="1">
                  <c:v>0.224777473764417</c:v>
                </c:pt>
                <c:pt idx="2">
                  <c:v>0.224777473764417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0.41145707061961</c:v>
                </c:pt>
                <c:pt idx="1">
                  <c:v>0.48551934333114</c:v>
                </c:pt>
                <c:pt idx="2">
                  <c:v>0.48551934333114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0.106708689779379</c:v>
                </c:pt>
                <c:pt idx="1">
                  <c:v>0.125916253939667</c:v>
                </c:pt>
                <c:pt idx="2">
                  <c:v>0.125916253939667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5325352"/>
        <c:axId val="-2145322328"/>
      </c:barChart>
      <c:catAx>
        <c:axId val="-2145325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5322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5322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5325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1.0</c:v>
                </c:pt>
                <c:pt idx="1">
                  <c:v>1.18</c:v>
                </c:pt>
                <c:pt idx="2">
                  <c:v>1.18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5495368"/>
        <c:axId val="2105498392"/>
      </c:barChart>
      <c:catAx>
        <c:axId val="2105495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498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5498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495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3956.457536089572</c:v>
                </c:pt>
                <c:pt idx="1">
                  <c:v>4381.242391933897</c:v>
                </c:pt>
                <c:pt idx="2">
                  <c:v>6097.863728234184</c:v>
                </c:pt>
                <c:pt idx="3">
                  <c:v>6166.844189451946</c:v>
                </c:pt>
                <c:pt idx="4">
                  <c:v>4692.075729102426</c:v>
                </c:pt>
                <c:pt idx="5">
                  <c:v>5666.510496528085</c:v>
                </c:pt>
                <c:pt idx="6">
                  <c:v>7431.679174430407</c:v>
                </c:pt>
                <c:pt idx="7">
                  <c:v>7453.143366471535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1238.462844042475</c:v>
                </c:pt>
                <c:pt idx="2">
                  <c:v>5364.203299375361</c:v>
                </c:pt>
                <c:pt idx="3">
                  <c:v>7603.279597555821</c:v>
                </c:pt>
                <c:pt idx="4">
                  <c:v>0.0</c:v>
                </c:pt>
                <c:pt idx="5">
                  <c:v>210.0</c:v>
                </c:pt>
                <c:pt idx="6">
                  <c:v>5092.067017499265</c:v>
                </c:pt>
                <c:pt idx="7">
                  <c:v>6848.294130380622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279.818960936849</c:v>
                </c:pt>
                <c:pt idx="1">
                  <c:v>432.453546821816</c:v>
                </c:pt>
                <c:pt idx="2">
                  <c:v>745.1667650758195</c:v>
                </c:pt>
                <c:pt idx="3">
                  <c:v>1940.86242615123</c:v>
                </c:pt>
                <c:pt idx="4">
                  <c:v>155.8311888697452</c:v>
                </c:pt>
                <c:pt idx="5">
                  <c:v>240.8333949442064</c:v>
                </c:pt>
                <c:pt idx="6">
                  <c:v>414.9833968334752</c:v>
                </c:pt>
                <c:pt idx="7">
                  <c:v>1080.866351183479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740.7074426091356</c:v>
                </c:pt>
                <c:pt idx="2">
                  <c:v>5184.95209826395</c:v>
                </c:pt>
                <c:pt idx="3">
                  <c:v>14550.78620592169</c:v>
                </c:pt>
                <c:pt idx="4">
                  <c:v>0.0</c:v>
                </c:pt>
                <c:pt idx="5">
                  <c:v>471.9999999999999</c:v>
                </c:pt>
                <c:pt idx="6">
                  <c:v>3566.762839756338</c:v>
                </c:pt>
                <c:pt idx="7">
                  <c:v>9750.230489664407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146.6696698647767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170.4213535565989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2591.441432327124</c:v>
                </c:pt>
                <c:pt idx="2">
                  <c:v>1114.02399368414</c:v>
                </c:pt>
                <c:pt idx="3">
                  <c:v>0.0</c:v>
                </c:pt>
                <c:pt idx="4">
                  <c:v>0.0</c:v>
                </c:pt>
                <c:pt idx="5">
                  <c:v>2287.487643732328</c:v>
                </c:pt>
                <c:pt idx="6">
                  <c:v>834.7200000000001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45772.42792016633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36459.37777777778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549.6049224159786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437.78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635.5269857586383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362.3059759755032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3199.856152071466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2039.04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1325.855509415914</c:v>
                </c:pt>
                <c:pt idx="4">
                  <c:v>1661.330201222238</c:v>
                </c:pt>
                <c:pt idx="5">
                  <c:v>1661.330201222238</c:v>
                </c:pt>
                <c:pt idx="6">
                  <c:v>1661.330201222238</c:v>
                </c:pt>
                <c:pt idx="7">
                  <c:v>1476.73795664199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510.7529794196042</c:v>
                </c:pt>
                <c:pt idx="3">
                  <c:v>991.2052584987073</c:v>
                </c:pt>
                <c:pt idx="4">
                  <c:v>0.0</c:v>
                </c:pt>
                <c:pt idx="5">
                  <c:v>0.0</c:v>
                </c:pt>
                <c:pt idx="6">
                  <c:v>568.876703245882</c:v>
                </c:pt>
                <c:pt idx="7">
                  <c:v>1104.004484389864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8114.203131302213</c:v>
                </c:pt>
                <c:pt idx="4">
                  <c:v>25983.6</c:v>
                </c:pt>
                <c:pt idx="5">
                  <c:v>25983.6</c:v>
                </c:pt>
                <c:pt idx="6">
                  <c:v>25983.6</c:v>
                </c:pt>
                <c:pt idx="7">
                  <c:v>6463.253333333333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2370.263816349234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1600.0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5275832"/>
        <c:axId val="210527920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29831.10902214856</c:v>
                </c:pt>
                <c:pt idx="5" formatCode="#,##0">
                  <c:v>29831.10902214856</c:v>
                </c:pt>
                <c:pt idx="6" formatCode="#,##0">
                  <c:v>29831.10902214856</c:v>
                </c:pt>
                <c:pt idx="7" formatCode="#,##0">
                  <c:v>29831.10902214857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46325.93568881523</c:v>
                </c:pt>
                <c:pt idx="5" formatCode="#,##0">
                  <c:v>46325.93568881523</c:v>
                </c:pt>
                <c:pt idx="6" formatCode="#,##0">
                  <c:v>46325.93568881523</c:v>
                </c:pt>
                <c:pt idx="7" formatCode="#,##0">
                  <c:v>46325.93568881523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79063.8556888152</c:v>
                </c:pt>
                <c:pt idx="1">
                  <c:v>79063.8556888152</c:v>
                </c:pt>
                <c:pt idx="2">
                  <c:v>79063.8556888152</c:v>
                </c:pt>
                <c:pt idx="3">
                  <c:v>79063.85568881523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79063.8556888152</c:v>
                </c:pt>
                <c:pt idx="5" formatCode="#,##0">
                  <c:v>79063.8556888152</c:v>
                </c:pt>
                <c:pt idx="6" formatCode="#,##0">
                  <c:v>79063.8556888152</c:v>
                </c:pt>
                <c:pt idx="7" formatCode="#,##0">
                  <c:v>79063.85568881523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275832"/>
        <c:axId val="2105279208"/>
      </c:lineChart>
      <c:catAx>
        <c:axId val="210527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5279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5279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5275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3956.457536089572</c:v>
                </c:pt>
                <c:pt idx="1">
                  <c:v>4381.242391933897</c:v>
                </c:pt>
                <c:pt idx="2">
                  <c:v>6097.863728234184</c:v>
                </c:pt>
                <c:pt idx="3">
                  <c:v>6166.844189451946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1238.462844042475</c:v>
                </c:pt>
                <c:pt idx="2">
                  <c:v>5364.203299375361</c:v>
                </c:pt>
                <c:pt idx="3">
                  <c:v>7603.279597555821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279.818960936849</c:v>
                </c:pt>
                <c:pt idx="1">
                  <c:v>432.453546821816</c:v>
                </c:pt>
                <c:pt idx="2">
                  <c:v>745.1667650758195</c:v>
                </c:pt>
                <c:pt idx="3">
                  <c:v>1940.86242615123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740.7074426091356</c:v>
                </c:pt>
                <c:pt idx="2">
                  <c:v>5184.95209826395</c:v>
                </c:pt>
                <c:pt idx="3">
                  <c:v>14550.78620592169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146.6696698647767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2591.441432327124</c:v>
                </c:pt>
                <c:pt idx="2">
                  <c:v>1114.02399368414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45772.42792016633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549.6049224159786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635.5269857586383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3199.856152071466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1325.855509415914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510.7529794196042</c:v>
                </c:pt>
                <c:pt idx="3">
                  <c:v>991.2052584987073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8114.203131302213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2370.263816349234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5203928"/>
        <c:axId val="210520725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79063.8556888152</c:v>
                </c:pt>
                <c:pt idx="1">
                  <c:v>79063.8556888152</c:v>
                </c:pt>
                <c:pt idx="2">
                  <c:v>79063.8556888152</c:v>
                </c:pt>
                <c:pt idx="3">
                  <c:v>79063.85568881523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203928"/>
        <c:axId val="2105207256"/>
      </c:lineChart>
      <c:catAx>
        <c:axId val="2105203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5207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5207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5203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5063896"/>
        <c:axId val="210506724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063896"/>
        <c:axId val="2105067240"/>
      </c:lineChart>
      <c:catAx>
        <c:axId val="21050638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06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5067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063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0.555043079894413</c:v>
                </c:pt>
                <c:pt idx="1">
                  <c:v>0.777060311852178</c:v>
                </c:pt>
                <c:pt idx="2">
                  <c:v>0.777060311852178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0.571374071803256</c:v>
                </c:pt>
                <c:pt idx="1">
                  <c:v>0.402461045188492</c:v>
                </c:pt>
                <c:pt idx="2">
                  <c:v>0.363204965074043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1.1340282035561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0.152871449008788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0.197220519108931</c:v>
                </c:pt>
                <c:pt idx="1">
                  <c:v>0.17838485630106</c:v>
                </c:pt>
                <c:pt idx="2">
                  <c:v>0.089726415542946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-0.674221404727842</c:v>
                </c:pt>
                <c:pt idx="2">
                  <c:v>-0.400742855196745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5014456"/>
        <c:axId val="2105017800"/>
      </c:barChart>
      <c:catAx>
        <c:axId val="2105014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5017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5017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5014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0.394134877938548</c:v>
                </c:pt>
                <c:pt idx="1">
                  <c:v>0.551788829113968</c:v>
                </c:pt>
                <c:pt idx="2">
                  <c:v>0.551788829113968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0.137200196635438</c:v>
                </c:pt>
                <c:pt idx="2">
                  <c:v>0.0157538062604974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0.217978115113343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0.805270948828839</c:v>
                </c:pt>
                <c:pt idx="1">
                  <c:v>0.0</c:v>
                </c:pt>
                <c:pt idx="2">
                  <c:v>0.112266065364641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0.137200196635438</c:v>
                </c:pt>
                <c:pt idx="2">
                  <c:v>0.0157538062604974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-0.478763145928269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4946984"/>
        <c:axId val="2104950344"/>
      </c:barChart>
      <c:catAx>
        <c:axId val="2104946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4950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950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4946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0.264546809620041</c:v>
                </c:pt>
                <c:pt idx="1">
                  <c:v>0.370365533468058</c:v>
                </c:pt>
                <c:pt idx="2">
                  <c:v>0.370365533468058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0.107208238796225</c:v>
                </c:pt>
                <c:pt idx="2">
                  <c:v>-0.0108517562309375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0.199321165102345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-2.41471610660819E-16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0.107208238796225</c:v>
                </c:pt>
                <c:pt idx="2">
                  <c:v>-0.0108517562309375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4911976"/>
        <c:axId val="2104915496"/>
      </c:barChart>
      <c:catAx>
        <c:axId val="2104911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4915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915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4911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0.616672522689228</c:v>
                </c:pt>
                <c:pt idx="1">
                  <c:v>0.86334153176492</c:v>
                </c:pt>
                <c:pt idx="2">
                  <c:v>0.86334153176492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0.634816833181956</c:v>
                </c:pt>
                <c:pt idx="1">
                  <c:v>0.31665846823508</c:v>
                </c:pt>
                <c:pt idx="2">
                  <c:v>0.31665846823508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1.259945504087193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0.127157129881926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0.22092134949331</c:v>
                </c:pt>
                <c:pt idx="1">
                  <c:v>0.182498308291798</c:v>
                </c:pt>
                <c:pt idx="2">
                  <c:v>0.195780716325641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-0.749083863154708</c:v>
                </c:pt>
                <c:pt idx="2">
                  <c:v>-0.628206111245269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4855416"/>
        <c:axId val="2104858760"/>
      </c:barChart>
      <c:catAx>
        <c:axId val="2104855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4858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858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4855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0.0130370485678705</c:v>
                </c:pt>
                <c:pt idx="1">
                  <c:v>0.00651852428393524</c:v>
                </c:pt>
                <c:pt idx="2" formatCode="0.0%">
                  <c:v>0.00651852428393524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0.0464367216687422</c:v>
                </c:pt>
                <c:pt idx="1">
                  <c:v>0.0232183608343711</c:v>
                </c:pt>
                <c:pt idx="2" formatCode="0.0%">
                  <c:v>0.0232183608343711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0.0425</c:v>
                </c:pt>
                <c:pt idx="1">
                  <c:v>0.0425</c:v>
                </c:pt>
                <c:pt idx="2" formatCode="0.0%">
                  <c:v>0.0425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0.133077868150685</c:v>
                </c:pt>
                <c:pt idx="1">
                  <c:v>0.145054876284247</c:v>
                </c:pt>
                <c:pt idx="2" formatCode="0.0%">
                  <c:v>0.167486038721248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0.107708753891656</c:v>
                </c:pt>
                <c:pt idx="1">
                  <c:v>0.107708753891656</c:v>
                </c:pt>
                <c:pt idx="2" formatCode="0.0%">
                  <c:v>0.0965620529581429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0.00224851494396015</c:v>
                </c:pt>
                <c:pt idx="1">
                  <c:v>0.00224851494396015</c:v>
                </c:pt>
                <c:pt idx="2" formatCode="0.0%">
                  <c:v>0.00256145253501393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0.0612585616438356</c:v>
                </c:pt>
                <c:pt idx="1">
                  <c:v>0.0612585616438356</c:v>
                </c:pt>
                <c:pt idx="2" formatCode="0.0%">
                  <c:v>0.063842099396937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0.0943398661270237</c:v>
                </c:pt>
                <c:pt idx="1">
                  <c:v>0.0943398661270237</c:v>
                </c:pt>
                <c:pt idx="2" formatCode="0.0%">
                  <c:v>0.107469638969063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0.024561799501868</c:v>
                </c:pt>
                <c:pt idx="1">
                  <c:v>0.024561799501868</c:v>
                </c:pt>
                <c:pt idx="2" formatCode="0.0%">
                  <c:v>0.0311264768567297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0.0209915940224159</c:v>
                </c:pt>
                <c:pt idx="1">
                  <c:v>0.0209915940224159</c:v>
                </c:pt>
                <c:pt idx="2" formatCode="0.0%">
                  <c:v>0.0209915940224159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0.0176948349937733</c:v>
                </c:pt>
                <c:pt idx="1">
                  <c:v>0.0176948349937733</c:v>
                </c:pt>
                <c:pt idx="2" formatCode="0.0%">
                  <c:v>0.0176948349937733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0.0230697384806974</c:v>
                </c:pt>
                <c:pt idx="1">
                  <c:v>0.0230697384806974</c:v>
                </c:pt>
                <c:pt idx="2" formatCode="0.0%">
                  <c:v>0.0230697384806974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0.02391629909861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0.211423949719801</c:v>
                </c:pt>
                <c:pt idx="1">
                  <c:v>0.211423949719801</c:v>
                </c:pt>
                <c:pt idx="2" formatCode="0.0%">
                  <c:v>0.215101745497158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0.564572773972603</c:v>
                </c:pt>
                <c:pt idx="1">
                  <c:v>0.338724438663033</c:v>
                </c:pt>
                <c:pt idx="2" formatCode="0.0%">
                  <c:v>0.0388935243042854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4107672"/>
        <c:axId val="2114110968"/>
      </c:barChart>
      <c:catAx>
        <c:axId val="2114107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4110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4110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4107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3956.457536089572</c:v>
                </c:pt>
                <c:pt idx="27">
                  <c:v>3956.457536089572</c:v>
                </c:pt>
                <c:pt idx="28">
                  <c:v>3956.457536089572</c:v>
                </c:pt>
                <c:pt idx="29">
                  <c:v>3956.457536089572</c:v>
                </c:pt>
                <c:pt idx="30">
                  <c:v>3956.457536089572</c:v>
                </c:pt>
                <c:pt idx="31">
                  <c:v>3956.457536089572</c:v>
                </c:pt>
                <c:pt idx="32">
                  <c:v>3956.457536089572</c:v>
                </c:pt>
                <c:pt idx="33">
                  <c:v>3956.457536089572</c:v>
                </c:pt>
                <c:pt idx="34">
                  <c:v>3956.457536089572</c:v>
                </c:pt>
                <c:pt idx="35">
                  <c:v>3956.457536089572</c:v>
                </c:pt>
                <c:pt idx="36">
                  <c:v>3956.457536089572</c:v>
                </c:pt>
                <c:pt idx="37">
                  <c:v>3956.457536089572</c:v>
                </c:pt>
                <c:pt idx="38">
                  <c:v>3956.457536089572</c:v>
                </c:pt>
                <c:pt idx="39">
                  <c:v>3956.457536089572</c:v>
                </c:pt>
                <c:pt idx="40">
                  <c:v>3956.457536089572</c:v>
                </c:pt>
                <c:pt idx="41">
                  <c:v>3956.457536089572</c:v>
                </c:pt>
                <c:pt idx="42">
                  <c:v>3956.457536089572</c:v>
                </c:pt>
                <c:pt idx="43">
                  <c:v>3956.457536089572</c:v>
                </c:pt>
                <c:pt idx="44">
                  <c:v>3956.457536089572</c:v>
                </c:pt>
                <c:pt idx="45">
                  <c:v>3956.457536089572</c:v>
                </c:pt>
                <c:pt idx="46">
                  <c:v>3956.457536089572</c:v>
                </c:pt>
                <c:pt idx="47">
                  <c:v>3956.457536089572</c:v>
                </c:pt>
                <c:pt idx="48">
                  <c:v>3956.457536089572</c:v>
                </c:pt>
                <c:pt idx="49">
                  <c:v>3956.457536089572</c:v>
                </c:pt>
                <c:pt idx="50">
                  <c:v>4381.242391933897</c:v>
                </c:pt>
                <c:pt idx="51">
                  <c:v>4381.242391933897</c:v>
                </c:pt>
                <c:pt idx="52">
                  <c:v>4381.242391933897</c:v>
                </c:pt>
                <c:pt idx="53">
                  <c:v>4381.242391933897</c:v>
                </c:pt>
                <c:pt idx="54">
                  <c:v>4381.242391933897</c:v>
                </c:pt>
                <c:pt idx="55">
                  <c:v>4381.242391933897</c:v>
                </c:pt>
                <c:pt idx="56">
                  <c:v>4381.242391933897</c:v>
                </c:pt>
                <c:pt idx="57">
                  <c:v>4381.242391933897</c:v>
                </c:pt>
                <c:pt idx="58">
                  <c:v>4381.242391933897</c:v>
                </c:pt>
                <c:pt idx="59">
                  <c:v>4381.242391933897</c:v>
                </c:pt>
                <c:pt idx="60">
                  <c:v>4381.242391933897</c:v>
                </c:pt>
                <c:pt idx="61">
                  <c:v>4381.242391933897</c:v>
                </c:pt>
                <c:pt idx="62">
                  <c:v>4381.242391933897</c:v>
                </c:pt>
                <c:pt idx="63">
                  <c:v>4381.242391933897</c:v>
                </c:pt>
                <c:pt idx="64">
                  <c:v>4381.242391933897</c:v>
                </c:pt>
                <c:pt idx="65">
                  <c:v>4381.242391933897</c:v>
                </c:pt>
                <c:pt idx="66">
                  <c:v>4381.242391933897</c:v>
                </c:pt>
                <c:pt idx="67">
                  <c:v>4381.242391933897</c:v>
                </c:pt>
                <c:pt idx="68">
                  <c:v>4381.242391933897</c:v>
                </c:pt>
                <c:pt idx="69">
                  <c:v>4381.242391933897</c:v>
                </c:pt>
                <c:pt idx="70">
                  <c:v>4381.242391933897</c:v>
                </c:pt>
                <c:pt idx="71">
                  <c:v>4381.242391933897</c:v>
                </c:pt>
                <c:pt idx="72">
                  <c:v>4381.242391933897</c:v>
                </c:pt>
                <c:pt idx="73">
                  <c:v>4381.242391933897</c:v>
                </c:pt>
                <c:pt idx="74">
                  <c:v>4381.242391933897</c:v>
                </c:pt>
                <c:pt idx="75">
                  <c:v>4381.242391933897</c:v>
                </c:pt>
                <c:pt idx="76">
                  <c:v>4381.242391933897</c:v>
                </c:pt>
                <c:pt idx="77">
                  <c:v>4381.242391933897</c:v>
                </c:pt>
                <c:pt idx="78">
                  <c:v>4381.242391933897</c:v>
                </c:pt>
                <c:pt idx="79">
                  <c:v>4381.242391933897</c:v>
                </c:pt>
                <c:pt idx="80">
                  <c:v>6097.863728234184</c:v>
                </c:pt>
                <c:pt idx="81">
                  <c:v>6097.863728234184</c:v>
                </c:pt>
                <c:pt idx="82">
                  <c:v>6097.863728234184</c:v>
                </c:pt>
                <c:pt idx="83">
                  <c:v>6097.863728234184</c:v>
                </c:pt>
                <c:pt idx="84">
                  <c:v>6097.863728234184</c:v>
                </c:pt>
                <c:pt idx="85">
                  <c:v>6097.863728234184</c:v>
                </c:pt>
                <c:pt idx="86">
                  <c:v>6097.863728234184</c:v>
                </c:pt>
                <c:pt idx="87">
                  <c:v>6097.863728234184</c:v>
                </c:pt>
                <c:pt idx="88">
                  <c:v>6097.863728234184</c:v>
                </c:pt>
                <c:pt idx="89">
                  <c:v>6097.863728234184</c:v>
                </c:pt>
                <c:pt idx="90">
                  <c:v>6097.863728234184</c:v>
                </c:pt>
                <c:pt idx="91">
                  <c:v>6097.863728234184</c:v>
                </c:pt>
                <c:pt idx="92">
                  <c:v>6097.863728234184</c:v>
                </c:pt>
                <c:pt idx="93">
                  <c:v>6097.863728234184</c:v>
                </c:pt>
                <c:pt idx="94">
                  <c:v>6097.863728234184</c:v>
                </c:pt>
                <c:pt idx="95">
                  <c:v>6166.844189451946</c:v>
                </c:pt>
                <c:pt idx="96">
                  <c:v>6166.844189451946</c:v>
                </c:pt>
                <c:pt idx="97">
                  <c:v>6166.844189451946</c:v>
                </c:pt>
                <c:pt idx="98">
                  <c:v>6166.844189451946</c:v>
                </c:pt>
                <c:pt idx="99">
                  <c:v>6166.844189451946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1238.462844042475</c:v>
                </c:pt>
                <c:pt idx="51">
                  <c:v>1238.462844042475</c:v>
                </c:pt>
                <c:pt idx="52">
                  <c:v>1238.462844042475</c:v>
                </c:pt>
                <c:pt idx="53">
                  <c:v>1238.462844042475</c:v>
                </c:pt>
                <c:pt idx="54">
                  <c:v>1238.462844042475</c:v>
                </c:pt>
                <c:pt idx="55">
                  <c:v>1238.462844042475</c:v>
                </c:pt>
                <c:pt idx="56">
                  <c:v>1238.462844042475</c:v>
                </c:pt>
                <c:pt idx="57">
                  <c:v>1238.462844042475</c:v>
                </c:pt>
                <c:pt idx="58">
                  <c:v>1238.462844042475</c:v>
                </c:pt>
                <c:pt idx="59">
                  <c:v>1238.462844042475</c:v>
                </c:pt>
                <c:pt idx="60">
                  <c:v>1238.462844042475</c:v>
                </c:pt>
                <c:pt idx="61">
                  <c:v>1238.462844042475</c:v>
                </c:pt>
                <c:pt idx="62">
                  <c:v>1238.462844042475</c:v>
                </c:pt>
                <c:pt idx="63">
                  <c:v>1238.462844042475</c:v>
                </c:pt>
                <c:pt idx="64">
                  <c:v>1238.462844042475</c:v>
                </c:pt>
                <c:pt idx="65">
                  <c:v>1238.462844042475</c:v>
                </c:pt>
                <c:pt idx="66">
                  <c:v>1238.462844042475</c:v>
                </c:pt>
                <c:pt idx="67">
                  <c:v>1238.462844042475</c:v>
                </c:pt>
                <c:pt idx="68">
                  <c:v>1238.462844042475</c:v>
                </c:pt>
                <c:pt idx="69">
                  <c:v>1238.462844042475</c:v>
                </c:pt>
                <c:pt idx="70">
                  <c:v>1238.462844042475</c:v>
                </c:pt>
                <c:pt idx="71">
                  <c:v>1238.462844042475</c:v>
                </c:pt>
                <c:pt idx="72">
                  <c:v>1238.462844042475</c:v>
                </c:pt>
                <c:pt idx="73">
                  <c:v>1238.462844042475</c:v>
                </c:pt>
                <c:pt idx="74">
                  <c:v>1238.462844042475</c:v>
                </c:pt>
                <c:pt idx="75">
                  <c:v>1238.462844042475</c:v>
                </c:pt>
                <c:pt idx="76">
                  <c:v>1238.462844042475</c:v>
                </c:pt>
                <c:pt idx="77">
                  <c:v>1238.462844042475</c:v>
                </c:pt>
                <c:pt idx="78">
                  <c:v>1238.462844042475</c:v>
                </c:pt>
                <c:pt idx="79">
                  <c:v>1238.462844042475</c:v>
                </c:pt>
                <c:pt idx="80">
                  <c:v>5364.203299375361</c:v>
                </c:pt>
                <c:pt idx="81">
                  <c:v>5364.203299375361</c:v>
                </c:pt>
                <c:pt idx="82">
                  <c:v>5364.203299375361</c:v>
                </c:pt>
                <c:pt idx="83">
                  <c:v>5364.203299375361</c:v>
                </c:pt>
                <c:pt idx="84">
                  <c:v>5364.203299375361</c:v>
                </c:pt>
                <c:pt idx="85">
                  <c:v>5364.203299375361</c:v>
                </c:pt>
                <c:pt idx="86">
                  <c:v>5364.203299375361</c:v>
                </c:pt>
                <c:pt idx="87">
                  <c:v>5364.203299375361</c:v>
                </c:pt>
                <c:pt idx="88">
                  <c:v>5364.203299375361</c:v>
                </c:pt>
                <c:pt idx="89">
                  <c:v>5364.203299375361</c:v>
                </c:pt>
                <c:pt idx="90">
                  <c:v>5364.203299375361</c:v>
                </c:pt>
                <c:pt idx="91">
                  <c:v>5364.203299375361</c:v>
                </c:pt>
                <c:pt idx="92">
                  <c:v>5364.203299375361</c:v>
                </c:pt>
                <c:pt idx="93">
                  <c:v>5364.203299375361</c:v>
                </c:pt>
                <c:pt idx="94">
                  <c:v>5364.203299375361</c:v>
                </c:pt>
                <c:pt idx="95">
                  <c:v>7603.279597555821</c:v>
                </c:pt>
                <c:pt idx="96">
                  <c:v>7603.279597555821</c:v>
                </c:pt>
                <c:pt idx="97">
                  <c:v>7603.279597555821</c:v>
                </c:pt>
                <c:pt idx="98">
                  <c:v>7603.279597555821</c:v>
                </c:pt>
                <c:pt idx="99">
                  <c:v>7603.279597555821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279.818960936849</c:v>
                </c:pt>
                <c:pt idx="27">
                  <c:v>279.818960936849</c:v>
                </c:pt>
                <c:pt idx="28">
                  <c:v>279.818960936849</c:v>
                </c:pt>
                <c:pt idx="29">
                  <c:v>279.818960936849</c:v>
                </c:pt>
                <c:pt idx="30">
                  <c:v>279.818960936849</c:v>
                </c:pt>
                <c:pt idx="31">
                  <c:v>279.818960936849</c:v>
                </c:pt>
                <c:pt idx="32">
                  <c:v>279.818960936849</c:v>
                </c:pt>
                <c:pt idx="33">
                  <c:v>279.818960936849</c:v>
                </c:pt>
                <c:pt idx="34">
                  <c:v>279.818960936849</c:v>
                </c:pt>
                <c:pt idx="35">
                  <c:v>279.818960936849</c:v>
                </c:pt>
                <c:pt idx="36">
                  <c:v>279.818960936849</c:v>
                </c:pt>
                <c:pt idx="37">
                  <c:v>279.818960936849</c:v>
                </c:pt>
                <c:pt idx="38">
                  <c:v>279.818960936849</c:v>
                </c:pt>
                <c:pt idx="39">
                  <c:v>279.818960936849</c:v>
                </c:pt>
                <c:pt idx="40">
                  <c:v>279.818960936849</c:v>
                </c:pt>
                <c:pt idx="41">
                  <c:v>279.818960936849</c:v>
                </c:pt>
                <c:pt idx="42">
                  <c:v>279.818960936849</c:v>
                </c:pt>
                <c:pt idx="43">
                  <c:v>279.818960936849</c:v>
                </c:pt>
                <c:pt idx="44">
                  <c:v>279.818960936849</c:v>
                </c:pt>
                <c:pt idx="45">
                  <c:v>279.818960936849</c:v>
                </c:pt>
                <c:pt idx="46">
                  <c:v>279.818960936849</c:v>
                </c:pt>
                <c:pt idx="47">
                  <c:v>279.818960936849</c:v>
                </c:pt>
                <c:pt idx="48">
                  <c:v>279.818960936849</c:v>
                </c:pt>
                <c:pt idx="49">
                  <c:v>279.818960936849</c:v>
                </c:pt>
                <c:pt idx="50">
                  <c:v>432.453546821816</c:v>
                </c:pt>
                <c:pt idx="51">
                  <c:v>432.453546821816</c:v>
                </c:pt>
                <c:pt idx="52">
                  <c:v>432.453546821816</c:v>
                </c:pt>
                <c:pt idx="53">
                  <c:v>432.453546821816</c:v>
                </c:pt>
                <c:pt idx="54">
                  <c:v>432.453546821816</c:v>
                </c:pt>
                <c:pt idx="55">
                  <c:v>432.453546821816</c:v>
                </c:pt>
                <c:pt idx="56">
                  <c:v>432.453546821816</c:v>
                </c:pt>
                <c:pt idx="57">
                  <c:v>432.453546821816</c:v>
                </c:pt>
                <c:pt idx="58">
                  <c:v>432.453546821816</c:v>
                </c:pt>
                <c:pt idx="59">
                  <c:v>432.453546821816</c:v>
                </c:pt>
                <c:pt idx="60">
                  <c:v>432.453546821816</c:v>
                </c:pt>
                <c:pt idx="61">
                  <c:v>432.453546821816</c:v>
                </c:pt>
                <c:pt idx="62">
                  <c:v>432.453546821816</c:v>
                </c:pt>
                <c:pt idx="63">
                  <c:v>432.453546821816</c:v>
                </c:pt>
                <c:pt idx="64">
                  <c:v>432.453546821816</c:v>
                </c:pt>
                <c:pt idx="65">
                  <c:v>432.453546821816</c:v>
                </c:pt>
                <c:pt idx="66">
                  <c:v>432.453546821816</c:v>
                </c:pt>
                <c:pt idx="67">
                  <c:v>432.453546821816</c:v>
                </c:pt>
                <c:pt idx="68">
                  <c:v>432.453546821816</c:v>
                </c:pt>
                <c:pt idx="69">
                  <c:v>432.453546821816</c:v>
                </c:pt>
                <c:pt idx="70">
                  <c:v>432.453546821816</c:v>
                </c:pt>
                <c:pt idx="71">
                  <c:v>432.453546821816</c:v>
                </c:pt>
                <c:pt idx="72">
                  <c:v>432.453546821816</c:v>
                </c:pt>
                <c:pt idx="73">
                  <c:v>432.453546821816</c:v>
                </c:pt>
                <c:pt idx="74">
                  <c:v>432.453546821816</c:v>
                </c:pt>
                <c:pt idx="75">
                  <c:v>432.453546821816</c:v>
                </c:pt>
                <c:pt idx="76">
                  <c:v>432.453546821816</c:v>
                </c:pt>
                <c:pt idx="77">
                  <c:v>432.453546821816</c:v>
                </c:pt>
                <c:pt idx="78">
                  <c:v>432.453546821816</c:v>
                </c:pt>
                <c:pt idx="79">
                  <c:v>432.453546821816</c:v>
                </c:pt>
                <c:pt idx="80">
                  <c:v>745.1667650758195</c:v>
                </c:pt>
                <c:pt idx="81">
                  <c:v>745.1667650758195</c:v>
                </c:pt>
                <c:pt idx="82">
                  <c:v>745.1667650758195</c:v>
                </c:pt>
                <c:pt idx="83">
                  <c:v>745.1667650758195</c:v>
                </c:pt>
                <c:pt idx="84">
                  <c:v>745.1667650758195</c:v>
                </c:pt>
                <c:pt idx="85">
                  <c:v>745.1667650758195</c:v>
                </c:pt>
                <c:pt idx="86">
                  <c:v>745.1667650758195</c:v>
                </c:pt>
                <c:pt idx="87">
                  <c:v>745.1667650758195</c:v>
                </c:pt>
                <c:pt idx="88">
                  <c:v>745.1667650758195</c:v>
                </c:pt>
                <c:pt idx="89">
                  <c:v>745.1667650758195</c:v>
                </c:pt>
                <c:pt idx="90">
                  <c:v>745.1667650758195</c:v>
                </c:pt>
                <c:pt idx="91">
                  <c:v>745.1667650758195</c:v>
                </c:pt>
                <c:pt idx="92">
                  <c:v>745.1667650758195</c:v>
                </c:pt>
                <c:pt idx="93">
                  <c:v>745.1667650758195</c:v>
                </c:pt>
                <c:pt idx="94">
                  <c:v>745.1667650758195</c:v>
                </c:pt>
                <c:pt idx="95">
                  <c:v>1940.86242615123</c:v>
                </c:pt>
                <c:pt idx="96">
                  <c:v>1940.86242615123</c:v>
                </c:pt>
                <c:pt idx="97">
                  <c:v>1940.86242615123</c:v>
                </c:pt>
                <c:pt idx="98">
                  <c:v>1940.86242615123</c:v>
                </c:pt>
                <c:pt idx="99">
                  <c:v>1940.86242615123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740.7074426091356</c:v>
                </c:pt>
                <c:pt idx="51">
                  <c:v>740.7074426091356</c:v>
                </c:pt>
                <c:pt idx="52">
                  <c:v>740.7074426091356</c:v>
                </c:pt>
                <c:pt idx="53">
                  <c:v>740.7074426091356</c:v>
                </c:pt>
                <c:pt idx="54">
                  <c:v>740.7074426091356</c:v>
                </c:pt>
                <c:pt idx="55">
                  <c:v>740.7074426091356</c:v>
                </c:pt>
                <c:pt idx="56">
                  <c:v>740.7074426091356</c:v>
                </c:pt>
                <c:pt idx="57">
                  <c:v>740.7074426091356</c:v>
                </c:pt>
                <c:pt idx="58">
                  <c:v>740.7074426091356</c:v>
                </c:pt>
                <c:pt idx="59">
                  <c:v>740.7074426091356</c:v>
                </c:pt>
                <c:pt idx="60">
                  <c:v>740.7074426091356</c:v>
                </c:pt>
                <c:pt idx="61">
                  <c:v>740.7074426091356</c:v>
                </c:pt>
                <c:pt idx="62">
                  <c:v>740.7074426091356</c:v>
                </c:pt>
                <c:pt idx="63">
                  <c:v>740.7074426091356</c:v>
                </c:pt>
                <c:pt idx="64">
                  <c:v>740.7074426091356</c:v>
                </c:pt>
                <c:pt idx="65">
                  <c:v>740.7074426091356</c:v>
                </c:pt>
                <c:pt idx="66">
                  <c:v>740.7074426091356</c:v>
                </c:pt>
                <c:pt idx="67">
                  <c:v>740.7074426091356</c:v>
                </c:pt>
                <c:pt idx="68">
                  <c:v>740.7074426091356</c:v>
                </c:pt>
                <c:pt idx="69">
                  <c:v>740.7074426091356</c:v>
                </c:pt>
                <c:pt idx="70">
                  <c:v>740.7074426091356</c:v>
                </c:pt>
                <c:pt idx="71">
                  <c:v>740.7074426091356</c:v>
                </c:pt>
                <c:pt idx="72">
                  <c:v>740.7074426091356</c:v>
                </c:pt>
                <c:pt idx="73">
                  <c:v>740.7074426091356</c:v>
                </c:pt>
                <c:pt idx="74">
                  <c:v>740.7074426091356</c:v>
                </c:pt>
                <c:pt idx="75">
                  <c:v>740.7074426091356</c:v>
                </c:pt>
                <c:pt idx="76">
                  <c:v>740.7074426091356</c:v>
                </c:pt>
                <c:pt idx="77">
                  <c:v>740.7074426091356</c:v>
                </c:pt>
                <c:pt idx="78">
                  <c:v>740.7074426091356</c:v>
                </c:pt>
                <c:pt idx="79">
                  <c:v>740.7074426091356</c:v>
                </c:pt>
                <c:pt idx="80">
                  <c:v>5184.95209826395</c:v>
                </c:pt>
                <c:pt idx="81">
                  <c:v>5184.95209826395</c:v>
                </c:pt>
                <c:pt idx="82">
                  <c:v>5184.95209826395</c:v>
                </c:pt>
                <c:pt idx="83">
                  <c:v>5184.95209826395</c:v>
                </c:pt>
                <c:pt idx="84">
                  <c:v>5184.95209826395</c:v>
                </c:pt>
                <c:pt idx="85">
                  <c:v>5184.95209826395</c:v>
                </c:pt>
                <c:pt idx="86">
                  <c:v>5184.95209826395</c:v>
                </c:pt>
                <c:pt idx="87">
                  <c:v>5184.95209826395</c:v>
                </c:pt>
                <c:pt idx="88">
                  <c:v>5184.95209826395</c:v>
                </c:pt>
                <c:pt idx="89">
                  <c:v>5184.95209826395</c:v>
                </c:pt>
                <c:pt idx="90">
                  <c:v>5184.95209826395</c:v>
                </c:pt>
                <c:pt idx="91">
                  <c:v>5184.95209826395</c:v>
                </c:pt>
                <c:pt idx="92">
                  <c:v>5184.95209826395</c:v>
                </c:pt>
                <c:pt idx="93">
                  <c:v>5184.95209826395</c:v>
                </c:pt>
                <c:pt idx="94">
                  <c:v>5184.95209826395</c:v>
                </c:pt>
                <c:pt idx="95">
                  <c:v>14550.78620592169</c:v>
                </c:pt>
                <c:pt idx="96">
                  <c:v>14550.78620592169</c:v>
                </c:pt>
                <c:pt idx="97">
                  <c:v>14550.78620592169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146.6696698647767</c:v>
                </c:pt>
                <c:pt idx="96">
                  <c:v>146.6696698647767</c:v>
                </c:pt>
                <c:pt idx="97">
                  <c:v>146.6696698647767</c:v>
                </c:pt>
                <c:pt idx="98">
                  <c:v>146.6696698647767</c:v>
                </c:pt>
                <c:pt idx="99">
                  <c:v>146.6696698647767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2591.441432327124</c:v>
                </c:pt>
                <c:pt idx="51">
                  <c:v>2591.441432327124</c:v>
                </c:pt>
                <c:pt idx="52">
                  <c:v>2591.441432327124</c:v>
                </c:pt>
                <c:pt idx="53">
                  <c:v>2591.441432327124</c:v>
                </c:pt>
                <c:pt idx="54">
                  <c:v>2591.441432327124</c:v>
                </c:pt>
                <c:pt idx="55">
                  <c:v>2591.441432327124</c:v>
                </c:pt>
                <c:pt idx="56">
                  <c:v>2591.441432327124</c:v>
                </c:pt>
                <c:pt idx="57">
                  <c:v>2591.441432327124</c:v>
                </c:pt>
                <c:pt idx="58">
                  <c:v>2591.441432327124</c:v>
                </c:pt>
                <c:pt idx="59">
                  <c:v>2591.441432327124</c:v>
                </c:pt>
                <c:pt idx="60">
                  <c:v>2591.441432327124</c:v>
                </c:pt>
                <c:pt idx="61">
                  <c:v>2591.441432327124</c:v>
                </c:pt>
                <c:pt idx="62">
                  <c:v>2591.441432327124</c:v>
                </c:pt>
                <c:pt idx="63">
                  <c:v>2591.441432327124</c:v>
                </c:pt>
                <c:pt idx="64">
                  <c:v>2591.441432327124</c:v>
                </c:pt>
                <c:pt idx="65">
                  <c:v>2591.441432327124</c:v>
                </c:pt>
                <c:pt idx="66">
                  <c:v>2591.441432327124</c:v>
                </c:pt>
                <c:pt idx="67">
                  <c:v>2591.441432327124</c:v>
                </c:pt>
                <c:pt idx="68">
                  <c:v>2591.441432327124</c:v>
                </c:pt>
                <c:pt idx="69">
                  <c:v>2591.441432327124</c:v>
                </c:pt>
                <c:pt idx="70">
                  <c:v>2591.441432327124</c:v>
                </c:pt>
                <c:pt idx="71">
                  <c:v>2591.441432327124</c:v>
                </c:pt>
                <c:pt idx="72">
                  <c:v>2591.441432327124</c:v>
                </c:pt>
                <c:pt idx="73">
                  <c:v>2591.441432327124</c:v>
                </c:pt>
                <c:pt idx="74">
                  <c:v>2591.441432327124</c:v>
                </c:pt>
                <c:pt idx="75">
                  <c:v>2591.441432327124</c:v>
                </c:pt>
                <c:pt idx="76">
                  <c:v>2591.441432327124</c:v>
                </c:pt>
                <c:pt idx="77">
                  <c:v>2591.441432327124</c:v>
                </c:pt>
                <c:pt idx="78">
                  <c:v>2591.441432327124</c:v>
                </c:pt>
                <c:pt idx="79">
                  <c:v>2591.441432327124</c:v>
                </c:pt>
                <c:pt idx="80">
                  <c:v>1114.02399368414</c:v>
                </c:pt>
                <c:pt idx="81">
                  <c:v>1114.02399368414</c:v>
                </c:pt>
                <c:pt idx="82">
                  <c:v>1114.02399368414</c:v>
                </c:pt>
                <c:pt idx="83">
                  <c:v>1114.02399368414</c:v>
                </c:pt>
                <c:pt idx="84">
                  <c:v>1114.02399368414</c:v>
                </c:pt>
                <c:pt idx="85">
                  <c:v>1114.02399368414</c:v>
                </c:pt>
                <c:pt idx="86">
                  <c:v>1114.02399368414</c:v>
                </c:pt>
                <c:pt idx="87">
                  <c:v>1114.02399368414</c:v>
                </c:pt>
                <c:pt idx="88">
                  <c:v>1114.02399368414</c:v>
                </c:pt>
                <c:pt idx="89">
                  <c:v>1114.02399368414</c:v>
                </c:pt>
                <c:pt idx="90">
                  <c:v>1114.02399368414</c:v>
                </c:pt>
                <c:pt idx="91">
                  <c:v>1114.02399368414</c:v>
                </c:pt>
                <c:pt idx="92">
                  <c:v>1114.02399368414</c:v>
                </c:pt>
                <c:pt idx="93">
                  <c:v>1114.02399368414</c:v>
                </c:pt>
                <c:pt idx="94">
                  <c:v>1114.02399368414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45772.42792016633</c:v>
                </c:pt>
                <c:pt idx="96">
                  <c:v>45772.42792016633</c:v>
                </c:pt>
                <c:pt idx="97">
                  <c:v>45772.42792016633</c:v>
                </c:pt>
                <c:pt idx="98">
                  <c:v>45772.42792016633</c:v>
                </c:pt>
                <c:pt idx="99">
                  <c:v>45772.42792016633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635.5269857586383</c:v>
                </c:pt>
                <c:pt idx="81">
                  <c:v>635.5269857586383</c:v>
                </c:pt>
                <c:pt idx="82">
                  <c:v>635.5269857586383</c:v>
                </c:pt>
                <c:pt idx="83">
                  <c:v>635.5269857586383</c:v>
                </c:pt>
                <c:pt idx="84">
                  <c:v>635.5269857586383</c:v>
                </c:pt>
                <c:pt idx="85">
                  <c:v>635.5269857586383</c:v>
                </c:pt>
                <c:pt idx="86">
                  <c:v>635.5269857586383</c:v>
                </c:pt>
                <c:pt idx="87">
                  <c:v>635.5269857586383</c:v>
                </c:pt>
                <c:pt idx="88">
                  <c:v>635.5269857586383</c:v>
                </c:pt>
                <c:pt idx="89">
                  <c:v>635.5269857586383</c:v>
                </c:pt>
                <c:pt idx="90">
                  <c:v>635.5269857586383</c:v>
                </c:pt>
                <c:pt idx="91">
                  <c:v>635.5269857586383</c:v>
                </c:pt>
                <c:pt idx="92">
                  <c:v>635.5269857586383</c:v>
                </c:pt>
                <c:pt idx="93">
                  <c:v>635.5269857586383</c:v>
                </c:pt>
                <c:pt idx="94">
                  <c:v>635.5269857586383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3199.856152071466</c:v>
                </c:pt>
                <c:pt idx="81">
                  <c:v>3199.856152071466</c:v>
                </c:pt>
                <c:pt idx="82">
                  <c:v>3199.856152071466</c:v>
                </c:pt>
                <c:pt idx="83">
                  <c:v>3199.856152071466</c:v>
                </c:pt>
                <c:pt idx="84">
                  <c:v>3199.856152071466</c:v>
                </c:pt>
                <c:pt idx="85">
                  <c:v>3199.856152071466</c:v>
                </c:pt>
                <c:pt idx="86">
                  <c:v>3199.856152071466</c:v>
                </c:pt>
                <c:pt idx="87">
                  <c:v>3199.856152071466</c:v>
                </c:pt>
                <c:pt idx="88">
                  <c:v>3199.856152071466</c:v>
                </c:pt>
                <c:pt idx="89">
                  <c:v>3199.856152071466</c:v>
                </c:pt>
                <c:pt idx="90">
                  <c:v>3199.856152071466</c:v>
                </c:pt>
                <c:pt idx="91">
                  <c:v>3199.856152071466</c:v>
                </c:pt>
                <c:pt idx="92">
                  <c:v>3199.856152071466</c:v>
                </c:pt>
                <c:pt idx="93">
                  <c:v>3199.856152071466</c:v>
                </c:pt>
                <c:pt idx="94">
                  <c:v>3199.856152071466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1491.587448092903</c:v>
                </c:pt>
                <c:pt idx="89">
                  <c:v>1491.587448092903</c:v>
                </c:pt>
                <c:pt idx="90">
                  <c:v>1491.587448092903</c:v>
                </c:pt>
                <c:pt idx="91">
                  <c:v>1491.587448092903</c:v>
                </c:pt>
                <c:pt idx="92">
                  <c:v>1491.587448092903</c:v>
                </c:pt>
                <c:pt idx="93">
                  <c:v>1491.587448092903</c:v>
                </c:pt>
                <c:pt idx="94">
                  <c:v>1491.587448092903</c:v>
                </c:pt>
                <c:pt idx="95">
                  <c:v>1325.855509415914</c:v>
                </c:pt>
                <c:pt idx="96">
                  <c:v>1325.855509415914</c:v>
                </c:pt>
                <c:pt idx="97">
                  <c:v>1325.855509415914</c:v>
                </c:pt>
                <c:pt idx="98">
                  <c:v>1325.855509415914</c:v>
                </c:pt>
                <c:pt idx="99">
                  <c:v>1325.855509415914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32620.75577250633</c:v>
                </c:pt>
                <c:pt idx="89">
                  <c:v>32620.75577250633</c:v>
                </c:pt>
                <c:pt idx="90">
                  <c:v>32620.75577250633</c:v>
                </c:pt>
                <c:pt idx="91">
                  <c:v>32620.75577250633</c:v>
                </c:pt>
                <c:pt idx="92">
                  <c:v>32620.75577250633</c:v>
                </c:pt>
                <c:pt idx="93">
                  <c:v>32620.75577250633</c:v>
                </c:pt>
                <c:pt idx="94">
                  <c:v>32620.75577250633</c:v>
                </c:pt>
                <c:pt idx="95">
                  <c:v>8114.203131302213</c:v>
                </c:pt>
                <c:pt idx="96">
                  <c:v>8114.203131302213</c:v>
                </c:pt>
                <c:pt idx="97">
                  <c:v>8114.203131302213</c:v>
                </c:pt>
                <c:pt idx="98">
                  <c:v>8114.203131302213</c:v>
                </c:pt>
                <c:pt idx="99">
                  <c:v>8114.203131302213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707256"/>
        <c:axId val="210471061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707256"/>
        <c:axId val="210471061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38348.61971762566</c:v>
                </c:pt>
                <c:pt idx="13">
                  <c:v>38477.32049664336</c:v>
                </c:pt>
                <c:pt idx="14">
                  <c:v>38606.02127566106</c:v>
                </c:pt>
                <c:pt idx="15">
                  <c:v>38734.72205467876</c:v>
                </c:pt>
                <c:pt idx="16">
                  <c:v>38863.42283369646</c:v>
                </c:pt>
                <c:pt idx="17">
                  <c:v>38992.12361271416</c:v>
                </c:pt>
                <c:pt idx="18">
                  <c:v>39120.82439173186</c:v>
                </c:pt>
                <c:pt idx="19">
                  <c:v>39249.52517074956</c:v>
                </c:pt>
                <c:pt idx="20">
                  <c:v>39378.22594976726</c:v>
                </c:pt>
                <c:pt idx="21">
                  <c:v>39506.92672878497</c:v>
                </c:pt>
                <c:pt idx="22">
                  <c:v>39635.62750780267</c:v>
                </c:pt>
                <c:pt idx="23">
                  <c:v>39764.32828682037</c:v>
                </c:pt>
                <c:pt idx="24">
                  <c:v>39893.02906583807</c:v>
                </c:pt>
                <c:pt idx="25">
                  <c:v>40021.72984485577</c:v>
                </c:pt>
                <c:pt idx="26">
                  <c:v>40150.43062387347</c:v>
                </c:pt>
                <c:pt idx="27">
                  <c:v>40279.13140289117</c:v>
                </c:pt>
                <c:pt idx="28">
                  <c:v>40407.83218190887</c:v>
                </c:pt>
                <c:pt idx="29">
                  <c:v>40536.53296092657</c:v>
                </c:pt>
                <c:pt idx="30">
                  <c:v>40665.23373994427</c:v>
                </c:pt>
                <c:pt idx="31">
                  <c:v>40793.93451896197</c:v>
                </c:pt>
                <c:pt idx="32">
                  <c:v>40922.63529797967</c:v>
                </c:pt>
                <c:pt idx="33">
                  <c:v>41051.33607699737</c:v>
                </c:pt>
                <c:pt idx="34">
                  <c:v>41180.03685601507</c:v>
                </c:pt>
                <c:pt idx="35">
                  <c:v>41308.73763503278</c:v>
                </c:pt>
                <c:pt idx="36">
                  <c:v>41437.43841405047</c:v>
                </c:pt>
                <c:pt idx="37">
                  <c:v>41566.13919306817</c:v>
                </c:pt>
                <c:pt idx="38">
                  <c:v>41694.83997208587</c:v>
                </c:pt>
                <c:pt idx="39">
                  <c:v>41823.54075110357</c:v>
                </c:pt>
                <c:pt idx="40">
                  <c:v>41952.24153012127</c:v>
                </c:pt>
                <c:pt idx="41">
                  <c:v>42080.94230913897</c:v>
                </c:pt>
                <c:pt idx="42">
                  <c:v>42209.64308815668</c:v>
                </c:pt>
                <c:pt idx="43">
                  <c:v>42338.34386717437</c:v>
                </c:pt>
                <c:pt idx="44">
                  <c:v>42467.04464619208</c:v>
                </c:pt>
                <c:pt idx="45">
                  <c:v>42595.74542520978</c:v>
                </c:pt>
                <c:pt idx="46">
                  <c:v>42724.44620422748</c:v>
                </c:pt>
                <c:pt idx="47">
                  <c:v>42853.14698324518</c:v>
                </c:pt>
                <c:pt idx="48">
                  <c:v>42981.84776226288</c:v>
                </c:pt>
                <c:pt idx="49">
                  <c:v>43110.54854128057</c:v>
                </c:pt>
                <c:pt idx="50">
                  <c:v>43239.24932029828</c:v>
                </c:pt>
                <c:pt idx="51">
                  <c:v>43367.95009931598</c:v>
                </c:pt>
                <c:pt idx="52">
                  <c:v>43496.65087833368</c:v>
                </c:pt>
                <c:pt idx="53">
                  <c:v>44225.00230424096</c:v>
                </c:pt>
                <c:pt idx="54">
                  <c:v>44953.35373014825</c:v>
                </c:pt>
                <c:pt idx="55">
                  <c:v>45681.70515605554</c:v>
                </c:pt>
                <c:pt idx="56">
                  <c:v>46410.05658196282</c:v>
                </c:pt>
                <c:pt idx="57">
                  <c:v>47138.40800787011</c:v>
                </c:pt>
                <c:pt idx="58">
                  <c:v>47866.7594337774</c:v>
                </c:pt>
                <c:pt idx="59">
                  <c:v>48595.11085968468</c:v>
                </c:pt>
                <c:pt idx="60">
                  <c:v>49323.46228559197</c:v>
                </c:pt>
                <c:pt idx="61">
                  <c:v>50051.81371149925</c:v>
                </c:pt>
                <c:pt idx="62">
                  <c:v>50780.16513740654</c:v>
                </c:pt>
                <c:pt idx="63">
                  <c:v>51508.51656331382</c:v>
                </c:pt>
                <c:pt idx="64">
                  <c:v>52236.86798922111</c:v>
                </c:pt>
                <c:pt idx="65">
                  <c:v>52965.2194151284</c:v>
                </c:pt>
                <c:pt idx="66">
                  <c:v>53693.57084103569</c:v>
                </c:pt>
                <c:pt idx="67">
                  <c:v>54421.92226694297</c:v>
                </c:pt>
                <c:pt idx="68">
                  <c:v>55150.27369285026</c:v>
                </c:pt>
                <c:pt idx="69">
                  <c:v>55878.62511875754</c:v>
                </c:pt>
                <c:pt idx="70">
                  <c:v>56606.97654466482</c:v>
                </c:pt>
                <c:pt idx="71">
                  <c:v>57335.32797057211</c:v>
                </c:pt>
                <c:pt idx="72">
                  <c:v>58063.6793964794</c:v>
                </c:pt>
                <c:pt idx="73">
                  <c:v>58792.03082238669</c:v>
                </c:pt>
                <c:pt idx="74">
                  <c:v>59520.38224829397</c:v>
                </c:pt>
                <c:pt idx="75">
                  <c:v>61220.93675860167</c:v>
                </c:pt>
                <c:pt idx="76">
                  <c:v>63893.69435330977</c:v>
                </c:pt>
                <c:pt idx="77">
                  <c:v>66566.45194801787</c:v>
                </c:pt>
                <c:pt idx="78">
                  <c:v>69239.20954272596</c:v>
                </c:pt>
                <c:pt idx="79">
                  <c:v>71911.96713743407</c:v>
                </c:pt>
                <c:pt idx="80">
                  <c:v>74584.72473214217</c:v>
                </c:pt>
                <c:pt idx="81">
                  <c:v>77257.48232685026</c:v>
                </c:pt>
                <c:pt idx="82">
                  <c:v>79930.23992155837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707256"/>
        <c:axId val="2104710616"/>
      </c:scatterChart>
      <c:catAx>
        <c:axId val="21047072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47106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047106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470725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3967.07715748568</c:v>
                </c:pt>
                <c:pt idx="27">
                  <c:v>3977.696778881789</c:v>
                </c:pt>
                <c:pt idx="28">
                  <c:v>3988.316400277897</c:v>
                </c:pt>
                <c:pt idx="29">
                  <c:v>3998.936021674005</c:v>
                </c:pt>
                <c:pt idx="30">
                  <c:v>4009.555643070113</c:v>
                </c:pt>
                <c:pt idx="31">
                  <c:v>4020.175264466221</c:v>
                </c:pt>
                <c:pt idx="32">
                  <c:v>4030.794885862329</c:v>
                </c:pt>
                <c:pt idx="33">
                  <c:v>4041.414507258437</c:v>
                </c:pt>
                <c:pt idx="34">
                  <c:v>4052.034128654545</c:v>
                </c:pt>
                <c:pt idx="35">
                  <c:v>4062.653750050654</c:v>
                </c:pt>
                <c:pt idx="36">
                  <c:v>4073.273371446762</c:v>
                </c:pt>
                <c:pt idx="37">
                  <c:v>4083.89299284287</c:v>
                </c:pt>
                <c:pt idx="38">
                  <c:v>4094.512614238978</c:v>
                </c:pt>
                <c:pt idx="39">
                  <c:v>4105.132235635085</c:v>
                </c:pt>
                <c:pt idx="40">
                  <c:v>4115.751857031194</c:v>
                </c:pt>
                <c:pt idx="41">
                  <c:v>4126.371478427302</c:v>
                </c:pt>
                <c:pt idx="42">
                  <c:v>4136.99109982341</c:v>
                </c:pt>
                <c:pt idx="43">
                  <c:v>4147.610721219518</c:v>
                </c:pt>
                <c:pt idx="44">
                  <c:v>4158.230342615627</c:v>
                </c:pt>
                <c:pt idx="45">
                  <c:v>4168.849964011735</c:v>
                </c:pt>
                <c:pt idx="46">
                  <c:v>4179.469585407842</c:v>
                </c:pt>
                <c:pt idx="47">
                  <c:v>4190.08920680395</c:v>
                </c:pt>
                <c:pt idx="48">
                  <c:v>4200.708828200059</c:v>
                </c:pt>
                <c:pt idx="49">
                  <c:v>4211.328449596167</c:v>
                </c:pt>
                <c:pt idx="50">
                  <c:v>4221.948070992275</c:v>
                </c:pt>
                <c:pt idx="51">
                  <c:v>4232.567692388384</c:v>
                </c:pt>
                <c:pt idx="52">
                  <c:v>4243.187313784491</c:v>
                </c:pt>
                <c:pt idx="53">
                  <c:v>4253.8069351806</c:v>
                </c:pt>
                <c:pt idx="54">
                  <c:v>4264.426556576708</c:v>
                </c:pt>
                <c:pt idx="55">
                  <c:v>4275.046177972816</c:v>
                </c:pt>
                <c:pt idx="56">
                  <c:v>4285.665799368924</c:v>
                </c:pt>
                <c:pt idx="57">
                  <c:v>4296.285420765032</c:v>
                </c:pt>
                <c:pt idx="58">
                  <c:v>4306.90504216114</c:v>
                </c:pt>
                <c:pt idx="59">
                  <c:v>4317.524663557248</c:v>
                </c:pt>
                <c:pt idx="60">
                  <c:v>4328.144284953356</c:v>
                </c:pt>
                <c:pt idx="61">
                  <c:v>4338.763906349464</c:v>
                </c:pt>
                <c:pt idx="62">
                  <c:v>4349.383527745573</c:v>
                </c:pt>
                <c:pt idx="63">
                  <c:v>4360.003149141681</c:v>
                </c:pt>
                <c:pt idx="64">
                  <c:v>4370.622770537788</c:v>
                </c:pt>
                <c:pt idx="65">
                  <c:v>4381.242391933897</c:v>
                </c:pt>
                <c:pt idx="66">
                  <c:v>4457.536673547243</c:v>
                </c:pt>
                <c:pt idx="67">
                  <c:v>4533.830955160589</c:v>
                </c:pt>
                <c:pt idx="68">
                  <c:v>4610.125236773935</c:v>
                </c:pt>
                <c:pt idx="69">
                  <c:v>4686.419518387282</c:v>
                </c:pt>
                <c:pt idx="70">
                  <c:v>4762.713800000627</c:v>
                </c:pt>
                <c:pt idx="71">
                  <c:v>4839.008081613973</c:v>
                </c:pt>
                <c:pt idx="72">
                  <c:v>4915.30236322732</c:v>
                </c:pt>
                <c:pt idx="73">
                  <c:v>4991.596644840666</c:v>
                </c:pt>
                <c:pt idx="74">
                  <c:v>5067.89092645401</c:v>
                </c:pt>
                <c:pt idx="75">
                  <c:v>5144.185208067357</c:v>
                </c:pt>
                <c:pt idx="76">
                  <c:v>5220.479489680704</c:v>
                </c:pt>
                <c:pt idx="77">
                  <c:v>5296.773771294051</c:v>
                </c:pt>
                <c:pt idx="78">
                  <c:v>5373.068052907396</c:v>
                </c:pt>
                <c:pt idx="79">
                  <c:v>5449.362334520742</c:v>
                </c:pt>
                <c:pt idx="80">
                  <c:v>5525.656616134088</c:v>
                </c:pt>
                <c:pt idx="81">
                  <c:v>5601.950897747434</c:v>
                </c:pt>
                <c:pt idx="82">
                  <c:v>5678.24517936078</c:v>
                </c:pt>
                <c:pt idx="83">
                  <c:v>5754.539460974127</c:v>
                </c:pt>
                <c:pt idx="84">
                  <c:v>5830.833742587472</c:v>
                </c:pt>
                <c:pt idx="85">
                  <c:v>5907.128024200818</c:v>
                </c:pt>
                <c:pt idx="86">
                  <c:v>5983.422305814165</c:v>
                </c:pt>
                <c:pt idx="87">
                  <c:v>6059.716587427511</c:v>
                </c:pt>
                <c:pt idx="88">
                  <c:v>6101.312751295072</c:v>
                </c:pt>
                <c:pt idx="89">
                  <c:v>6108.210797416848</c:v>
                </c:pt>
                <c:pt idx="90">
                  <c:v>6115.108843538625</c:v>
                </c:pt>
                <c:pt idx="91">
                  <c:v>6122.0068896604</c:v>
                </c:pt>
                <c:pt idx="92">
                  <c:v>6128.904935782177</c:v>
                </c:pt>
                <c:pt idx="93">
                  <c:v>6135.802981903953</c:v>
                </c:pt>
                <c:pt idx="94">
                  <c:v>6142.70102802573</c:v>
                </c:pt>
                <c:pt idx="95">
                  <c:v>6149.599074147506</c:v>
                </c:pt>
                <c:pt idx="96">
                  <c:v>6156.497120269282</c:v>
                </c:pt>
                <c:pt idx="97">
                  <c:v>6163.395166391058</c:v>
                </c:pt>
                <c:pt idx="98">
                  <c:v>6166.844189451946</c:v>
                </c:pt>
                <c:pt idx="99">
                  <c:v>6166.844189451946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30.96157110106187</c:v>
                </c:pt>
                <c:pt idx="27">
                  <c:v>61.92314220212374</c:v>
                </c:pt>
                <c:pt idx="28">
                  <c:v>92.88471330318562</c:v>
                </c:pt>
                <c:pt idx="29">
                  <c:v>123.8462844042475</c:v>
                </c:pt>
                <c:pt idx="30">
                  <c:v>154.8078555053094</c:v>
                </c:pt>
                <c:pt idx="31">
                  <c:v>185.7694266063712</c:v>
                </c:pt>
                <c:pt idx="32">
                  <c:v>216.7309977074331</c:v>
                </c:pt>
                <c:pt idx="33">
                  <c:v>247.692568808495</c:v>
                </c:pt>
                <c:pt idx="34">
                  <c:v>278.6541399095569</c:v>
                </c:pt>
                <c:pt idx="35">
                  <c:v>309.6157110106187</c:v>
                </c:pt>
                <c:pt idx="36">
                  <c:v>340.5772821116806</c:v>
                </c:pt>
                <c:pt idx="37">
                  <c:v>371.5388532127425</c:v>
                </c:pt>
                <c:pt idx="38">
                  <c:v>402.5004243138043</c:v>
                </c:pt>
                <c:pt idx="39">
                  <c:v>433.4619954148662</c:v>
                </c:pt>
                <c:pt idx="40">
                  <c:v>464.4235665159281</c:v>
                </c:pt>
                <c:pt idx="41">
                  <c:v>495.3851376169899</c:v>
                </c:pt>
                <c:pt idx="42">
                  <c:v>526.3467087180518</c:v>
                </c:pt>
                <c:pt idx="43">
                  <c:v>557.3082798191137</c:v>
                </c:pt>
                <c:pt idx="44">
                  <c:v>588.2698509201755</c:v>
                </c:pt>
                <c:pt idx="45">
                  <c:v>619.2314220212374</c:v>
                </c:pt>
                <c:pt idx="46">
                  <c:v>650.1929931222993</c:v>
                </c:pt>
                <c:pt idx="47">
                  <c:v>681.1545642233611</c:v>
                </c:pt>
                <c:pt idx="48">
                  <c:v>712.1161353244231</c:v>
                </c:pt>
                <c:pt idx="49">
                  <c:v>743.077706425485</c:v>
                </c:pt>
                <c:pt idx="50">
                  <c:v>774.0392775265468</c:v>
                </c:pt>
                <c:pt idx="51">
                  <c:v>805.0008486276086</c:v>
                </c:pt>
                <c:pt idx="52">
                  <c:v>835.9624197286706</c:v>
                </c:pt>
                <c:pt idx="53">
                  <c:v>866.9239908297324</c:v>
                </c:pt>
                <c:pt idx="54">
                  <c:v>897.8855619307942</c:v>
                </c:pt>
                <c:pt idx="55">
                  <c:v>928.8471330318562</c:v>
                </c:pt>
                <c:pt idx="56">
                  <c:v>959.8087041329181</c:v>
                </c:pt>
                <c:pt idx="57">
                  <c:v>990.7702752339798</c:v>
                </c:pt>
                <c:pt idx="58">
                  <c:v>1021.731846335042</c:v>
                </c:pt>
                <c:pt idx="59">
                  <c:v>1052.693417436104</c:v>
                </c:pt>
                <c:pt idx="60">
                  <c:v>1083.654988537166</c:v>
                </c:pt>
                <c:pt idx="61">
                  <c:v>1114.616559638227</c:v>
                </c:pt>
                <c:pt idx="62">
                  <c:v>1145.578130739289</c:v>
                </c:pt>
                <c:pt idx="63">
                  <c:v>1176.539701840351</c:v>
                </c:pt>
                <c:pt idx="64">
                  <c:v>1207.501272941413</c:v>
                </c:pt>
                <c:pt idx="65">
                  <c:v>1238.462844042475</c:v>
                </c:pt>
                <c:pt idx="66">
                  <c:v>1421.829086501714</c:v>
                </c:pt>
                <c:pt idx="67">
                  <c:v>1605.195328960954</c:v>
                </c:pt>
                <c:pt idx="68">
                  <c:v>1788.561571420193</c:v>
                </c:pt>
                <c:pt idx="69">
                  <c:v>1971.927813879433</c:v>
                </c:pt>
                <c:pt idx="70">
                  <c:v>2155.294056338672</c:v>
                </c:pt>
                <c:pt idx="71">
                  <c:v>2338.660298797911</c:v>
                </c:pt>
                <c:pt idx="72">
                  <c:v>2522.026541257151</c:v>
                </c:pt>
                <c:pt idx="73">
                  <c:v>2705.39278371639</c:v>
                </c:pt>
                <c:pt idx="74">
                  <c:v>2888.75902617563</c:v>
                </c:pt>
                <c:pt idx="75">
                  <c:v>3072.125268634869</c:v>
                </c:pt>
                <c:pt idx="76">
                  <c:v>3255.491511094108</c:v>
                </c:pt>
                <c:pt idx="77">
                  <c:v>3438.857753553347</c:v>
                </c:pt>
                <c:pt idx="78">
                  <c:v>3622.223996012587</c:v>
                </c:pt>
                <c:pt idx="79">
                  <c:v>3805.590238471827</c:v>
                </c:pt>
                <c:pt idx="80">
                  <c:v>3988.956480931065</c:v>
                </c:pt>
                <c:pt idx="81">
                  <c:v>4172.322723390305</c:v>
                </c:pt>
                <c:pt idx="82">
                  <c:v>4355.688965849544</c:v>
                </c:pt>
                <c:pt idx="83">
                  <c:v>4539.055208308784</c:v>
                </c:pt>
                <c:pt idx="84">
                  <c:v>4722.421450768023</c:v>
                </c:pt>
                <c:pt idx="85">
                  <c:v>4905.787693227263</c:v>
                </c:pt>
                <c:pt idx="86">
                  <c:v>5089.153935686502</c:v>
                </c:pt>
                <c:pt idx="87">
                  <c:v>5272.520178145741</c:v>
                </c:pt>
                <c:pt idx="88">
                  <c:v>5476.157114284384</c:v>
                </c:pt>
                <c:pt idx="89">
                  <c:v>5700.06474410243</c:v>
                </c:pt>
                <c:pt idx="90">
                  <c:v>5923.972373920476</c:v>
                </c:pt>
                <c:pt idx="91">
                  <c:v>6147.880003738522</c:v>
                </c:pt>
                <c:pt idx="92">
                  <c:v>6371.787633556567</c:v>
                </c:pt>
                <c:pt idx="93">
                  <c:v>6595.695263374614</c:v>
                </c:pt>
                <c:pt idx="94">
                  <c:v>6819.60289319266</c:v>
                </c:pt>
                <c:pt idx="95">
                  <c:v>7043.510523010705</c:v>
                </c:pt>
                <c:pt idx="96">
                  <c:v>7267.418152828752</c:v>
                </c:pt>
                <c:pt idx="97">
                  <c:v>7491.325782646798</c:v>
                </c:pt>
                <c:pt idx="98">
                  <c:v>7603.279597555821</c:v>
                </c:pt>
                <c:pt idx="99">
                  <c:v>7603.279597555821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283.6348255839731</c:v>
                </c:pt>
                <c:pt idx="27">
                  <c:v>287.4506902310973</c:v>
                </c:pt>
                <c:pt idx="28">
                  <c:v>291.2665548782215</c:v>
                </c:pt>
                <c:pt idx="29">
                  <c:v>295.0824195253456</c:v>
                </c:pt>
                <c:pt idx="30">
                  <c:v>298.8982841724699</c:v>
                </c:pt>
                <c:pt idx="31">
                  <c:v>302.714148819594</c:v>
                </c:pt>
                <c:pt idx="32">
                  <c:v>306.5300134667182</c:v>
                </c:pt>
                <c:pt idx="33">
                  <c:v>310.3458781138423</c:v>
                </c:pt>
                <c:pt idx="34">
                  <c:v>314.1617427609665</c:v>
                </c:pt>
                <c:pt idx="35">
                  <c:v>317.9776074080907</c:v>
                </c:pt>
                <c:pt idx="36">
                  <c:v>321.7934720552149</c:v>
                </c:pt>
                <c:pt idx="37">
                  <c:v>325.6093367023391</c:v>
                </c:pt>
                <c:pt idx="38">
                  <c:v>329.4252013494632</c:v>
                </c:pt>
                <c:pt idx="39">
                  <c:v>333.2410659965875</c:v>
                </c:pt>
                <c:pt idx="40">
                  <c:v>337.0569306437116</c:v>
                </c:pt>
                <c:pt idx="41">
                  <c:v>340.8727952908358</c:v>
                </c:pt>
                <c:pt idx="42">
                  <c:v>344.68865993796</c:v>
                </c:pt>
                <c:pt idx="43">
                  <c:v>348.5045245850841</c:v>
                </c:pt>
                <c:pt idx="44">
                  <c:v>352.3203892322083</c:v>
                </c:pt>
                <c:pt idx="45">
                  <c:v>356.1362538793325</c:v>
                </c:pt>
                <c:pt idx="46">
                  <c:v>359.9521185264567</c:v>
                </c:pt>
                <c:pt idx="47">
                  <c:v>363.7679831735808</c:v>
                </c:pt>
                <c:pt idx="48">
                  <c:v>367.583847820705</c:v>
                </c:pt>
                <c:pt idx="49">
                  <c:v>371.3997124678292</c:v>
                </c:pt>
                <c:pt idx="50">
                  <c:v>375.2155771149534</c:v>
                </c:pt>
                <c:pt idx="51">
                  <c:v>379.0314417620775</c:v>
                </c:pt>
                <c:pt idx="52">
                  <c:v>382.8473064092017</c:v>
                </c:pt>
                <c:pt idx="53">
                  <c:v>386.6631710563259</c:v>
                </c:pt>
                <c:pt idx="54">
                  <c:v>390.4790357034501</c:v>
                </c:pt>
                <c:pt idx="55">
                  <c:v>394.2949003505743</c:v>
                </c:pt>
                <c:pt idx="56">
                  <c:v>398.1107649976984</c:v>
                </c:pt>
                <c:pt idx="57">
                  <c:v>401.9266296448226</c:v>
                </c:pt>
                <c:pt idx="58">
                  <c:v>405.7424942919468</c:v>
                </c:pt>
                <c:pt idx="59">
                  <c:v>409.558358939071</c:v>
                </c:pt>
                <c:pt idx="60">
                  <c:v>413.3742235861951</c:v>
                </c:pt>
                <c:pt idx="61">
                  <c:v>417.1900882333193</c:v>
                </c:pt>
                <c:pt idx="62">
                  <c:v>421.0059528804435</c:v>
                </c:pt>
                <c:pt idx="63">
                  <c:v>424.8218175275676</c:v>
                </c:pt>
                <c:pt idx="64">
                  <c:v>428.6376821746918</c:v>
                </c:pt>
                <c:pt idx="65">
                  <c:v>432.453546821816</c:v>
                </c:pt>
                <c:pt idx="66">
                  <c:v>446.3519120775495</c:v>
                </c:pt>
                <c:pt idx="67">
                  <c:v>460.250277333283</c:v>
                </c:pt>
                <c:pt idx="68">
                  <c:v>474.1486425890165</c:v>
                </c:pt>
                <c:pt idx="69">
                  <c:v>488.04700784475</c:v>
                </c:pt>
                <c:pt idx="70">
                  <c:v>501.9453731004835</c:v>
                </c:pt>
                <c:pt idx="71">
                  <c:v>515.843738356217</c:v>
                </c:pt>
                <c:pt idx="72">
                  <c:v>529.7421036119505</c:v>
                </c:pt>
                <c:pt idx="73">
                  <c:v>543.640468867684</c:v>
                </c:pt>
                <c:pt idx="74">
                  <c:v>557.5388341234174</c:v>
                </c:pt>
                <c:pt idx="75">
                  <c:v>571.437199379151</c:v>
                </c:pt>
                <c:pt idx="76">
                  <c:v>585.3355646348843</c:v>
                </c:pt>
                <c:pt idx="77">
                  <c:v>599.233929890618</c:v>
                </c:pt>
                <c:pt idx="78">
                  <c:v>613.1322951463513</c:v>
                </c:pt>
                <c:pt idx="79">
                  <c:v>627.0306604020849</c:v>
                </c:pt>
                <c:pt idx="80">
                  <c:v>640.9290256578183</c:v>
                </c:pt>
                <c:pt idx="81">
                  <c:v>654.8273909135519</c:v>
                </c:pt>
                <c:pt idx="82">
                  <c:v>668.7257561692853</c:v>
                </c:pt>
                <c:pt idx="83">
                  <c:v>682.6241214250188</c:v>
                </c:pt>
                <c:pt idx="84">
                  <c:v>696.5224866807523</c:v>
                </c:pt>
                <c:pt idx="85">
                  <c:v>710.4208519364858</c:v>
                </c:pt>
                <c:pt idx="86">
                  <c:v>724.3192171922193</c:v>
                </c:pt>
                <c:pt idx="87">
                  <c:v>738.2175824479527</c:v>
                </c:pt>
                <c:pt idx="88">
                  <c:v>804.95154812959</c:v>
                </c:pt>
                <c:pt idx="89">
                  <c:v>924.521114237131</c:v>
                </c:pt>
                <c:pt idx="90">
                  <c:v>1044.090680344672</c:v>
                </c:pt>
                <c:pt idx="91">
                  <c:v>1163.660246452213</c:v>
                </c:pt>
                <c:pt idx="92">
                  <c:v>1283.229812559754</c:v>
                </c:pt>
                <c:pt idx="93">
                  <c:v>1402.799378667296</c:v>
                </c:pt>
                <c:pt idx="94">
                  <c:v>1522.368944774837</c:v>
                </c:pt>
                <c:pt idx="95">
                  <c:v>1641.938510882378</c:v>
                </c:pt>
                <c:pt idx="96">
                  <c:v>1761.508076989919</c:v>
                </c:pt>
                <c:pt idx="97">
                  <c:v>1881.07764309746</c:v>
                </c:pt>
                <c:pt idx="98">
                  <c:v>1940.86242615123</c:v>
                </c:pt>
                <c:pt idx="99">
                  <c:v>1940.86242615123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18.51768606522839</c:v>
                </c:pt>
                <c:pt idx="27">
                  <c:v>37.03537213045678</c:v>
                </c:pt>
                <c:pt idx="28">
                  <c:v>55.55305819568517</c:v>
                </c:pt>
                <c:pt idx="29">
                  <c:v>74.07074426091357</c:v>
                </c:pt>
                <c:pt idx="30">
                  <c:v>92.58843032614196</c:v>
                </c:pt>
                <c:pt idx="31">
                  <c:v>111.1061163913703</c:v>
                </c:pt>
                <c:pt idx="32">
                  <c:v>129.6238024565988</c:v>
                </c:pt>
                <c:pt idx="33">
                  <c:v>148.1414885218271</c:v>
                </c:pt>
                <c:pt idx="34">
                  <c:v>166.6591745870555</c:v>
                </c:pt>
                <c:pt idx="35">
                  <c:v>185.176860652284</c:v>
                </c:pt>
                <c:pt idx="36">
                  <c:v>203.6945467175123</c:v>
                </c:pt>
                <c:pt idx="37">
                  <c:v>222.2122327827407</c:v>
                </c:pt>
                <c:pt idx="38">
                  <c:v>240.7299188479691</c:v>
                </c:pt>
                <c:pt idx="39">
                  <c:v>259.2476049131975</c:v>
                </c:pt>
                <c:pt idx="40">
                  <c:v>277.7652909784259</c:v>
                </c:pt>
                <c:pt idx="41">
                  <c:v>296.2829770436543</c:v>
                </c:pt>
                <c:pt idx="42">
                  <c:v>314.8006631088826</c:v>
                </c:pt>
                <c:pt idx="43">
                  <c:v>333.3183491741111</c:v>
                </c:pt>
                <c:pt idx="44">
                  <c:v>351.8360352393394</c:v>
                </c:pt>
                <c:pt idx="45">
                  <c:v>370.3537213045678</c:v>
                </c:pt>
                <c:pt idx="46">
                  <c:v>388.8714073697962</c:v>
                </c:pt>
                <c:pt idx="47">
                  <c:v>407.3890934350246</c:v>
                </c:pt>
                <c:pt idx="48">
                  <c:v>425.906779500253</c:v>
                </c:pt>
                <c:pt idx="49">
                  <c:v>444.4244655654814</c:v>
                </c:pt>
                <c:pt idx="50">
                  <c:v>462.9421516307098</c:v>
                </c:pt>
                <c:pt idx="51">
                  <c:v>481.4598376959382</c:v>
                </c:pt>
                <c:pt idx="52">
                  <c:v>499.9775237611666</c:v>
                </c:pt>
                <c:pt idx="53">
                  <c:v>518.495209826395</c:v>
                </c:pt>
                <c:pt idx="54">
                  <c:v>537.0128958916233</c:v>
                </c:pt>
                <c:pt idx="55">
                  <c:v>555.5305819568518</c:v>
                </c:pt>
                <c:pt idx="56">
                  <c:v>574.0482680220802</c:v>
                </c:pt>
                <c:pt idx="57">
                  <c:v>592.5659540873086</c:v>
                </c:pt>
                <c:pt idx="58">
                  <c:v>611.0836401525368</c:v>
                </c:pt>
                <c:pt idx="59">
                  <c:v>629.6013262177652</c:v>
                </c:pt>
                <c:pt idx="60">
                  <c:v>648.1190122829937</c:v>
                </c:pt>
                <c:pt idx="61">
                  <c:v>666.6366983482221</c:v>
                </c:pt>
                <c:pt idx="62">
                  <c:v>685.1543844134505</c:v>
                </c:pt>
                <c:pt idx="63">
                  <c:v>703.6720704786788</c:v>
                </c:pt>
                <c:pt idx="64">
                  <c:v>722.1897565439073</c:v>
                </c:pt>
                <c:pt idx="65">
                  <c:v>740.7074426091356</c:v>
                </c:pt>
                <c:pt idx="66">
                  <c:v>938.2294273049051</c:v>
                </c:pt>
                <c:pt idx="67">
                  <c:v>1135.751412000675</c:v>
                </c:pt>
                <c:pt idx="68">
                  <c:v>1333.273396696444</c:v>
                </c:pt>
                <c:pt idx="69">
                  <c:v>1530.795381392214</c:v>
                </c:pt>
                <c:pt idx="70">
                  <c:v>1728.317366087983</c:v>
                </c:pt>
                <c:pt idx="71">
                  <c:v>1925.839350783753</c:v>
                </c:pt>
                <c:pt idx="72">
                  <c:v>2123.361335479522</c:v>
                </c:pt>
                <c:pt idx="73">
                  <c:v>2320.883320175292</c:v>
                </c:pt>
                <c:pt idx="74">
                  <c:v>2518.405304871061</c:v>
                </c:pt>
                <c:pt idx="75">
                  <c:v>2715.92728956683</c:v>
                </c:pt>
                <c:pt idx="76">
                  <c:v>2913.4492742626</c:v>
                </c:pt>
                <c:pt idx="77">
                  <c:v>3110.97125895837</c:v>
                </c:pt>
                <c:pt idx="78">
                  <c:v>3308.49324365414</c:v>
                </c:pt>
                <c:pt idx="79">
                  <c:v>3506.015228349909</c:v>
                </c:pt>
                <c:pt idx="80">
                  <c:v>3703.537213045678</c:v>
                </c:pt>
                <c:pt idx="81">
                  <c:v>3901.059197741448</c:v>
                </c:pt>
                <c:pt idx="82">
                  <c:v>4098.581182437216</c:v>
                </c:pt>
                <c:pt idx="83">
                  <c:v>4296.103167132986</c:v>
                </c:pt>
                <c:pt idx="84">
                  <c:v>4493.625151828756</c:v>
                </c:pt>
                <c:pt idx="85">
                  <c:v>4691.147136524525</c:v>
                </c:pt>
                <c:pt idx="86">
                  <c:v>4888.669121220295</c:v>
                </c:pt>
                <c:pt idx="87">
                  <c:v>5086.191105916065</c:v>
                </c:pt>
                <c:pt idx="88">
                  <c:v>5653.243803646837</c:v>
                </c:pt>
                <c:pt idx="89">
                  <c:v>6589.82721441261</c:v>
                </c:pt>
                <c:pt idx="90">
                  <c:v>7526.410625178385</c:v>
                </c:pt>
                <c:pt idx="91">
                  <c:v>8462.994035944159</c:v>
                </c:pt>
                <c:pt idx="92">
                  <c:v>9399.577446709932</c:v>
                </c:pt>
                <c:pt idx="93">
                  <c:v>10336.16085747571</c:v>
                </c:pt>
                <c:pt idx="94">
                  <c:v>11272.74426824148</c:v>
                </c:pt>
                <c:pt idx="95">
                  <c:v>12209.32767900725</c:v>
                </c:pt>
                <c:pt idx="96">
                  <c:v>13145.91108977303</c:v>
                </c:pt>
                <c:pt idx="97">
                  <c:v>14082.4945005388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7.333483493238833</c:v>
                </c:pt>
                <c:pt idx="89">
                  <c:v>22.0004504797165</c:v>
                </c:pt>
                <c:pt idx="90">
                  <c:v>36.66741746619417</c:v>
                </c:pt>
                <c:pt idx="91">
                  <c:v>51.33438445267184</c:v>
                </c:pt>
                <c:pt idx="92">
                  <c:v>66.00135143914948</c:v>
                </c:pt>
                <c:pt idx="93">
                  <c:v>80.66831842562718</c:v>
                </c:pt>
                <c:pt idx="94">
                  <c:v>95.33528541210482</c:v>
                </c:pt>
                <c:pt idx="95">
                  <c:v>110.0022523985825</c:v>
                </c:pt>
                <c:pt idx="96">
                  <c:v>124.6692193850602</c:v>
                </c:pt>
                <c:pt idx="97">
                  <c:v>139.3361863715378</c:v>
                </c:pt>
                <c:pt idx="98">
                  <c:v>146.6696698647767</c:v>
                </c:pt>
                <c:pt idx="99">
                  <c:v>146.6696698647767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64.7860358081781</c:v>
                </c:pt>
                <c:pt idx="27">
                  <c:v>129.5720716163562</c:v>
                </c:pt>
                <c:pt idx="28">
                  <c:v>194.3581074245343</c:v>
                </c:pt>
                <c:pt idx="29">
                  <c:v>259.1441432327124</c:v>
                </c:pt>
                <c:pt idx="30">
                  <c:v>323.9301790408905</c:v>
                </c:pt>
                <c:pt idx="31">
                  <c:v>388.7162148490686</c:v>
                </c:pt>
                <c:pt idx="32">
                  <c:v>453.5022506572467</c:v>
                </c:pt>
                <c:pt idx="33">
                  <c:v>518.2882864654248</c:v>
                </c:pt>
                <c:pt idx="34">
                  <c:v>583.0743222736028</c:v>
                </c:pt>
                <c:pt idx="35">
                  <c:v>647.860358081781</c:v>
                </c:pt>
                <c:pt idx="36">
                  <c:v>712.6463938899591</c:v>
                </c:pt>
                <c:pt idx="37">
                  <c:v>777.4324296981372</c:v>
                </c:pt>
                <c:pt idx="38">
                  <c:v>842.2184655063152</c:v>
                </c:pt>
                <c:pt idx="39">
                  <c:v>907.0045013144934</c:v>
                </c:pt>
                <c:pt idx="40">
                  <c:v>971.7905371226713</c:v>
                </c:pt>
                <c:pt idx="41">
                  <c:v>1036.57657293085</c:v>
                </c:pt>
                <c:pt idx="42">
                  <c:v>1101.362608739028</c:v>
                </c:pt>
                <c:pt idx="43">
                  <c:v>1166.148644547206</c:v>
                </c:pt>
                <c:pt idx="44">
                  <c:v>1230.934680355384</c:v>
                </c:pt>
                <c:pt idx="45">
                  <c:v>1295.720716163562</c:v>
                </c:pt>
                <c:pt idx="46">
                  <c:v>1360.50675197174</c:v>
                </c:pt>
                <c:pt idx="47">
                  <c:v>1425.292787779918</c:v>
                </c:pt>
                <c:pt idx="48">
                  <c:v>1490.078823588096</c:v>
                </c:pt>
                <c:pt idx="49">
                  <c:v>1554.864859396274</c:v>
                </c:pt>
                <c:pt idx="50">
                  <c:v>1619.650895204453</c:v>
                </c:pt>
                <c:pt idx="51">
                  <c:v>1684.436931012631</c:v>
                </c:pt>
                <c:pt idx="52">
                  <c:v>1749.222966820809</c:v>
                </c:pt>
                <c:pt idx="53">
                  <c:v>1814.009002628987</c:v>
                </c:pt>
                <c:pt idx="54">
                  <c:v>1878.795038437165</c:v>
                </c:pt>
                <c:pt idx="55">
                  <c:v>1943.581074245343</c:v>
                </c:pt>
                <c:pt idx="56">
                  <c:v>2008.367110053521</c:v>
                </c:pt>
                <c:pt idx="57">
                  <c:v>2073.1531458617</c:v>
                </c:pt>
                <c:pt idx="58">
                  <c:v>2137.939181669877</c:v>
                </c:pt>
                <c:pt idx="59">
                  <c:v>2202.725217478056</c:v>
                </c:pt>
                <c:pt idx="60">
                  <c:v>2267.511253286233</c:v>
                </c:pt>
                <c:pt idx="61">
                  <c:v>2332.297289094412</c:v>
                </c:pt>
                <c:pt idx="62">
                  <c:v>2397.08332490259</c:v>
                </c:pt>
                <c:pt idx="63">
                  <c:v>2461.869360710768</c:v>
                </c:pt>
                <c:pt idx="64">
                  <c:v>2526.655396518946</c:v>
                </c:pt>
                <c:pt idx="65">
                  <c:v>2591.441432327124</c:v>
                </c:pt>
                <c:pt idx="66">
                  <c:v>2525.778435054102</c:v>
                </c:pt>
                <c:pt idx="67">
                  <c:v>2460.115437781081</c:v>
                </c:pt>
                <c:pt idx="68">
                  <c:v>2394.45244050806</c:v>
                </c:pt>
                <c:pt idx="69">
                  <c:v>2328.789443235038</c:v>
                </c:pt>
                <c:pt idx="70">
                  <c:v>2263.126445962017</c:v>
                </c:pt>
                <c:pt idx="71">
                  <c:v>2197.463448688995</c:v>
                </c:pt>
                <c:pt idx="72">
                  <c:v>2131.800451415973</c:v>
                </c:pt>
                <c:pt idx="73">
                  <c:v>2066.137454142952</c:v>
                </c:pt>
                <c:pt idx="74">
                  <c:v>2000.47445686993</c:v>
                </c:pt>
                <c:pt idx="75">
                  <c:v>1934.811459596909</c:v>
                </c:pt>
                <c:pt idx="76">
                  <c:v>1869.148462323888</c:v>
                </c:pt>
                <c:pt idx="77">
                  <c:v>1803.485465050866</c:v>
                </c:pt>
                <c:pt idx="78">
                  <c:v>1737.822467777844</c:v>
                </c:pt>
                <c:pt idx="79">
                  <c:v>1672.159470504823</c:v>
                </c:pt>
                <c:pt idx="80">
                  <c:v>1606.496473231801</c:v>
                </c:pt>
                <c:pt idx="81">
                  <c:v>1540.83347595878</c:v>
                </c:pt>
                <c:pt idx="82">
                  <c:v>1475.170478685758</c:v>
                </c:pt>
                <c:pt idx="83">
                  <c:v>1409.507481412737</c:v>
                </c:pt>
                <c:pt idx="84">
                  <c:v>1343.844484139715</c:v>
                </c:pt>
                <c:pt idx="85">
                  <c:v>1278.181486866694</c:v>
                </c:pt>
                <c:pt idx="86">
                  <c:v>1212.518489593672</c:v>
                </c:pt>
                <c:pt idx="87">
                  <c:v>1146.855492320651</c:v>
                </c:pt>
                <c:pt idx="88">
                  <c:v>1058.322793999933</c:v>
                </c:pt>
                <c:pt idx="89">
                  <c:v>946.9203946315191</c:v>
                </c:pt>
                <c:pt idx="90">
                  <c:v>835.5179952631051</c:v>
                </c:pt>
                <c:pt idx="91">
                  <c:v>724.1155958946911</c:v>
                </c:pt>
                <c:pt idx="92">
                  <c:v>612.713196526277</c:v>
                </c:pt>
                <c:pt idx="93">
                  <c:v>501.310797157863</c:v>
                </c:pt>
                <c:pt idx="94">
                  <c:v>389.9083977894491</c:v>
                </c:pt>
                <c:pt idx="95">
                  <c:v>278.505998421035</c:v>
                </c:pt>
                <c:pt idx="96">
                  <c:v>167.1035990526211</c:v>
                </c:pt>
                <c:pt idx="97">
                  <c:v>55.70119968420704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2288.621396008316</c:v>
                </c:pt>
                <c:pt idx="89">
                  <c:v>6865.864188024948</c:v>
                </c:pt>
                <c:pt idx="90">
                  <c:v>11443.10698004158</c:v>
                </c:pt>
                <c:pt idx="91">
                  <c:v>16020.34977205821</c:v>
                </c:pt>
                <c:pt idx="92">
                  <c:v>20597.59256407485</c:v>
                </c:pt>
                <c:pt idx="93">
                  <c:v>25174.83535609148</c:v>
                </c:pt>
                <c:pt idx="94">
                  <c:v>29752.07814810811</c:v>
                </c:pt>
                <c:pt idx="95">
                  <c:v>34329.32094012475</c:v>
                </c:pt>
                <c:pt idx="96">
                  <c:v>38906.56373214138</c:v>
                </c:pt>
                <c:pt idx="97">
                  <c:v>43483.806524158</c:v>
                </c:pt>
                <c:pt idx="98">
                  <c:v>45772.42792016633</c:v>
                </c:pt>
                <c:pt idx="99">
                  <c:v>45772.42792016633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28.24564381149504</c:v>
                </c:pt>
                <c:pt idx="67">
                  <c:v>56.49128762299008</c:v>
                </c:pt>
                <c:pt idx="68">
                  <c:v>84.73693143448511</c:v>
                </c:pt>
                <c:pt idx="69">
                  <c:v>112.9825752459802</c:v>
                </c:pt>
                <c:pt idx="70">
                  <c:v>141.2282190574751</c:v>
                </c:pt>
                <c:pt idx="71">
                  <c:v>169.4738628689702</c:v>
                </c:pt>
                <c:pt idx="72">
                  <c:v>197.7195066804653</c:v>
                </c:pt>
                <c:pt idx="73">
                  <c:v>225.9651504919603</c:v>
                </c:pt>
                <c:pt idx="74">
                  <c:v>254.2107943034553</c:v>
                </c:pt>
                <c:pt idx="75">
                  <c:v>282.4564381149503</c:v>
                </c:pt>
                <c:pt idx="76">
                  <c:v>310.7020819264454</c:v>
                </c:pt>
                <c:pt idx="77">
                  <c:v>338.9477257379405</c:v>
                </c:pt>
                <c:pt idx="78">
                  <c:v>367.1933695494355</c:v>
                </c:pt>
                <c:pt idx="79">
                  <c:v>395.4390133609306</c:v>
                </c:pt>
                <c:pt idx="80">
                  <c:v>423.6846571724255</c:v>
                </c:pt>
                <c:pt idx="81">
                  <c:v>451.9303009839206</c:v>
                </c:pt>
                <c:pt idx="82">
                  <c:v>480.1759447954157</c:v>
                </c:pt>
                <c:pt idx="83">
                  <c:v>508.4215886069107</c:v>
                </c:pt>
                <c:pt idx="84">
                  <c:v>536.6672324184058</c:v>
                </c:pt>
                <c:pt idx="85">
                  <c:v>564.9128762299007</c:v>
                </c:pt>
                <c:pt idx="86">
                  <c:v>593.1585200413958</c:v>
                </c:pt>
                <c:pt idx="87">
                  <c:v>621.4041638528909</c:v>
                </c:pt>
                <c:pt idx="88">
                  <c:v>603.7506364707064</c:v>
                </c:pt>
                <c:pt idx="89">
                  <c:v>540.1979378948427</c:v>
                </c:pt>
                <c:pt idx="90">
                  <c:v>476.6452393189788</c:v>
                </c:pt>
                <c:pt idx="91">
                  <c:v>413.0925407431149</c:v>
                </c:pt>
                <c:pt idx="92">
                  <c:v>349.5398421672511</c:v>
                </c:pt>
                <c:pt idx="93">
                  <c:v>285.9871435913873</c:v>
                </c:pt>
                <c:pt idx="94">
                  <c:v>222.4344450155235</c:v>
                </c:pt>
                <c:pt idx="95">
                  <c:v>158.8817464396596</c:v>
                </c:pt>
                <c:pt idx="96">
                  <c:v>95.32904786379572</c:v>
                </c:pt>
                <c:pt idx="97">
                  <c:v>31.77634928793191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142.2158289809541</c:v>
                </c:pt>
                <c:pt idx="67">
                  <c:v>284.4316579619081</c:v>
                </c:pt>
                <c:pt idx="68">
                  <c:v>426.6474869428621</c:v>
                </c:pt>
                <c:pt idx="69">
                  <c:v>568.8633159238162</c:v>
                </c:pt>
                <c:pt idx="70">
                  <c:v>711.0791449047702</c:v>
                </c:pt>
                <c:pt idx="71">
                  <c:v>853.2949738857243</c:v>
                </c:pt>
                <c:pt idx="72">
                  <c:v>995.5108028666784</c:v>
                </c:pt>
                <c:pt idx="73">
                  <c:v>1137.726631847632</c:v>
                </c:pt>
                <c:pt idx="74">
                  <c:v>1279.942460828586</c:v>
                </c:pt>
                <c:pt idx="75">
                  <c:v>1422.158289809541</c:v>
                </c:pt>
                <c:pt idx="76">
                  <c:v>1564.374118790495</c:v>
                </c:pt>
                <c:pt idx="77">
                  <c:v>1706.589947771449</c:v>
                </c:pt>
                <c:pt idx="78">
                  <c:v>1848.805776752403</c:v>
                </c:pt>
                <c:pt idx="79">
                  <c:v>1991.021605733357</c:v>
                </c:pt>
                <c:pt idx="80">
                  <c:v>2133.237434714311</c:v>
                </c:pt>
                <c:pt idx="81">
                  <c:v>2275.453263695265</c:v>
                </c:pt>
                <c:pt idx="82">
                  <c:v>2417.669092676219</c:v>
                </c:pt>
                <c:pt idx="83">
                  <c:v>2559.884921657173</c:v>
                </c:pt>
                <c:pt idx="84">
                  <c:v>2702.100750638127</c:v>
                </c:pt>
                <c:pt idx="85">
                  <c:v>2844.316579619081</c:v>
                </c:pt>
                <c:pt idx="86">
                  <c:v>2986.532408600035</c:v>
                </c:pt>
                <c:pt idx="87">
                  <c:v>3128.74823758099</c:v>
                </c:pt>
                <c:pt idx="88">
                  <c:v>3039.863344467893</c:v>
                </c:pt>
                <c:pt idx="89">
                  <c:v>2719.877729260746</c:v>
                </c:pt>
                <c:pt idx="90">
                  <c:v>2399.8921140536</c:v>
                </c:pt>
                <c:pt idx="91">
                  <c:v>2079.906498846453</c:v>
                </c:pt>
                <c:pt idx="92">
                  <c:v>1759.920883639306</c:v>
                </c:pt>
                <c:pt idx="93">
                  <c:v>1439.93526843216</c:v>
                </c:pt>
                <c:pt idx="94">
                  <c:v>1119.949653225013</c:v>
                </c:pt>
                <c:pt idx="95">
                  <c:v>799.9640380178666</c:v>
                </c:pt>
                <c:pt idx="96">
                  <c:v>479.9784228107201</c:v>
                </c:pt>
                <c:pt idx="97">
                  <c:v>159.9928076035731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1483.300851159054</c:v>
                </c:pt>
                <c:pt idx="89">
                  <c:v>1466.727657291355</c:v>
                </c:pt>
                <c:pt idx="90">
                  <c:v>1450.154463423656</c:v>
                </c:pt>
                <c:pt idx="91">
                  <c:v>1433.581269555957</c:v>
                </c:pt>
                <c:pt idx="92">
                  <c:v>1417.008075688258</c:v>
                </c:pt>
                <c:pt idx="93">
                  <c:v>1400.434881820559</c:v>
                </c:pt>
                <c:pt idx="94">
                  <c:v>1383.86168795286</c:v>
                </c:pt>
                <c:pt idx="95">
                  <c:v>1367.288494085161</c:v>
                </c:pt>
                <c:pt idx="96">
                  <c:v>1350.715300217462</c:v>
                </c:pt>
                <c:pt idx="97">
                  <c:v>1334.142106349763</c:v>
                </c:pt>
                <c:pt idx="98">
                  <c:v>1325.855509415914</c:v>
                </c:pt>
                <c:pt idx="99">
                  <c:v>1325.855509415914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31395.42814044613</c:v>
                </c:pt>
                <c:pt idx="89">
                  <c:v>28944.77287632571</c:v>
                </c:pt>
                <c:pt idx="90">
                  <c:v>26494.1176122053</c:v>
                </c:pt>
                <c:pt idx="91">
                  <c:v>24043.46234808489</c:v>
                </c:pt>
                <c:pt idx="92">
                  <c:v>21592.80708396448</c:v>
                </c:pt>
                <c:pt idx="93">
                  <c:v>19142.15181984407</c:v>
                </c:pt>
                <c:pt idx="94">
                  <c:v>16691.49655572365</c:v>
                </c:pt>
                <c:pt idx="95">
                  <c:v>14240.84129160324</c:v>
                </c:pt>
                <c:pt idx="96">
                  <c:v>11790.18602748283</c:v>
                </c:pt>
                <c:pt idx="97">
                  <c:v>9339.530763362417</c:v>
                </c:pt>
                <c:pt idx="98">
                  <c:v>8114.203131302213</c:v>
                </c:pt>
                <c:pt idx="99">
                  <c:v>8114.203131302213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645080"/>
        <c:axId val="210464844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645080"/>
        <c:axId val="2104648440"/>
      </c:lineChart>
      <c:catAx>
        <c:axId val="210464508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46484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046484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464508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76.2942816133461</c:v>
                </c:pt>
                <c:pt idx="2">
                  <c:v>6.898046121776224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183.3662424592393</c:v>
                </c:pt>
                <c:pt idx="2">
                  <c:v>223.907629818046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14.66696698647767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28.24564381149504</c:v>
                </c:pt>
                <c:pt idx="2">
                  <c:v>-63.55269857586384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-16.57319386769891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-2450.655264120412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814104"/>
        <c:axId val="213481738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13.89836525573349</c:v>
                </c:pt>
                <c:pt idx="2">
                  <c:v>119.5695661075411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197.5219846957695</c:v>
                </c:pt>
                <c:pt idx="2">
                  <c:v>936.583410765774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-65.6629972730215</c:v>
                </c:pt>
                <c:pt idx="2">
                  <c:v>-111.402399368414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4577.242792016633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142.2158289809541</c:v>
                </c:pt>
                <c:pt idx="2">
                  <c:v>-319.9856152071466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820984"/>
        <c:axId val="2134823976"/>
      </c:scatterChart>
      <c:valAx>
        <c:axId val="213481410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4817384"/>
        <c:crosses val="autoZero"/>
        <c:crossBetween val="midCat"/>
      </c:valAx>
      <c:valAx>
        <c:axId val="21348173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4814104"/>
        <c:crosses val="autoZero"/>
        <c:crossBetween val="midCat"/>
      </c:valAx>
      <c:valAx>
        <c:axId val="213482098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34823976"/>
        <c:crosses val="autoZero"/>
        <c:crossBetween val="midCat"/>
      </c:valAx>
      <c:valAx>
        <c:axId val="213482397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482098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3967.07715748568</c:v>
                </c:pt>
                <c:pt idx="27">
                  <c:v>3977.696778881789</c:v>
                </c:pt>
                <c:pt idx="28">
                  <c:v>3988.316400277897</c:v>
                </c:pt>
                <c:pt idx="29">
                  <c:v>3998.936021674005</c:v>
                </c:pt>
                <c:pt idx="30">
                  <c:v>4009.555643070113</c:v>
                </c:pt>
                <c:pt idx="31">
                  <c:v>4020.175264466221</c:v>
                </c:pt>
                <c:pt idx="32">
                  <c:v>4030.794885862329</c:v>
                </c:pt>
                <c:pt idx="33">
                  <c:v>4041.414507258437</c:v>
                </c:pt>
                <c:pt idx="34">
                  <c:v>4052.034128654545</c:v>
                </c:pt>
                <c:pt idx="35">
                  <c:v>4062.653750050654</c:v>
                </c:pt>
                <c:pt idx="36">
                  <c:v>4073.273371446762</c:v>
                </c:pt>
                <c:pt idx="37">
                  <c:v>4083.89299284287</c:v>
                </c:pt>
                <c:pt idx="38">
                  <c:v>4094.512614238978</c:v>
                </c:pt>
                <c:pt idx="39">
                  <c:v>4105.132235635085</c:v>
                </c:pt>
                <c:pt idx="40">
                  <c:v>4115.751857031194</c:v>
                </c:pt>
                <c:pt idx="41">
                  <c:v>4126.371478427302</c:v>
                </c:pt>
                <c:pt idx="42">
                  <c:v>4136.99109982341</c:v>
                </c:pt>
                <c:pt idx="43">
                  <c:v>4147.610721219518</c:v>
                </c:pt>
                <c:pt idx="44">
                  <c:v>4158.230342615627</c:v>
                </c:pt>
                <c:pt idx="45">
                  <c:v>4168.849964011735</c:v>
                </c:pt>
                <c:pt idx="46">
                  <c:v>4179.469585407842</c:v>
                </c:pt>
                <c:pt idx="47">
                  <c:v>4190.08920680395</c:v>
                </c:pt>
                <c:pt idx="48">
                  <c:v>4200.70882820006</c:v>
                </c:pt>
                <c:pt idx="49">
                  <c:v>4211.328449596167</c:v>
                </c:pt>
                <c:pt idx="50">
                  <c:v>4221.948070992275</c:v>
                </c:pt>
                <c:pt idx="51">
                  <c:v>4232.567692388384</c:v>
                </c:pt>
                <c:pt idx="52">
                  <c:v>4243.187313784491</c:v>
                </c:pt>
                <c:pt idx="53">
                  <c:v>4253.8069351806</c:v>
                </c:pt>
                <c:pt idx="54">
                  <c:v>4264.426556576708</c:v>
                </c:pt>
                <c:pt idx="55">
                  <c:v>4275.046177972816</c:v>
                </c:pt>
                <c:pt idx="56">
                  <c:v>4285.665799368924</c:v>
                </c:pt>
                <c:pt idx="57">
                  <c:v>4296.285420765032</c:v>
                </c:pt>
                <c:pt idx="58">
                  <c:v>4306.90504216114</c:v>
                </c:pt>
                <c:pt idx="59">
                  <c:v>4317.524663557248</c:v>
                </c:pt>
                <c:pt idx="60">
                  <c:v>4328.144284953356</c:v>
                </c:pt>
                <c:pt idx="61">
                  <c:v>4338.763906349464</c:v>
                </c:pt>
                <c:pt idx="62">
                  <c:v>4349.383527745573</c:v>
                </c:pt>
                <c:pt idx="63">
                  <c:v>4360.003149141681</c:v>
                </c:pt>
                <c:pt idx="64">
                  <c:v>4370.622770537788</c:v>
                </c:pt>
                <c:pt idx="65">
                  <c:v>4381.242391933897</c:v>
                </c:pt>
                <c:pt idx="66">
                  <c:v>4457.536673547243</c:v>
                </c:pt>
                <c:pt idx="67">
                  <c:v>4533.830955160589</c:v>
                </c:pt>
                <c:pt idx="68">
                  <c:v>4610.125236773935</c:v>
                </c:pt>
                <c:pt idx="69">
                  <c:v>4686.419518387282</c:v>
                </c:pt>
                <c:pt idx="70">
                  <c:v>4762.713800000628</c:v>
                </c:pt>
                <c:pt idx="71">
                  <c:v>4839.008081613973</c:v>
                </c:pt>
                <c:pt idx="72">
                  <c:v>4915.30236322732</c:v>
                </c:pt>
                <c:pt idx="73">
                  <c:v>4991.596644840666</c:v>
                </c:pt>
                <c:pt idx="74">
                  <c:v>5067.890926454012</c:v>
                </c:pt>
                <c:pt idx="75">
                  <c:v>5144.185208067357</c:v>
                </c:pt>
                <c:pt idx="76">
                  <c:v>5220.479489680704</c:v>
                </c:pt>
                <c:pt idx="77">
                  <c:v>5296.773771294051</c:v>
                </c:pt>
                <c:pt idx="78">
                  <c:v>5373.068052907396</c:v>
                </c:pt>
                <c:pt idx="79">
                  <c:v>5449.362334520742</c:v>
                </c:pt>
                <c:pt idx="80">
                  <c:v>5525.656616134088</c:v>
                </c:pt>
                <c:pt idx="81">
                  <c:v>5601.950897747434</c:v>
                </c:pt>
                <c:pt idx="82">
                  <c:v>5678.24517936078</c:v>
                </c:pt>
                <c:pt idx="83">
                  <c:v>5754.539460974127</c:v>
                </c:pt>
                <c:pt idx="84">
                  <c:v>5830.833742587473</c:v>
                </c:pt>
                <c:pt idx="85">
                  <c:v>5907.12802420082</c:v>
                </c:pt>
                <c:pt idx="86">
                  <c:v>5983.422305814165</c:v>
                </c:pt>
                <c:pt idx="87">
                  <c:v>6059.716587427511</c:v>
                </c:pt>
                <c:pt idx="88">
                  <c:v>6101.312751295072</c:v>
                </c:pt>
                <c:pt idx="89">
                  <c:v>6108.210797416848</c:v>
                </c:pt>
                <c:pt idx="90">
                  <c:v>6115.108843538625</c:v>
                </c:pt>
                <c:pt idx="91">
                  <c:v>6122.0068896604</c:v>
                </c:pt>
                <c:pt idx="92">
                  <c:v>6128.904935782177</c:v>
                </c:pt>
                <c:pt idx="93">
                  <c:v>6135.802981903953</c:v>
                </c:pt>
                <c:pt idx="94">
                  <c:v>6142.70102802573</c:v>
                </c:pt>
                <c:pt idx="95">
                  <c:v>6149.599074147506</c:v>
                </c:pt>
                <c:pt idx="96">
                  <c:v>6156.497120269282</c:v>
                </c:pt>
                <c:pt idx="97">
                  <c:v>6163.395166391058</c:v>
                </c:pt>
                <c:pt idx="98">
                  <c:v>6220.024189451946</c:v>
                </c:pt>
                <c:pt idx="99">
                  <c:v>6326.384189451946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30.96157110106187</c:v>
                </c:pt>
                <c:pt idx="27">
                  <c:v>61.92314220212374</c:v>
                </c:pt>
                <c:pt idx="28">
                  <c:v>92.88471330318561</c:v>
                </c:pt>
                <c:pt idx="29">
                  <c:v>123.8462844042475</c:v>
                </c:pt>
                <c:pt idx="30">
                  <c:v>154.8078555053094</c:v>
                </c:pt>
                <c:pt idx="31">
                  <c:v>185.7694266063712</c:v>
                </c:pt>
                <c:pt idx="32">
                  <c:v>216.7309977074331</c:v>
                </c:pt>
                <c:pt idx="33">
                  <c:v>247.692568808495</c:v>
                </c:pt>
                <c:pt idx="34">
                  <c:v>278.6541399095568</c:v>
                </c:pt>
                <c:pt idx="35">
                  <c:v>309.6157110106187</c:v>
                </c:pt>
                <c:pt idx="36">
                  <c:v>340.5772821116806</c:v>
                </c:pt>
                <c:pt idx="37">
                  <c:v>371.5388532127424</c:v>
                </c:pt>
                <c:pt idx="38">
                  <c:v>402.5004243138043</c:v>
                </c:pt>
                <c:pt idx="39">
                  <c:v>433.4619954148662</c:v>
                </c:pt>
                <c:pt idx="40">
                  <c:v>464.4235665159281</c:v>
                </c:pt>
                <c:pt idx="41">
                  <c:v>495.3851376169899</c:v>
                </c:pt>
                <c:pt idx="42">
                  <c:v>526.3467087180518</c:v>
                </c:pt>
                <c:pt idx="43">
                  <c:v>557.3082798191136</c:v>
                </c:pt>
                <c:pt idx="44">
                  <c:v>588.2698509201755</c:v>
                </c:pt>
                <c:pt idx="45">
                  <c:v>619.2314220212374</c:v>
                </c:pt>
                <c:pt idx="46">
                  <c:v>650.1929931222993</c:v>
                </c:pt>
                <c:pt idx="47">
                  <c:v>681.1545642233611</c:v>
                </c:pt>
                <c:pt idx="48">
                  <c:v>712.116135324423</c:v>
                </c:pt>
                <c:pt idx="49">
                  <c:v>743.0777064254848</c:v>
                </c:pt>
                <c:pt idx="50">
                  <c:v>774.0392775265468</c:v>
                </c:pt>
                <c:pt idx="51">
                  <c:v>805.0008486276086</c:v>
                </c:pt>
                <c:pt idx="52">
                  <c:v>835.9624197286705</c:v>
                </c:pt>
                <c:pt idx="53">
                  <c:v>866.9239908297323</c:v>
                </c:pt>
                <c:pt idx="54">
                  <c:v>897.8855619307942</c:v>
                </c:pt>
                <c:pt idx="55">
                  <c:v>928.8471330318562</c:v>
                </c:pt>
                <c:pt idx="56">
                  <c:v>959.808704132918</c:v>
                </c:pt>
                <c:pt idx="57">
                  <c:v>990.7702752339798</c:v>
                </c:pt>
                <c:pt idx="58">
                  <c:v>1021.731846335042</c:v>
                </c:pt>
                <c:pt idx="59">
                  <c:v>1052.693417436104</c:v>
                </c:pt>
                <c:pt idx="60">
                  <c:v>1083.654988537166</c:v>
                </c:pt>
                <c:pt idx="61">
                  <c:v>1114.616559638227</c:v>
                </c:pt>
                <c:pt idx="62">
                  <c:v>1145.578130739289</c:v>
                </c:pt>
                <c:pt idx="63">
                  <c:v>1176.539701840351</c:v>
                </c:pt>
                <c:pt idx="64">
                  <c:v>1207.501272941413</c:v>
                </c:pt>
                <c:pt idx="65">
                  <c:v>1238.462844042475</c:v>
                </c:pt>
                <c:pt idx="66">
                  <c:v>1421.829086501714</c:v>
                </c:pt>
                <c:pt idx="67">
                  <c:v>1605.195328960954</c:v>
                </c:pt>
                <c:pt idx="68">
                  <c:v>1788.561571420193</c:v>
                </c:pt>
                <c:pt idx="69">
                  <c:v>1971.927813879433</c:v>
                </c:pt>
                <c:pt idx="70">
                  <c:v>2155.294056338672</c:v>
                </c:pt>
                <c:pt idx="71">
                  <c:v>2338.660298797911</c:v>
                </c:pt>
                <c:pt idx="72">
                  <c:v>2522.026541257151</c:v>
                </c:pt>
                <c:pt idx="73">
                  <c:v>2705.39278371639</c:v>
                </c:pt>
                <c:pt idx="74">
                  <c:v>2888.75902617563</c:v>
                </c:pt>
                <c:pt idx="75">
                  <c:v>3072.125268634869</c:v>
                </c:pt>
                <c:pt idx="76">
                  <c:v>3255.491511094108</c:v>
                </c:pt>
                <c:pt idx="77">
                  <c:v>3438.857753553347</c:v>
                </c:pt>
                <c:pt idx="78">
                  <c:v>3622.223996012587</c:v>
                </c:pt>
                <c:pt idx="79">
                  <c:v>3805.590238471826</c:v>
                </c:pt>
                <c:pt idx="80">
                  <c:v>3988.956480931065</c:v>
                </c:pt>
                <c:pt idx="81">
                  <c:v>4172.322723390305</c:v>
                </c:pt>
                <c:pt idx="82">
                  <c:v>4355.688965849544</c:v>
                </c:pt>
                <c:pt idx="83">
                  <c:v>4539.055208308784</c:v>
                </c:pt>
                <c:pt idx="84">
                  <c:v>4722.421450768023</c:v>
                </c:pt>
                <c:pt idx="85">
                  <c:v>4905.787693227263</c:v>
                </c:pt>
                <c:pt idx="86">
                  <c:v>5089.153935686501</c:v>
                </c:pt>
                <c:pt idx="87">
                  <c:v>5272.520178145741</c:v>
                </c:pt>
                <c:pt idx="88">
                  <c:v>5476.157114284384</c:v>
                </c:pt>
                <c:pt idx="89">
                  <c:v>5700.06474410243</c:v>
                </c:pt>
                <c:pt idx="90">
                  <c:v>5923.972373920476</c:v>
                </c:pt>
                <c:pt idx="91">
                  <c:v>6147.880003738522</c:v>
                </c:pt>
                <c:pt idx="92">
                  <c:v>6371.787633556567</c:v>
                </c:pt>
                <c:pt idx="93">
                  <c:v>6595.695263374614</c:v>
                </c:pt>
                <c:pt idx="94">
                  <c:v>6819.60289319266</c:v>
                </c:pt>
                <c:pt idx="95">
                  <c:v>7043.510523010705</c:v>
                </c:pt>
                <c:pt idx="96">
                  <c:v>7267.418152828752</c:v>
                </c:pt>
                <c:pt idx="97">
                  <c:v>7491.325782646798</c:v>
                </c:pt>
                <c:pt idx="98">
                  <c:v>7965.709597555821</c:v>
                </c:pt>
                <c:pt idx="99">
                  <c:v>8690.56959755582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283.6348255839731</c:v>
                </c:pt>
                <c:pt idx="27">
                  <c:v>287.4506902310973</c:v>
                </c:pt>
                <c:pt idx="28">
                  <c:v>291.2665548782215</c:v>
                </c:pt>
                <c:pt idx="29">
                  <c:v>295.0824195253456</c:v>
                </c:pt>
                <c:pt idx="30">
                  <c:v>298.8982841724699</c:v>
                </c:pt>
                <c:pt idx="31">
                  <c:v>302.714148819594</c:v>
                </c:pt>
                <c:pt idx="32">
                  <c:v>306.5300134667182</c:v>
                </c:pt>
                <c:pt idx="33">
                  <c:v>310.3458781138423</c:v>
                </c:pt>
                <c:pt idx="34">
                  <c:v>314.1617427609665</c:v>
                </c:pt>
                <c:pt idx="35">
                  <c:v>317.9776074080907</c:v>
                </c:pt>
                <c:pt idx="36">
                  <c:v>321.7934720552149</c:v>
                </c:pt>
                <c:pt idx="37">
                  <c:v>325.6093367023391</c:v>
                </c:pt>
                <c:pt idx="38">
                  <c:v>329.4252013494632</c:v>
                </c:pt>
                <c:pt idx="39">
                  <c:v>333.2410659965875</c:v>
                </c:pt>
                <c:pt idx="40">
                  <c:v>337.0569306437116</c:v>
                </c:pt>
                <c:pt idx="41">
                  <c:v>340.8727952908358</c:v>
                </c:pt>
                <c:pt idx="42">
                  <c:v>344.68865993796</c:v>
                </c:pt>
                <c:pt idx="43">
                  <c:v>348.5045245850841</c:v>
                </c:pt>
                <c:pt idx="44">
                  <c:v>352.3203892322083</c:v>
                </c:pt>
                <c:pt idx="45">
                  <c:v>356.1362538793325</c:v>
                </c:pt>
                <c:pt idx="46">
                  <c:v>359.9521185264567</c:v>
                </c:pt>
                <c:pt idx="47">
                  <c:v>363.7679831735808</c:v>
                </c:pt>
                <c:pt idx="48">
                  <c:v>367.583847820705</c:v>
                </c:pt>
                <c:pt idx="49">
                  <c:v>371.3997124678292</c:v>
                </c:pt>
                <c:pt idx="50">
                  <c:v>375.2155771149534</c:v>
                </c:pt>
                <c:pt idx="51">
                  <c:v>379.0314417620775</c:v>
                </c:pt>
                <c:pt idx="52">
                  <c:v>382.8473064092017</c:v>
                </c:pt>
                <c:pt idx="53">
                  <c:v>386.6631710563259</c:v>
                </c:pt>
                <c:pt idx="54">
                  <c:v>390.4790357034501</c:v>
                </c:pt>
                <c:pt idx="55">
                  <c:v>394.2949003505743</c:v>
                </c:pt>
                <c:pt idx="56">
                  <c:v>398.1107649976984</c:v>
                </c:pt>
                <c:pt idx="57">
                  <c:v>401.9266296448226</c:v>
                </c:pt>
                <c:pt idx="58">
                  <c:v>405.7424942919468</c:v>
                </c:pt>
                <c:pt idx="59">
                  <c:v>409.558358939071</c:v>
                </c:pt>
                <c:pt idx="60">
                  <c:v>413.3742235861952</c:v>
                </c:pt>
                <c:pt idx="61">
                  <c:v>417.1900882333193</c:v>
                </c:pt>
                <c:pt idx="62">
                  <c:v>421.0059528804435</c:v>
                </c:pt>
                <c:pt idx="63">
                  <c:v>424.8218175275676</c:v>
                </c:pt>
                <c:pt idx="64">
                  <c:v>428.6376821746918</c:v>
                </c:pt>
                <c:pt idx="65">
                  <c:v>432.453546821816</c:v>
                </c:pt>
                <c:pt idx="66">
                  <c:v>446.3519120775495</c:v>
                </c:pt>
                <c:pt idx="67">
                  <c:v>460.250277333283</c:v>
                </c:pt>
                <c:pt idx="68">
                  <c:v>474.1486425890165</c:v>
                </c:pt>
                <c:pt idx="69">
                  <c:v>488.04700784475</c:v>
                </c:pt>
                <c:pt idx="70">
                  <c:v>501.9453731004835</c:v>
                </c:pt>
                <c:pt idx="71">
                  <c:v>515.843738356217</c:v>
                </c:pt>
                <c:pt idx="72">
                  <c:v>529.7421036119504</c:v>
                </c:pt>
                <c:pt idx="73">
                  <c:v>543.640468867684</c:v>
                </c:pt>
                <c:pt idx="74">
                  <c:v>557.5388341234174</c:v>
                </c:pt>
                <c:pt idx="75">
                  <c:v>571.437199379151</c:v>
                </c:pt>
                <c:pt idx="76">
                  <c:v>585.3355646348843</c:v>
                </c:pt>
                <c:pt idx="77">
                  <c:v>599.233929890618</c:v>
                </c:pt>
                <c:pt idx="78">
                  <c:v>613.1322951463513</c:v>
                </c:pt>
                <c:pt idx="79">
                  <c:v>627.0306604020848</c:v>
                </c:pt>
                <c:pt idx="80">
                  <c:v>640.9290256578183</c:v>
                </c:pt>
                <c:pt idx="81">
                  <c:v>654.8273909135519</c:v>
                </c:pt>
                <c:pt idx="82">
                  <c:v>668.7257561692853</c:v>
                </c:pt>
                <c:pt idx="83">
                  <c:v>682.6241214250188</c:v>
                </c:pt>
                <c:pt idx="84">
                  <c:v>696.5224866807523</c:v>
                </c:pt>
                <c:pt idx="85">
                  <c:v>710.4208519364858</c:v>
                </c:pt>
                <c:pt idx="86">
                  <c:v>724.3192171922192</c:v>
                </c:pt>
                <c:pt idx="87">
                  <c:v>738.2175824479527</c:v>
                </c:pt>
                <c:pt idx="88">
                  <c:v>804.95154812959</c:v>
                </c:pt>
                <c:pt idx="89">
                  <c:v>924.521114237131</c:v>
                </c:pt>
                <c:pt idx="90">
                  <c:v>1044.090680344672</c:v>
                </c:pt>
                <c:pt idx="91">
                  <c:v>1163.660246452213</c:v>
                </c:pt>
                <c:pt idx="92">
                  <c:v>1283.229812559754</c:v>
                </c:pt>
                <c:pt idx="93">
                  <c:v>1402.799378667296</c:v>
                </c:pt>
                <c:pt idx="94">
                  <c:v>1522.368944774837</c:v>
                </c:pt>
                <c:pt idx="95">
                  <c:v>1641.938510882378</c:v>
                </c:pt>
                <c:pt idx="96">
                  <c:v>1761.508076989919</c:v>
                </c:pt>
                <c:pt idx="97">
                  <c:v>1881.07764309746</c:v>
                </c:pt>
                <c:pt idx="98">
                  <c:v>1945.07792615123</c:v>
                </c:pt>
                <c:pt idx="99">
                  <c:v>1953.508926151231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18.51768606522839</c:v>
                </c:pt>
                <c:pt idx="27">
                  <c:v>37.03537213045678</c:v>
                </c:pt>
                <c:pt idx="28">
                  <c:v>55.55305819568518</c:v>
                </c:pt>
                <c:pt idx="29">
                  <c:v>74.07074426091357</c:v>
                </c:pt>
                <c:pt idx="30">
                  <c:v>92.58843032614196</c:v>
                </c:pt>
                <c:pt idx="31">
                  <c:v>111.1061163913704</c:v>
                </c:pt>
                <c:pt idx="32">
                  <c:v>129.6238024565988</c:v>
                </c:pt>
                <c:pt idx="33">
                  <c:v>148.1414885218271</c:v>
                </c:pt>
                <c:pt idx="34">
                  <c:v>166.6591745870555</c:v>
                </c:pt>
                <c:pt idx="35">
                  <c:v>185.176860652284</c:v>
                </c:pt>
                <c:pt idx="36">
                  <c:v>203.6945467175123</c:v>
                </c:pt>
                <c:pt idx="37">
                  <c:v>222.2122327827407</c:v>
                </c:pt>
                <c:pt idx="38">
                  <c:v>240.7299188479691</c:v>
                </c:pt>
                <c:pt idx="39">
                  <c:v>259.2476049131975</c:v>
                </c:pt>
                <c:pt idx="40">
                  <c:v>277.7652909784259</c:v>
                </c:pt>
                <c:pt idx="41">
                  <c:v>296.2829770436543</c:v>
                </c:pt>
                <c:pt idx="42">
                  <c:v>314.8006631088827</c:v>
                </c:pt>
                <c:pt idx="43">
                  <c:v>333.3183491741111</c:v>
                </c:pt>
                <c:pt idx="44">
                  <c:v>351.8360352393395</c:v>
                </c:pt>
                <c:pt idx="45">
                  <c:v>370.3537213045678</c:v>
                </c:pt>
                <c:pt idx="46">
                  <c:v>388.8714073697962</c:v>
                </c:pt>
                <c:pt idx="47">
                  <c:v>407.3890934350246</c:v>
                </c:pt>
                <c:pt idx="48">
                  <c:v>425.906779500253</c:v>
                </c:pt>
                <c:pt idx="49">
                  <c:v>444.4244655654815</c:v>
                </c:pt>
                <c:pt idx="50">
                  <c:v>462.9421516307098</c:v>
                </c:pt>
                <c:pt idx="51">
                  <c:v>481.4598376959382</c:v>
                </c:pt>
                <c:pt idx="52">
                  <c:v>499.9775237611666</c:v>
                </c:pt>
                <c:pt idx="53">
                  <c:v>518.495209826395</c:v>
                </c:pt>
                <c:pt idx="54">
                  <c:v>537.0128958916234</c:v>
                </c:pt>
                <c:pt idx="55">
                  <c:v>555.5305819568517</c:v>
                </c:pt>
                <c:pt idx="56">
                  <c:v>574.0482680220802</c:v>
                </c:pt>
                <c:pt idx="57">
                  <c:v>592.5659540873086</c:v>
                </c:pt>
                <c:pt idx="58">
                  <c:v>611.083640152537</c:v>
                </c:pt>
                <c:pt idx="59">
                  <c:v>629.6013262177654</c:v>
                </c:pt>
                <c:pt idx="60">
                  <c:v>648.1190122829937</c:v>
                </c:pt>
                <c:pt idx="61">
                  <c:v>666.6366983482221</c:v>
                </c:pt>
                <c:pt idx="62">
                  <c:v>685.1543844134505</c:v>
                </c:pt>
                <c:pt idx="63">
                  <c:v>703.672070478679</c:v>
                </c:pt>
                <c:pt idx="64">
                  <c:v>722.1897565439072</c:v>
                </c:pt>
                <c:pt idx="65">
                  <c:v>740.7074426091356</c:v>
                </c:pt>
                <c:pt idx="66">
                  <c:v>938.2294273049051</c:v>
                </c:pt>
                <c:pt idx="67">
                  <c:v>1135.751412000675</c:v>
                </c:pt>
                <c:pt idx="68">
                  <c:v>1333.273396696444</c:v>
                </c:pt>
                <c:pt idx="69">
                  <c:v>1530.795381392214</c:v>
                </c:pt>
                <c:pt idx="70">
                  <c:v>1728.317366087983</c:v>
                </c:pt>
                <c:pt idx="71">
                  <c:v>1925.839350783753</c:v>
                </c:pt>
                <c:pt idx="72">
                  <c:v>2123.361335479522</c:v>
                </c:pt>
                <c:pt idx="73">
                  <c:v>2320.883320175292</c:v>
                </c:pt>
                <c:pt idx="74">
                  <c:v>2518.405304871061</c:v>
                </c:pt>
                <c:pt idx="75">
                  <c:v>2715.927289566831</c:v>
                </c:pt>
                <c:pt idx="76">
                  <c:v>2913.4492742626</c:v>
                </c:pt>
                <c:pt idx="77">
                  <c:v>3110.97125895837</c:v>
                </c:pt>
                <c:pt idx="78">
                  <c:v>3308.49324365414</c:v>
                </c:pt>
                <c:pt idx="79">
                  <c:v>3506.015228349909</c:v>
                </c:pt>
                <c:pt idx="80">
                  <c:v>3703.537213045678</c:v>
                </c:pt>
                <c:pt idx="81">
                  <c:v>3901.059197741448</c:v>
                </c:pt>
                <c:pt idx="82">
                  <c:v>4098.581182437216</c:v>
                </c:pt>
                <c:pt idx="83">
                  <c:v>4296.103167132986</c:v>
                </c:pt>
                <c:pt idx="84">
                  <c:v>4493.625151828756</c:v>
                </c:pt>
                <c:pt idx="85">
                  <c:v>4691.147136524526</c:v>
                </c:pt>
                <c:pt idx="86">
                  <c:v>4888.669121220294</c:v>
                </c:pt>
                <c:pt idx="87">
                  <c:v>5086.191105916065</c:v>
                </c:pt>
                <c:pt idx="88">
                  <c:v>5653.243803646837</c:v>
                </c:pt>
                <c:pt idx="89">
                  <c:v>6589.82721441261</c:v>
                </c:pt>
                <c:pt idx="90">
                  <c:v>7526.410625178385</c:v>
                </c:pt>
                <c:pt idx="91">
                  <c:v>8462.994035944159</c:v>
                </c:pt>
                <c:pt idx="92">
                  <c:v>9399.577446709932</c:v>
                </c:pt>
                <c:pt idx="93">
                  <c:v>10336.16085747571</c:v>
                </c:pt>
                <c:pt idx="94">
                  <c:v>11272.74426824148</c:v>
                </c:pt>
                <c:pt idx="95">
                  <c:v>12209.32767900726</c:v>
                </c:pt>
                <c:pt idx="96">
                  <c:v>13145.91108977303</c:v>
                </c:pt>
                <c:pt idx="97">
                  <c:v>14082.4945005388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7.333483493238833</c:v>
                </c:pt>
                <c:pt idx="89">
                  <c:v>22.0004504797165</c:v>
                </c:pt>
                <c:pt idx="90">
                  <c:v>36.66741746619417</c:v>
                </c:pt>
                <c:pt idx="91">
                  <c:v>51.33438445267183</c:v>
                </c:pt>
                <c:pt idx="92">
                  <c:v>66.0013514391495</c:v>
                </c:pt>
                <c:pt idx="93">
                  <c:v>80.66831842562716</c:v>
                </c:pt>
                <c:pt idx="94">
                  <c:v>95.33528541210482</c:v>
                </c:pt>
                <c:pt idx="95">
                  <c:v>110.0022523985825</c:v>
                </c:pt>
                <c:pt idx="96">
                  <c:v>124.6692193850602</c:v>
                </c:pt>
                <c:pt idx="97">
                  <c:v>139.3361863715378</c:v>
                </c:pt>
                <c:pt idx="98">
                  <c:v>172.7646698647766</c:v>
                </c:pt>
                <c:pt idx="99">
                  <c:v>224.9546698647765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64.7860358081781</c:v>
                </c:pt>
                <c:pt idx="27">
                  <c:v>129.5720716163562</c:v>
                </c:pt>
                <c:pt idx="28">
                  <c:v>194.3581074245343</c:v>
                </c:pt>
                <c:pt idx="29">
                  <c:v>259.1441432327124</c:v>
                </c:pt>
                <c:pt idx="30">
                  <c:v>323.9301790408905</c:v>
                </c:pt>
                <c:pt idx="31">
                  <c:v>388.7162148490686</c:v>
                </c:pt>
                <c:pt idx="32">
                  <c:v>453.5022506572467</c:v>
                </c:pt>
                <c:pt idx="33">
                  <c:v>518.2882864654248</c:v>
                </c:pt>
                <c:pt idx="34">
                  <c:v>583.0743222736028</c:v>
                </c:pt>
                <c:pt idx="35">
                  <c:v>647.860358081781</c:v>
                </c:pt>
                <c:pt idx="36">
                  <c:v>712.6463938899591</c:v>
                </c:pt>
                <c:pt idx="37">
                  <c:v>777.4324296981372</c:v>
                </c:pt>
                <c:pt idx="38">
                  <c:v>842.2184655063152</c:v>
                </c:pt>
                <c:pt idx="39">
                  <c:v>907.0045013144934</c:v>
                </c:pt>
                <c:pt idx="40">
                  <c:v>971.7905371226714</c:v>
                </c:pt>
                <c:pt idx="41">
                  <c:v>1036.57657293085</c:v>
                </c:pt>
                <c:pt idx="42">
                  <c:v>1101.362608739028</c:v>
                </c:pt>
                <c:pt idx="43">
                  <c:v>1166.148644547206</c:v>
                </c:pt>
                <c:pt idx="44">
                  <c:v>1230.934680355384</c:v>
                </c:pt>
                <c:pt idx="45">
                  <c:v>1295.720716163562</c:v>
                </c:pt>
                <c:pt idx="46">
                  <c:v>1360.50675197174</c:v>
                </c:pt>
                <c:pt idx="47">
                  <c:v>1425.292787779918</c:v>
                </c:pt>
                <c:pt idx="48">
                  <c:v>1490.078823588096</c:v>
                </c:pt>
                <c:pt idx="49">
                  <c:v>1554.864859396274</c:v>
                </c:pt>
                <c:pt idx="50">
                  <c:v>1619.650895204452</c:v>
                </c:pt>
                <c:pt idx="51">
                  <c:v>1684.436931012631</c:v>
                </c:pt>
                <c:pt idx="52">
                  <c:v>1749.222966820809</c:v>
                </c:pt>
                <c:pt idx="53">
                  <c:v>1814.009002628987</c:v>
                </c:pt>
                <c:pt idx="54">
                  <c:v>1878.795038437165</c:v>
                </c:pt>
                <c:pt idx="55">
                  <c:v>1943.581074245343</c:v>
                </c:pt>
                <c:pt idx="56">
                  <c:v>2008.367110053521</c:v>
                </c:pt>
                <c:pt idx="57">
                  <c:v>2073.1531458617</c:v>
                </c:pt>
                <c:pt idx="58">
                  <c:v>2137.939181669877</c:v>
                </c:pt>
                <c:pt idx="59">
                  <c:v>2202.725217478055</c:v>
                </c:pt>
                <c:pt idx="60">
                  <c:v>2267.511253286233</c:v>
                </c:pt>
                <c:pt idx="61">
                  <c:v>2332.297289094412</c:v>
                </c:pt>
                <c:pt idx="62">
                  <c:v>2397.08332490259</c:v>
                </c:pt>
                <c:pt idx="63">
                  <c:v>2461.869360710768</c:v>
                </c:pt>
                <c:pt idx="64">
                  <c:v>2526.655396518946</c:v>
                </c:pt>
                <c:pt idx="65">
                  <c:v>2591.441432327124</c:v>
                </c:pt>
                <c:pt idx="66">
                  <c:v>2525.778435054102</c:v>
                </c:pt>
                <c:pt idx="67">
                  <c:v>2460.115437781081</c:v>
                </c:pt>
                <c:pt idx="68">
                  <c:v>2394.45244050806</c:v>
                </c:pt>
                <c:pt idx="69">
                  <c:v>2328.789443235038</c:v>
                </c:pt>
                <c:pt idx="70">
                  <c:v>2263.126445962017</c:v>
                </c:pt>
                <c:pt idx="71">
                  <c:v>2197.463448688995</c:v>
                </c:pt>
                <c:pt idx="72">
                  <c:v>2131.800451415973</c:v>
                </c:pt>
                <c:pt idx="73">
                  <c:v>2066.137454142952</c:v>
                </c:pt>
                <c:pt idx="74">
                  <c:v>2000.47445686993</c:v>
                </c:pt>
                <c:pt idx="75">
                  <c:v>1934.811459596909</c:v>
                </c:pt>
                <c:pt idx="76">
                  <c:v>1869.148462323888</c:v>
                </c:pt>
                <c:pt idx="77">
                  <c:v>1803.485465050866</c:v>
                </c:pt>
                <c:pt idx="78">
                  <c:v>1737.822467777844</c:v>
                </c:pt>
                <c:pt idx="79">
                  <c:v>1672.159470504823</c:v>
                </c:pt>
                <c:pt idx="80">
                  <c:v>1606.496473231801</c:v>
                </c:pt>
                <c:pt idx="81">
                  <c:v>1540.83347595878</c:v>
                </c:pt>
                <c:pt idx="82">
                  <c:v>1475.170478685758</c:v>
                </c:pt>
                <c:pt idx="83">
                  <c:v>1409.507481412737</c:v>
                </c:pt>
                <c:pt idx="84">
                  <c:v>1343.844484139715</c:v>
                </c:pt>
                <c:pt idx="85">
                  <c:v>1278.181486866694</c:v>
                </c:pt>
                <c:pt idx="86">
                  <c:v>1212.518489593672</c:v>
                </c:pt>
                <c:pt idx="87">
                  <c:v>1146.855492320651</c:v>
                </c:pt>
                <c:pt idx="88">
                  <c:v>1058.322793999933</c:v>
                </c:pt>
                <c:pt idx="89">
                  <c:v>946.9203946315191</c:v>
                </c:pt>
                <c:pt idx="90">
                  <c:v>835.5179952631051</c:v>
                </c:pt>
                <c:pt idx="91">
                  <c:v>724.1155958946911</c:v>
                </c:pt>
                <c:pt idx="92">
                  <c:v>612.713196526277</c:v>
                </c:pt>
                <c:pt idx="93">
                  <c:v>501.310797157863</c:v>
                </c:pt>
                <c:pt idx="94">
                  <c:v>389.9083977894491</c:v>
                </c:pt>
                <c:pt idx="95">
                  <c:v>278.5059984210351</c:v>
                </c:pt>
                <c:pt idx="96">
                  <c:v>167.103599052621</c:v>
                </c:pt>
                <c:pt idx="97">
                  <c:v>55.70119968420704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2288.621396008316</c:v>
                </c:pt>
                <c:pt idx="89">
                  <c:v>6865.864188024948</c:v>
                </c:pt>
                <c:pt idx="90">
                  <c:v>11443.10698004158</c:v>
                </c:pt>
                <c:pt idx="91">
                  <c:v>16020.34977205821</c:v>
                </c:pt>
                <c:pt idx="92">
                  <c:v>20597.59256407485</c:v>
                </c:pt>
                <c:pt idx="93">
                  <c:v>25174.83535609148</c:v>
                </c:pt>
                <c:pt idx="94">
                  <c:v>29752.07814810811</c:v>
                </c:pt>
                <c:pt idx="95">
                  <c:v>34329.32094012474</c:v>
                </c:pt>
                <c:pt idx="96">
                  <c:v>38906.56373214138</c:v>
                </c:pt>
                <c:pt idx="97">
                  <c:v>43483.806524158</c:v>
                </c:pt>
                <c:pt idx="98">
                  <c:v>47108.27792016633</c:v>
                </c:pt>
                <c:pt idx="99">
                  <c:v>49779.97792016633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28.24564381149504</c:v>
                </c:pt>
                <c:pt idx="67">
                  <c:v>56.49128762299008</c:v>
                </c:pt>
                <c:pt idx="68">
                  <c:v>84.73693143448511</c:v>
                </c:pt>
                <c:pt idx="69">
                  <c:v>112.9825752459802</c:v>
                </c:pt>
                <c:pt idx="70">
                  <c:v>141.2282190574752</c:v>
                </c:pt>
                <c:pt idx="71">
                  <c:v>169.4738628689702</c:v>
                </c:pt>
                <c:pt idx="72">
                  <c:v>197.7195066804653</c:v>
                </c:pt>
                <c:pt idx="73">
                  <c:v>225.9651504919603</c:v>
                </c:pt>
                <c:pt idx="74">
                  <c:v>254.2107943034553</c:v>
                </c:pt>
                <c:pt idx="75">
                  <c:v>282.4564381149504</c:v>
                </c:pt>
                <c:pt idx="76">
                  <c:v>310.7020819264454</c:v>
                </c:pt>
                <c:pt idx="77">
                  <c:v>338.9477257379405</c:v>
                </c:pt>
                <c:pt idx="78">
                  <c:v>367.1933695494355</c:v>
                </c:pt>
                <c:pt idx="79">
                  <c:v>395.4390133609306</c:v>
                </c:pt>
                <c:pt idx="80">
                  <c:v>423.6846571724256</c:v>
                </c:pt>
                <c:pt idx="81">
                  <c:v>451.9303009839206</c:v>
                </c:pt>
                <c:pt idx="82">
                  <c:v>480.1759447954156</c:v>
                </c:pt>
                <c:pt idx="83">
                  <c:v>508.4215886069107</c:v>
                </c:pt>
                <c:pt idx="84">
                  <c:v>536.6672324184058</c:v>
                </c:pt>
                <c:pt idx="85">
                  <c:v>564.9128762299008</c:v>
                </c:pt>
                <c:pt idx="86">
                  <c:v>593.1585200413958</c:v>
                </c:pt>
                <c:pt idx="87">
                  <c:v>621.4041638528909</c:v>
                </c:pt>
                <c:pt idx="88">
                  <c:v>603.7506364707064</c:v>
                </c:pt>
                <c:pt idx="89">
                  <c:v>540.1979378948427</c:v>
                </c:pt>
                <c:pt idx="90">
                  <c:v>476.6452393189788</c:v>
                </c:pt>
                <c:pt idx="91">
                  <c:v>413.0925407431149</c:v>
                </c:pt>
                <c:pt idx="92">
                  <c:v>349.5398421672511</c:v>
                </c:pt>
                <c:pt idx="93">
                  <c:v>285.9871435913873</c:v>
                </c:pt>
                <c:pt idx="94">
                  <c:v>222.4344450155235</c:v>
                </c:pt>
                <c:pt idx="95">
                  <c:v>158.8817464396596</c:v>
                </c:pt>
                <c:pt idx="96">
                  <c:v>95.32904786379572</c:v>
                </c:pt>
                <c:pt idx="97">
                  <c:v>31.77634928793191</c:v>
                </c:pt>
                <c:pt idx="98">
                  <c:v>414.765</c:v>
                </c:pt>
                <c:pt idx="99">
                  <c:v>1244.295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142.2158289809541</c:v>
                </c:pt>
                <c:pt idx="67">
                  <c:v>284.4316579619081</c:v>
                </c:pt>
                <c:pt idx="68">
                  <c:v>426.6474869428622</c:v>
                </c:pt>
                <c:pt idx="69">
                  <c:v>568.8633159238162</c:v>
                </c:pt>
                <c:pt idx="70">
                  <c:v>711.0791449047702</c:v>
                </c:pt>
                <c:pt idx="71">
                  <c:v>853.2949738857244</c:v>
                </c:pt>
                <c:pt idx="72">
                  <c:v>995.5108028666784</c:v>
                </c:pt>
                <c:pt idx="73">
                  <c:v>1137.726631847632</c:v>
                </c:pt>
                <c:pt idx="74">
                  <c:v>1279.942460828586</c:v>
                </c:pt>
                <c:pt idx="75">
                  <c:v>1422.158289809541</c:v>
                </c:pt>
                <c:pt idx="76">
                  <c:v>1564.374118790495</c:v>
                </c:pt>
                <c:pt idx="77">
                  <c:v>1706.589947771449</c:v>
                </c:pt>
                <c:pt idx="78">
                  <c:v>1848.805776752403</c:v>
                </c:pt>
                <c:pt idx="79">
                  <c:v>1991.021605733357</c:v>
                </c:pt>
                <c:pt idx="80">
                  <c:v>2133.237434714311</c:v>
                </c:pt>
                <c:pt idx="81">
                  <c:v>2275.453263695265</c:v>
                </c:pt>
                <c:pt idx="82">
                  <c:v>2417.669092676219</c:v>
                </c:pt>
                <c:pt idx="83">
                  <c:v>2559.884921657173</c:v>
                </c:pt>
                <c:pt idx="84">
                  <c:v>2702.100750638127</c:v>
                </c:pt>
                <c:pt idx="85">
                  <c:v>2844.316579619081</c:v>
                </c:pt>
                <c:pt idx="86">
                  <c:v>2986.532408600035</c:v>
                </c:pt>
                <c:pt idx="87">
                  <c:v>3128.74823758099</c:v>
                </c:pt>
                <c:pt idx="88">
                  <c:v>3039.863344467893</c:v>
                </c:pt>
                <c:pt idx="89">
                  <c:v>2719.877729260746</c:v>
                </c:pt>
                <c:pt idx="90">
                  <c:v>2399.8921140536</c:v>
                </c:pt>
                <c:pt idx="91">
                  <c:v>2079.906498846453</c:v>
                </c:pt>
                <c:pt idx="92">
                  <c:v>1759.920883639306</c:v>
                </c:pt>
                <c:pt idx="93">
                  <c:v>1439.93526843216</c:v>
                </c:pt>
                <c:pt idx="94">
                  <c:v>1119.949653225013</c:v>
                </c:pt>
                <c:pt idx="95">
                  <c:v>799.9640380178666</c:v>
                </c:pt>
                <c:pt idx="96">
                  <c:v>479.9784228107196</c:v>
                </c:pt>
                <c:pt idx="97">
                  <c:v>159.9928076035731</c:v>
                </c:pt>
                <c:pt idx="98">
                  <c:v>3101.75</c:v>
                </c:pt>
                <c:pt idx="99">
                  <c:v>9305.25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1483.300851159054</c:v>
                </c:pt>
                <c:pt idx="89">
                  <c:v>1466.727657291355</c:v>
                </c:pt>
                <c:pt idx="90">
                  <c:v>1450.154463423656</c:v>
                </c:pt>
                <c:pt idx="91">
                  <c:v>1433.581269555957</c:v>
                </c:pt>
                <c:pt idx="92">
                  <c:v>1417.008075688258</c:v>
                </c:pt>
                <c:pt idx="93">
                  <c:v>1400.434881820559</c:v>
                </c:pt>
                <c:pt idx="94">
                  <c:v>1383.86168795286</c:v>
                </c:pt>
                <c:pt idx="95">
                  <c:v>1367.288494085161</c:v>
                </c:pt>
                <c:pt idx="96">
                  <c:v>1350.715300217462</c:v>
                </c:pt>
                <c:pt idx="97">
                  <c:v>1334.142106349763</c:v>
                </c:pt>
                <c:pt idx="98">
                  <c:v>1333.220509415914</c:v>
                </c:pt>
                <c:pt idx="99">
                  <c:v>1347.950509415914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31395.42814044613</c:v>
                </c:pt>
                <c:pt idx="89">
                  <c:v>28944.77287632572</c:v>
                </c:pt>
                <c:pt idx="90">
                  <c:v>26494.1176122053</c:v>
                </c:pt>
                <c:pt idx="91">
                  <c:v>24043.46234808489</c:v>
                </c:pt>
                <c:pt idx="92">
                  <c:v>21592.80708396448</c:v>
                </c:pt>
                <c:pt idx="93">
                  <c:v>19142.15181984407</c:v>
                </c:pt>
                <c:pt idx="94">
                  <c:v>16691.49655572365</c:v>
                </c:pt>
                <c:pt idx="95">
                  <c:v>14240.84129160324</c:v>
                </c:pt>
                <c:pt idx="96">
                  <c:v>11790.18602748283</c:v>
                </c:pt>
                <c:pt idx="97">
                  <c:v>9339.530763362417</c:v>
                </c:pt>
                <c:pt idx="98">
                  <c:v>7550.288131302213</c:v>
                </c:pt>
                <c:pt idx="99">
                  <c:v>6422.458131302213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148.165</c:v>
                </c:pt>
                <c:pt idx="99">
                  <c:v>444.495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769624"/>
        <c:axId val="213464672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38348.61971762566</c:v>
                </c:pt>
                <c:pt idx="1">
                  <c:v>38348.61971762566</c:v>
                </c:pt>
                <c:pt idx="2">
                  <c:v>38348.61971762566</c:v>
                </c:pt>
                <c:pt idx="3">
                  <c:v>38348.61971762566</c:v>
                </c:pt>
                <c:pt idx="4">
                  <c:v>38348.61971762566</c:v>
                </c:pt>
                <c:pt idx="5">
                  <c:v>38348.61971762566</c:v>
                </c:pt>
                <c:pt idx="6">
                  <c:v>38348.61971762566</c:v>
                </c:pt>
                <c:pt idx="7">
                  <c:v>38348.61971762566</c:v>
                </c:pt>
                <c:pt idx="8">
                  <c:v>38348.61971762566</c:v>
                </c:pt>
                <c:pt idx="9">
                  <c:v>38348.61971762566</c:v>
                </c:pt>
                <c:pt idx="10">
                  <c:v>38348.61971762566</c:v>
                </c:pt>
                <c:pt idx="11">
                  <c:v>38348.61971762566</c:v>
                </c:pt>
                <c:pt idx="12">
                  <c:v>38348.61971762566</c:v>
                </c:pt>
                <c:pt idx="13">
                  <c:v>38348.61971762566</c:v>
                </c:pt>
                <c:pt idx="14">
                  <c:v>38348.61971762566</c:v>
                </c:pt>
                <c:pt idx="15">
                  <c:v>38348.61971762566</c:v>
                </c:pt>
                <c:pt idx="16">
                  <c:v>38348.61971762566</c:v>
                </c:pt>
                <c:pt idx="17">
                  <c:v>38348.61971762566</c:v>
                </c:pt>
                <c:pt idx="18">
                  <c:v>38348.61971762566</c:v>
                </c:pt>
                <c:pt idx="19">
                  <c:v>38348.61971762566</c:v>
                </c:pt>
                <c:pt idx="20">
                  <c:v>38348.61971762566</c:v>
                </c:pt>
                <c:pt idx="21">
                  <c:v>38348.61971762566</c:v>
                </c:pt>
                <c:pt idx="22">
                  <c:v>38348.61971762566</c:v>
                </c:pt>
                <c:pt idx="23">
                  <c:v>38348.61971762566</c:v>
                </c:pt>
                <c:pt idx="24">
                  <c:v>38348.61971762566</c:v>
                </c:pt>
                <c:pt idx="25">
                  <c:v>38348.61971762566</c:v>
                </c:pt>
                <c:pt idx="26">
                  <c:v>38477.32049664336</c:v>
                </c:pt>
                <c:pt idx="27">
                  <c:v>38606.02127566106</c:v>
                </c:pt>
                <c:pt idx="28">
                  <c:v>38734.72205467876</c:v>
                </c:pt>
                <c:pt idx="29">
                  <c:v>38863.42283369645</c:v>
                </c:pt>
                <c:pt idx="30">
                  <c:v>38992.12361271416</c:v>
                </c:pt>
                <c:pt idx="31">
                  <c:v>39120.82439173186</c:v>
                </c:pt>
                <c:pt idx="32">
                  <c:v>39249.52517074956</c:v>
                </c:pt>
                <c:pt idx="33">
                  <c:v>39378.22594976726</c:v>
                </c:pt>
                <c:pt idx="34">
                  <c:v>39506.92672878497</c:v>
                </c:pt>
                <c:pt idx="35">
                  <c:v>39635.62750780267</c:v>
                </c:pt>
                <c:pt idx="36">
                  <c:v>39764.32828682037</c:v>
                </c:pt>
                <c:pt idx="37">
                  <c:v>39893.02906583807</c:v>
                </c:pt>
                <c:pt idx="38">
                  <c:v>40021.72984485577</c:v>
                </c:pt>
                <c:pt idx="39">
                  <c:v>40150.43062387347</c:v>
                </c:pt>
                <c:pt idx="40">
                  <c:v>40279.13140289117</c:v>
                </c:pt>
                <c:pt idx="41">
                  <c:v>40407.83218190887</c:v>
                </c:pt>
                <c:pt idx="42">
                  <c:v>40536.53296092657</c:v>
                </c:pt>
                <c:pt idx="43">
                  <c:v>40665.23373994427</c:v>
                </c:pt>
                <c:pt idx="44">
                  <c:v>40793.93451896197</c:v>
                </c:pt>
                <c:pt idx="45">
                  <c:v>40922.63529797967</c:v>
                </c:pt>
                <c:pt idx="46">
                  <c:v>41051.33607699737</c:v>
                </c:pt>
                <c:pt idx="47">
                  <c:v>41180.03685601507</c:v>
                </c:pt>
                <c:pt idx="48">
                  <c:v>41308.73763503278</c:v>
                </c:pt>
                <c:pt idx="49">
                  <c:v>41437.43841405047</c:v>
                </c:pt>
                <c:pt idx="50">
                  <c:v>41566.13919306817</c:v>
                </c:pt>
                <c:pt idx="51">
                  <c:v>41694.83997208587</c:v>
                </c:pt>
                <c:pt idx="52">
                  <c:v>41823.54075110357</c:v>
                </c:pt>
                <c:pt idx="53">
                  <c:v>41952.24153012127</c:v>
                </c:pt>
                <c:pt idx="54">
                  <c:v>42080.94230913897</c:v>
                </c:pt>
                <c:pt idx="55">
                  <c:v>42209.64308815668</c:v>
                </c:pt>
                <c:pt idx="56">
                  <c:v>42338.34386717437</c:v>
                </c:pt>
                <c:pt idx="57">
                  <c:v>42467.04464619208</c:v>
                </c:pt>
                <c:pt idx="58">
                  <c:v>42595.74542520978</c:v>
                </c:pt>
                <c:pt idx="59">
                  <c:v>42724.44620422748</c:v>
                </c:pt>
                <c:pt idx="60">
                  <c:v>42853.14698324518</c:v>
                </c:pt>
                <c:pt idx="61">
                  <c:v>42981.84776226289</c:v>
                </c:pt>
                <c:pt idx="62">
                  <c:v>43110.54854128058</c:v>
                </c:pt>
                <c:pt idx="63">
                  <c:v>43239.24932029829</c:v>
                </c:pt>
                <c:pt idx="64">
                  <c:v>43367.95009931598</c:v>
                </c:pt>
                <c:pt idx="65">
                  <c:v>43496.65087833368</c:v>
                </c:pt>
                <c:pt idx="66">
                  <c:v>44072.5302278772</c:v>
                </c:pt>
                <c:pt idx="67">
                  <c:v>44648.40957742071</c:v>
                </c:pt>
                <c:pt idx="68">
                  <c:v>45224.28892696423</c:v>
                </c:pt>
                <c:pt idx="69">
                  <c:v>45800.16827650775</c:v>
                </c:pt>
                <c:pt idx="70">
                  <c:v>46376.04762605127</c:v>
                </c:pt>
                <c:pt idx="71">
                  <c:v>46951.92697559478</c:v>
                </c:pt>
                <c:pt idx="72">
                  <c:v>47527.8063251383</c:v>
                </c:pt>
                <c:pt idx="73">
                  <c:v>48103.68567468182</c:v>
                </c:pt>
                <c:pt idx="74">
                  <c:v>48679.56502422533</c:v>
                </c:pt>
                <c:pt idx="75">
                  <c:v>49255.44437376884</c:v>
                </c:pt>
                <c:pt idx="76">
                  <c:v>49831.32372331237</c:v>
                </c:pt>
                <c:pt idx="77">
                  <c:v>50407.20307285587</c:v>
                </c:pt>
                <c:pt idx="78">
                  <c:v>50983.0824223994</c:v>
                </c:pt>
                <c:pt idx="79">
                  <c:v>51558.96177194291</c:v>
                </c:pt>
                <c:pt idx="80">
                  <c:v>52134.84112148642</c:v>
                </c:pt>
                <c:pt idx="81">
                  <c:v>52710.72047102994</c:v>
                </c:pt>
                <c:pt idx="82">
                  <c:v>53286.59982057346</c:v>
                </c:pt>
                <c:pt idx="83">
                  <c:v>53862.47917011697</c:v>
                </c:pt>
                <c:pt idx="84">
                  <c:v>54438.3585196605</c:v>
                </c:pt>
                <c:pt idx="85">
                  <c:v>55014.23786920401</c:v>
                </c:pt>
                <c:pt idx="86">
                  <c:v>55590.11721874752</c:v>
                </c:pt>
                <c:pt idx="87">
                  <c:v>56165.99656829104</c:v>
                </c:pt>
                <c:pt idx="88">
                  <c:v>57912.28586340115</c:v>
                </c:pt>
                <c:pt idx="89">
                  <c:v>60828.98510407787</c:v>
                </c:pt>
                <c:pt idx="90">
                  <c:v>63745.68434475457</c:v>
                </c:pt>
                <c:pt idx="91">
                  <c:v>66662.3835854313</c:v>
                </c:pt>
                <c:pt idx="92">
                  <c:v>69579.082826108</c:v>
                </c:pt>
                <c:pt idx="93">
                  <c:v>72495.7820667847</c:v>
                </c:pt>
                <c:pt idx="94">
                  <c:v>75412.48130746142</c:v>
                </c:pt>
                <c:pt idx="95">
                  <c:v>78329.18054813813</c:v>
                </c:pt>
                <c:pt idx="96">
                  <c:v>81245.87978881485</c:v>
                </c:pt>
                <c:pt idx="97">
                  <c:v>84162.57902949156</c:v>
                </c:pt>
                <c:pt idx="98">
                  <c:v>90510.8291498299</c:v>
                </c:pt>
                <c:pt idx="99">
                  <c:v>100290.6301498299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769624"/>
        <c:axId val="2134646728"/>
      </c:lineChart>
      <c:catAx>
        <c:axId val="2134769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46467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346467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476962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0.0854766846547668</c:v>
                </c:pt>
                <c:pt idx="1">
                  <c:v>0.0427383423273834</c:v>
                </c:pt>
                <c:pt idx="2" formatCode="0.0%">
                  <c:v>0.0427383423273834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0.0694287826899128</c:v>
                </c:pt>
                <c:pt idx="1">
                  <c:v>0.0347143913449564</c:v>
                </c:pt>
                <c:pt idx="2" formatCode="0.0%">
                  <c:v>0.0347143913449564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</c:v>
                </c:pt>
                <c:pt idx="1">
                  <c:v>0.05</c:v>
                </c:pt>
                <c:pt idx="2" formatCode="0.0%">
                  <c:v>0.05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0.162453575342466</c:v>
                </c:pt>
                <c:pt idx="1">
                  <c:v>0.177074397123288</c:v>
                </c:pt>
                <c:pt idx="2" formatCode="0.0%">
                  <c:v>0.190052961282442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0.0385614881693649</c:v>
                </c:pt>
                <c:pt idx="1">
                  <c:v>0.0420320221046077</c:v>
                </c:pt>
                <c:pt idx="2" formatCode="0.0%">
                  <c:v>0.0420320221046077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0.0667732901618929</c:v>
                </c:pt>
                <c:pt idx="1">
                  <c:v>0.0667732901618929</c:v>
                </c:pt>
                <c:pt idx="2" formatCode="0.0%">
                  <c:v>0.0631233110126406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0.0019986799501868</c:v>
                </c:pt>
                <c:pt idx="1">
                  <c:v>0.0019986799501868</c:v>
                </c:pt>
                <c:pt idx="2" formatCode="0.0%">
                  <c:v>0.00217145113856466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0.0379514321295143</c:v>
                </c:pt>
                <c:pt idx="1">
                  <c:v>0.0379514321295143</c:v>
                </c:pt>
                <c:pt idx="2" formatCode="0.0%">
                  <c:v>0.0422305047042025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0.104822073474471</c:v>
                </c:pt>
                <c:pt idx="1">
                  <c:v>0.104822073474471</c:v>
                </c:pt>
                <c:pt idx="2" formatCode="0.0%">
                  <c:v>0.113520727219756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0.00706032932060329</c:v>
                </c:pt>
                <c:pt idx="1">
                  <c:v>0.00706032932060329</c:v>
                </c:pt>
                <c:pt idx="2" formatCode="0.0%">
                  <c:v>0.00837485084669199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0.0225716064757161</c:v>
                </c:pt>
                <c:pt idx="1">
                  <c:v>0.0225716064757161</c:v>
                </c:pt>
                <c:pt idx="2" formatCode="0.0%">
                  <c:v>0.0225716064757161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0.011706102117061</c:v>
                </c:pt>
                <c:pt idx="1">
                  <c:v>0.011706102117061</c:v>
                </c:pt>
                <c:pt idx="2" formatCode="0.0%">
                  <c:v>0.0122120553523072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0.0534777235367372</c:v>
                </c:pt>
                <c:pt idx="1">
                  <c:v>0.0534777235367372</c:v>
                </c:pt>
                <c:pt idx="2" formatCode="0.0%">
                  <c:v>0.0534777235367372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0.0256330427563304</c:v>
                </c:pt>
                <c:pt idx="1">
                  <c:v>0.0256330427563304</c:v>
                </c:pt>
                <c:pt idx="2" formatCode="0.0%">
                  <c:v>0.0256330427563304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0.105820105820106</c:v>
                </c:pt>
                <c:pt idx="1">
                  <c:v>0.105820105820106</c:v>
                </c:pt>
                <c:pt idx="2" formatCode="0.0%">
                  <c:v>0.105820105820106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0.027003904109589</c:v>
                </c:pt>
                <c:pt idx="1">
                  <c:v>0.027003904109589</c:v>
                </c:pt>
                <c:pt idx="2" formatCode="0.0%">
                  <c:v>0.0223353261279872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0.2056184</c:v>
                </c:pt>
                <c:pt idx="1">
                  <c:v>0.2056184</c:v>
                </c:pt>
                <c:pt idx="2" formatCode="0.0%">
                  <c:v>0.208906397227036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0.605608714819427</c:v>
                </c:pt>
                <c:pt idx="1">
                  <c:v>0.394332252359946</c:v>
                </c:pt>
                <c:pt idx="2" formatCode="0.0%">
                  <c:v>-0.0399148192774654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3937672"/>
        <c:axId val="2113940968"/>
      </c:barChart>
      <c:catAx>
        <c:axId val="2113937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3940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3940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3937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0.0140800124533001</c:v>
                </c:pt>
                <c:pt idx="1">
                  <c:v>0.00704000622665006</c:v>
                </c:pt>
                <c:pt idx="2" formatCode="0.0%">
                  <c:v>0.00704000622665006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0.00234666874221669</c:v>
                </c:pt>
                <c:pt idx="1">
                  <c:v>0.00117333437110834</c:v>
                </c:pt>
                <c:pt idx="2" formatCode="0.0%">
                  <c:v>0.00117333437110834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0.005906425124533</c:v>
                </c:pt>
                <c:pt idx="1">
                  <c:v>0.0029532125622665</c:v>
                </c:pt>
                <c:pt idx="2" formatCode="0.0%">
                  <c:v>0.0029532125622665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0.0425</c:v>
                </c:pt>
                <c:pt idx="2" formatCode="0.0%">
                  <c:v>0.0425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0.0967032508561644</c:v>
                </c:pt>
                <c:pt idx="2" formatCode="0.0%">
                  <c:v>0.0967032508561644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0.0441882067247821</c:v>
                </c:pt>
                <c:pt idx="1">
                  <c:v>0.0441882067247821</c:v>
                </c:pt>
                <c:pt idx="2" formatCode="0.0%">
                  <c:v>0.0441882067247821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0.0498583748443337</c:v>
                </c:pt>
                <c:pt idx="1">
                  <c:v>0.0498583748443337</c:v>
                </c:pt>
                <c:pt idx="2" formatCode="0.0%">
                  <c:v>0.0623229685554172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0.0259884806973848</c:v>
                </c:pt>
                <c:pt idx="2" formatCode="0.0%">
                  <c:v>0.0259884806973848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0.0330189531444583</c:v>
                </c:pt>
                <c:pt idx="1">
                  <c:v>0.0330189531444583</c:v>
                </c:pt>
                <c:pt idx="2" formatCode="0.0%">
                  <c:v>0.0330189531444583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0.006109900373599</c:v>
                </c:pt>
                <c:pt idx="1">
                  <c:v>0.006109900373599</c:v>
                </c:pt>
                <c:pt idx="2" formatCode="0.0%">
                  <c:v>0.006109900373599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0.0253930572851806</c:v>
                </c:pt>
                <c:pt idx="1">
                  <c:v>0.0253930572851806</c:v>
                </c:pt>
                <c:pt idx="2" formatCode="0.0%">
                  <c:v>0.0253930572851806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0.1812987375467</c:v>
                </c:pt>
                <c:pt idx="1">
                  <c:v>0.1812987375467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0.575179898816937</c:v>
                </c:pt>
                <c:pt idx="1">
                  <c:v>0.287965799478957</c:v>
                </c:pt>
                <c:pt idx="2" formatCode="0.0%">
                  <c:v>0.308924236213373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4499672"/>
        <c:axId val="-2144496392"/>
      </c:barChart>
      <c:catAx>
        <c:axId val="-2144499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496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496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499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0.00283686176836862</c:v>
                </c:pt>
                <c:pt idx="1">
                  <c:v>0.00283686176836862</c:v>
                </c:pt>
                <c:pt idx="2">
                  <c:v>0.00550684931506849</c:v>
                </c:pt>
                <c:pt idx="3">
                  <c:v>0.00550684931506849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0.0523431467932752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0.386813003424657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0.22204573879203</c:v>
                </c:pt>
                <c:pt idx="3">
                  <c:v>0.109365811643836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0.0219963418430884</c:v>
                </c:pt>
                <c:pt idx="1">
                  <c:v>0.0219963418430884</c:v>
                </c:pt>
                <c:pt idx="2">
                  <c:v>0.0219963418430884</c:v>
                </c:pt>
                <c:pt idx="3">
                  <c:v>0.0219963418430884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0.103953922789539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0.12429918873325</c:v>
                </c:pt>
                <c:pt idx="1">
                  <c:v>0.0745964189439601</c:v>
                </c:pt>
                <c:pt idx="2">
                  <c:v>0.0994478038386052</c:v>
                </c:pt>
                <c:pt idx="3">
                  <c:v>0.12429918873325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-1.109277946406628</c:v>
                </c:pt>
                <c:pt idx="1">
                  <c:v>-1.009686535300665</c:v>
                </c:pt>
                <c:pt idx="2">
                  <c:v>-1.284197967192376</c:v>
                </c:pt>
                <c:pt idx="3">
                  <c:v>4.032364723261675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4521032"/>
        <c:axId val="-2144517720"/>
      </c:barChart>
      <c:catAx>
        <c:axId val="-21445210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5177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4517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521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0.00478720423412204</c:v>
                </c:pt>
                <c:pt idx="1">
                  <c:v>0.00478720423412204</c:v>
                </c:pt>
                <c:pt idx="2">
                  <c:v>0.00929280821917808</c:v>
                </c:pt>
                <c:pt idx="3">
                  <c:v>0.00929280821917808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0.00469333748443337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0.00835621498006315</c:v>
                </c:pt>
                <c:pt idx="1">
                  <c:v>0.00345663526900284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0.120255189616329</c:v>
                </c:pt>
                <c:pt idx="1">
                  <c:v>0.0497448103836706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0.2736251239582</c:v>
                </c:pt>
                <c:pt idx="1">
                  <c:v>0.113187879466457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0.118424394022416</c:v>
                </c:pt>
                <c:pt idx="3">
                  <c:v>0.0583284328767123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0.249291874221669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-1.36227473418857</c:v>
                </c:pt>
                <c:pt idx="1">
                  <c:v>-1.36227473418857</c:v>
                </c:pt>
                <c:pt idx="2">
                  <c:v>-1.36227473418857</c:v>
                </c:pt>
                <c:pt idx="3">
                  <c:v>-1.36227473418857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4642936"/>
        <c:axId val="-2144639624"/>
      </c:barChart>
      <c:catAx>
        <c:axId val="-21446429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6396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4639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642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0.00443259651307596</c:v>
                </c:pt>
                <c:pt idx="1">
                  <c:v>0.00443259651307596</c:v>
                </c:pt>
                <c:pt idx="2">
                  <c:v>0.00860445205479452</c:v>
                </c:pt>
                <c:pt idx="3">
                  <c:v>0.00860445205479452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0.0508837361913397</c:v>
                </c:pt>
                <c:pt idx="1">
                  <c:v>0.0419897071461448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0.0931400284265808</c:v>
                </c:pt>
                <c:pt idx="1">
                  <c:v>0.0768599715734192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0.367050691942411</c:v>
                </c:pt>
                <c:pt idx="1">
                  <c:v>0.302893462942581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0.258786301927823</c:v>
                </c:pt>
                <c:pt idx="3">
                  <c:v>0.127461909904749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0.0102458101400557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0.255368397587748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0.126427283283205</c:v>
                </c:pt>
                <c:pt idx="1">
                  <c:v>0.0758735651121582</c:v>
                </c:pt>
                <c:pt idx="2">
                  <c:v>0.101150424197682</c:v>
                </c:pt>
                <c:pt idx="3">
                  <c:v>0.126427283283205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0.215101745497158</c:v>
                </c:pt>
                <c:pt idx="1">
                  <c:v>0.215101745497158</c:v>
                </c:pt>
                <c:pt idx="2">
                  <c:v>0.215101745497158</c:v>
                </c:pt>
                <c:pt idx="3">
                  <c:v>0.215101745497158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-0.0206890679520905</c:v>
                </c:pt>
                <c:pt idx="1">
                  <c:v>-0.509373280840595</c:v>
                </c:pt>
                <c:pt idx="2">
                  <c:v>-0.536047981866746</c:v>
                </c:pt>
                <c:pt idx="3">
                  <c:v>-0.21003809079439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4756504"/>
        <c:axId val="-2144753192"/>
      </c:barChart>
      <c:catAx>
        <c:axId val="-21447565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7531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4753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756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0.0290620727826207</c:v>
                </c:pt>
                <c:pt idx="1">
                  <c:v>0.0290620727826207</c:v>
                </c:pt>
                <c:pt idx="2">
                  <c:v>0.0564146118721461</c:v>
                </c:pt>
                <c:pt idx="3">
                  <c:v>0.0564146118721461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0.0548254312541236</c:v>
                </c:pt>
                <c:pt idx="1">
                  <c:v>0.0597251609040705</c:v>
                </c:pt>
                <c:pt idx="2">
                  <c:v>0.0243069732216315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0.0789664302469314</c:v>
                </c:pt>
                <c:pt idx="1">
                  <c:v>0.0860236325485048</c:v>
                </c:pt>
                <c:pt idx="2">
                  <c:v>0.0350099372045637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0.300156078206654</c:v>
                </c:pt>
                <c:pt idx="1">
                  <c:v>0.32698092212232</c:v>
                </c:pt>
                <c:pt idx="2">
                  <c:v>0.133074844800793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0.0663823748332197</c:v>
                </c:pt>
                <c:pt idx="1">
                  <c:v>0.0723149444959481</c:v>
                </c:pt>
                <c:pt idx="2">
                  <c:v>0.029430769089263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0.169170473513877</c:v>
                </c:pt>
                <c:pt idx="3">
                  <c:v>0.0833227705366855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0.00868580455425865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0.16892201881681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0.133545783501321</c:v>
                </c:pt>
                <c:pt idx="1">
                  <c:v>0.0801456334171479</c:v>
                </c:pt>
                <c:pt idx="2">
                  <c:v>0.106845708459235</c:v>
                </c:pt>
                <c:pt idx="3">
                  <c:v>0.133545783501321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0.208906397227036</c:v>
                </c:pt>
                <c:pt idx="1">
                  <c:v>0.208906397227036</c:v>
                </c:pt>
                <c:pt idx="2">
                  <c:v>0.208906397227036</c:v>
                </c:pt>
                <c:pt idx="3">
                  <c:v>0.208906397227036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2.22044604925031E-16</c:v>
                </c:pt>
                <c:pt idx="2">
                  <c:v>0.108684852663362</c:v>
                </c:pt>
                <c:pt idx="3">
                  <c:v>0.220732986097908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4854888"/>
        <c:axId val="-2144851576"/>
      </c:barChart>
      <c:catAx>
        <c:axId val="-21448548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85157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4851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854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0.0204373594931535</c:v>
                </c:pt>
                <c:pt idx="1">
                  <c:v>0.0192928673615369</c:v>
                </c:pt>
                <c:pt idx="2">
                  <c:v>0.0192928673615369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0.0265685673410995</c:v>
                </c:pt>
                <c:pt idx="1">
                  <c:v>0.0371959942775393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0.00147148988350705</c:v>
                </c:pt>
                <c:pt idx="1">
                  <c:v>0.00206008583690987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0.00613120784794604</c:v>
                </c:pt>
                <c:pt idx="1">
                  <c:v>0.00858369098712446</c:v>
                </c:pt>
                <c:pt idx="2">
                  <c:v>0.00858369098712446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0.0453300633558144</c:v>
                </c:pt>
                <c:pt idx="1">
                  <c:v>0.050316370324954</c:v>
                </c:pt>
                <c:pt idx="2">
                  <c:v>0.050316370324954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0.900061312078479</c:v>
                </c:pt>
                <c:pt idx="1">
                  <c:v>1.062072348252606</c:v>
                </c:pt>
                <c:pt idx="2">
                  <c:v>1.062072348252606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5022552"/>
        <c:axId val="-2145033656"/>
      </c:barChart>
      <c:catAx>
        <c:axId val="-2145022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5033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5033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5022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cni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zacni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ZACNI</v>
          </cell>
          <cell r="D1">
            <v>59106</v>
          </cell>
        </row>
        <row r="2">
          <cell r="A2" t="str">
            <v>Coastal open access non-crop income</v>
          </cell>
        </row>
        <row r="9">
          <cell r="CK9">
            <v>0.5</v>
          </cell>
        </row>
        <row r="10">
          <cell r="CK10">
            <v>0.3</v>
          </cell>
        </row>
        <row r="11">
          <cell r="CK11">
            <v>0.15</v>
          </cell>
        </row>
        <row r="12">
          <cell r="CK12">
            <v>0.05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13579.12894961681</v>
          </cell>
          <cell r="E1031">
            <v>13579.12894961681</v>
          </cell>
          <cell r="H1031">
            <v>13579.12894961681</v>
          </cell>
          <cell r="J1031">
            <v>15276.520068318912</v>
          </cell>
        </row>
        <row r="1032">
          <cell r="C1032">
            <v>13978.666666666668</v>
          </cell>
          <cell r="E1032">
            <v>13978.666666666668</v>
          </cell>
          <cell r="H1032">
            <v>13978.666666666668</v>
          </cell>
          <cell r="J1032">
            <v>15726.000000000002</v>
          </cell>
        </row>
        <row r="1033">
          <cell r="C1033">
            <v>27744</v>
          </cell>
          <cell r="E1033">
            <v>27744</v>
          </cell>
          <cell r="H1033">
            <v>27744</v>
          </cell>
          <cell r="J1033">
            <v>31212</v>
          </cell>
        </row>
        <row r="1034">
          <cell r="C1034">
            <v>2800</v>
          </cell>
          <cell r="E1034">
            <v>3740</v>
          </cell>
          <cell r="H1034">
            <v>7510</v>
          </cell>
          <cell r="J1034">
            <v>11510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0.64232512570888012</v>
          </cell>
          <cell r="E1038">
            <v>0.64232512570888012</v>
          </cell>
          <cell r="H1038">
            <v>0.64232512570888012</v>
          </cell>
          <cell r="J1038">
            <v>0.64232512570888012</v>
          </cell>
        </row>
        <row r="1039">
          <cell r="C1039">
            <v>8</v>
          </cell>
          <cell r="E1039">
            <v>8</v>
          </cell>
          <cell r="H1039">
            <v>8</v>
          </cell>
          <cell r="J1039">
            <v>9</v>
          </cell>
        </row>
        <row r="1040">
          <cell r="C1040">
            <v>4.509345794392523</v>
          </cell>
          <cell r="E1040">
            <v>4.509345794392523</v>
          </cell>
          <cell r="H1040">
            <v>4.509345794392523</v>
          </cell>
          <cell r="J1040">
            <v>4.509345794392523</v>
          </cell>
        </row>
        <row r="1044">
          <cell r="A1044" t="str">
            <v>Cows' milk - season 1</v>
          </cell>
          <cell r="C1044">
            <v>1.4080012453300126E-2</v>
          </cell>
          <cell r="D1044">
            <v>0</v>
          </cell>
          <cell r="E1044">
            <v>8.3437110834371116E-3</v>
          </cell>
          <cell r="F1044">
            <v>0</v>
          </cell>
          <cell r="H1044">
            <v>1.3037048567870486E-2</v>
          </cell>
          <cell r="I1044">
            <v>0</v>
          </cell>
          <cell r="J1044">
            <v>8.5476684654766849E-2</v>
          </cell>
          <cell r="K1044">
            <v>0</v>
          </cell>
        </row>
        <row r="1045">
          <cell r="A1045" t="str">
            <v>Cows' milk - season 2</v>
          </cell>
          <cell r="C1045">
            <v>2.3466687422166875E-3</v>
          </cell>
          <cell r="D1045">
            <v>0</v>
          </cell>
          <cell r="E1045">
            <v>0</v>
          </cell>
          <cell r="F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5.906425124533001E-3</v>
          </cell>
          <cell r="D1046">
            <v>0</v>
          </cell>
          <cell r="E1046">
            <v>2.6171573396637608E-2</v>
          </cell>
          <cell r="F1046">
            <v>0</v>
          </cell>
          <cell r="H1046">
            <v>4.6436721668742222E-2</v>
          </cell>
          <cell r="I1046">
            <v>0</v>
          </cell>
          <cell r="J1046">
            <v>6.942878268991283E-2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4.2500000000000003E-2</v>
          </cell>
          <cell r="D1047">
            <v>0</v>
          </cell>
          <cell r="E1047">
            <v>4.2500000000000003E-2</v>
          </cell>
          <cell r="F1047">
            <v>0</v>
          </cell>
          <cell r="H1047">
            <v>4.2500000000000003E-2</v>
          </cell>
          <cell r="I1047">
            <v>0</v>
          </cell>
          <cell r="J1047">
            <v>0.05</v>
          </cell>
          <cell r="K1047">
            <v>0</v>
          </cell>
        </row>
        <row r="1048">
          <cell r="A1048" t="str">
            <v>Maize: kg produced</v>
          </cell>
          <cell r="C1048">
            <v>8.8718578767123274E-2</v>
          </cell>
          <cell r="D1048">
            <v>0</v>
          </cell>
          <cell r="E1048">
            <v>8.8718578767123274E-2</v>
          </cell>
          <cell r="F1048">
            <v>0</v>
          </cell>
          <cell r="H1048">
            <v>0.13307786815068492</v>
          </cell>
          <cell r="I1048">
            <v>7.3932148972602724E-2</v>
          </cell>
          <cell r="J1048">
            <v>0.16245357534246571</v>
          </cell>
          <cell r="K1048">
            <v>6.8871904109589072E-2</v>
          </cell>
        </row>
        <row r="1049">
          <cell r="A1049" t="str">
            <v>Sorghum: kg produced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H1049">
            <v>0</v>
          </cell>
          <cell r="I1049">
            <v>0</v>
          </cell>
          <cell r="J1049">
            <v>3.8561488169364881E-2</v>
          </cell>
          <cell r="K1049">
            <v>0</v>
          </cell>
        </row>
        <row r="1050">
          <cell r="A1050" t="str">
            <v>Beans: kg produced</v>
          </cell>
          <cell r="C1050">
            <v>4.4188206724782075E-2</v>
          </cell>
          <cell r="D1050">
            <v>0</v>
          </cell>
          <cell r="E1050">
            <v>8.2852887608966391E-2</v>
          </cell>
          <cell r="F1050">
            <v>0</v>
          </cell>
          <cell r="H1050">
            <v>0.10770875389165629</v>
          </cell>
          <cell r="I1050">
            <v>-4.0045562344333749E-2</v>
          </cell>
          <cell r="J1050">
            <v>6.6773290161892901E-2</v>
          </cell>
          <cell r="K1050">
            <v>-2.1112143212951434E-2</v>
          </cell>
        </row>
        <row r="1051">
          <cell r="A1051" t="str">
            <v>Cassava: no. local meas.</v>
          </cell>
          <cell r="C1051">
            <v>4.9858374844333753E-2</v>
          </cell>
          <cell r="D1051">
            <v>1.2464593711083438E-2</v>
          </cell>
          <cell r="E1051">
            <v>0</v>
          </cell>
          <cell r="F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Water melon: no. local meas (Bhece)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2.2485149439601493E-3</v>
          </cell>
          <cell r="I1052">
            <v>1.1242574719800748E-3</v>
          </cell>
          <cell r="J1052">
            <v>1.9986799501867992E-3</v>
          </cell>
          <cell r="K1052">
            <v>9.9933997509339982E-4</v>
          </cell>
        </row>
        <row r="1053">
          <cell r="A1053" t="str">
            <v>Pumpkin: no. local meas</v>
          </cell>
          <cell r="C1053">
            <v>0</v>
          </cell>
          <cell r="D1053">
            <v>0</v>
          </cell>
          <cell r="E1053">
            <v>2.1996341843088418E-2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Sweet poatato: no. local meas</v>
          </cell>
          <cell r="C1054">
            <v>2.5988480697384807E-2</v>
          </cell>
          <cell r="D1054">
            <v>0</v>
          </cell>
          <cell r="E1054">
            <v>2.5988480697384807E-2</v>
          </cell>
          <cell r="F1054">
            <v>0</v>
          </cell>
          <cell r="H1054">
            <v>6.125856164383562E-2</v>
          </cell>
          <cell r="I1054">
            <v>9.281600249065998E-3</v>
          </cell>
          <cell r="J1054">
            <v>3.7951432129514323E-2</v>
          </cell>
          <cell r="K1054">
            <v>2.4750933997509342E-2</v>
          </cell>
        </row>
        <row r="1055">
          <cell r="A1055" t="str">
            <v>Groundnuts (dry): no. local meas</v>
          </cell>
          <cell r="C1055">
            <v>3.3018953144458282E-2</v>
          </cell>
          <cell r="D1055">
            <v>0</v>
          </cell>
          <cell r="E1055">
            <v>5.849071699875466E-2</v>
          </cell>
          <cell r="F1055">
            <v>4.7169933063511846E-2</v>
          </cell>
          <cell r="H1055">
            <v>9.4339866127023678E-2</v>
          </cell>
          <cell r="I1055">
            <v>4.7169933063511818E-2</v>
          </cell>
          <cell r="J1055">
            <v>0.10482207347447074</v>
          </cell>
          <cell r="K1055">
            <v>5.0314595267745968E-2</v>
          </cell>
        </row>
        <row r="1056">
          <cell r="A1056" t="str">
            <v>Irish potato: type</v>
          </cell>
          <cell r="C1056">
            <v>6.1099003735990039E-3</v>
          </cell>
          <cell r="D1056">
            <v>0</v>
          </cell>
          <cell r="E1056">
            <v>8.3094645080946453E-3</v>
          </cell>
          <cell r="F1056">
            <v>2.1995641344956414E-3</v>
          </cell>
          <cell r="H1056">
            <v>2.4561799501867997E-2</v>
          </cell>
          <cell r="I1056">
            <v>2.358421544209215E-2</v>
          </cell>
          <cell r="J1056">
            <v>7.0603293206032928E-3</v>
          </cell>
          <cell r="K1056">
            <v>7.6034315760343165E-3</v>
          </cell>
        </row>
        <row r="1057">
          <cell r="A1057" t="str">
            <v>Yam: type</v>
          </cell>
          <cell r="C1057">
            <v>2.5393057285180574E-2</v>
          </cell>
          <cell r="D1057">
            <v>0</v>
          </cell>
          <cell r="E1057">
            <v>2.082230697384807E-2</v>
          </cell>
          <cell r="F1057">
            <v>0</v>
          </cell>
          <cell r="H1057">
            <v>2.0991594022415939E-2</v>
          </cell>
          <cell r="I1057">
            <v>0</v>
          </cell>
          <cell r="J1057">
            <v>2.2571606475716065E-2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H1058">
            <v>0</v>
          </cell>
          <cell r="I1058">
            <v>0</v>
          </cell>
          <cell r="J1058">
            <v>1.1706102117061022E-2</v>
          </cell>
          <cell r="K1058">
            <v>2.9265255292652559E-3</v>
          </cell>
        </row>
        <row r="1059">
          <cell r="A1059" t="str">
            <v>Labour: Land clearing, construction, herding, slaughtering</v>
          </cell>
          <cell r="C1059">
            <v>0</v>
          </cell>
          <cell r="D1059">
            <v>0</v>
          </cell>
          <cell r="E1059">
            <v>5.6779890410958905E-2</v>
          </cell>
          <cell r="F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Weeding</v>
          </cell>
          <cell r="C1060">
            <v>0</v>
          </cell>
          <cell r="D1060">
            <v>0</v>
          </cell>
          <cell r="E1060">
            <v>1.8926630136986301E-2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>Gifts/remittances: cereal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H1061">
            <v>1.7694834993773351E-2</v>
          </cell>
          <cell r="I1061">
            <v>0</v>
          </cell>
          <cell r="J1061">
            <v>5.3477723536737236E-2</v>
          </cell>
          <cell r="K1061">
            <v>0</v>
          </cell>
        </row>
        <row r="1062">
          <cell r="A1062" t="str">
            <v>Gifts/remittances: Other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H1062">
            <v>2.3069738480697384E-2</v>
          </cell>
          <cell r="I1062">
            <v>0</v>
          </cell>
          <cell r="J1062">
            <v>2.5633042756330427E-2</v>
          </cell>
          <cell r="K1062">
            <v>0</v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0.10582010582010581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3.314115504358655E-2</v>
          </cell>
          <cell r="I1065">
            <v>-3.314115504358655E-2</v>
          </cell>
          <cell r="J1065">
            <v>2.7003904109589038E-2</v>
          </cell>
          <cell r="K1065">
            <v>-2.7003904109589038E-2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0.18129873754669984</v>
          </cell>
          <cell r="D1067">
            <v>4.3338036395297215E-2</v>
          </cell>
          <cell r="E1067">
            <v>0.19715891469489413</v>
          </cell>
          <cell r="F1067">
            <v>2.7477859247102939E-2</v>
          </cell>
          <cell r="H1067">
            <v>0.21142394971980072</v>
          </cell>
          <cell r="I1067">
            <v>1.3212824222196339E-2</v>
          </cell>
          <cell r="J1067">
            <v>0.20561839999999998</v>
          </cell>
          <cell r="K1067">
            <v>1.9018373941997086E-2</v>
          </cell>
        </row>
        <row r="1068">
          <cell r="A1068" t="str">
            <v>Purchase - staple</v>
          </cell>
          <cell r="C1068">
            <v>0.57517989881693654</v>
          </cell>
          <cell r="E1068">
            <v>0.57048734589041095</v>
          </cell>
          <cell r="H1068">
            <v>0.56457277397260275</v>
          </cell>
          <cell r="J1068">
            <v>0.60560871481942702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2000</v>
          </cell>
          <cell r="I1072">
            <v>0</v>
          </cell>
          <cell r="J1072">
            <v>8000</v>
          </cell>
          <cell r="K1072">
            <v>2000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500</v>
          </cell>
          <cell r="F1073">
            <v>0</v>
          </cell>
          <cell r="H1073">
            <v>1500</v>
          </cell>
          <cell r="I1073">
            <v>1000</v>
          </cell>
          <cell r="J1073">
            <v>2500</v>
          </cell>
          <cell r="K1073">
            <v>500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550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500</v>
          </cell>
          <cell r="I1075">
            <v>-500</v>
          </cell>
          <cell r="J1075">
            <v>655</v>
          </cell>
          <cell r="K1075">
            <v>-655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1250</v>
          </cell>
          <cell r="I1076">
            <v>1812.5</v>
          </cell>
          <cell r="J1076">
            <v>1250</v>
          </cell>
          <cell r="K1076">
            <v>1075</v>
          </cell>
        </row>
        <row r="1077">
          <cell r="A1077" t="str">
            <v>Water melon: no. local meas (Bhece)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99</v>
          </cell>
          <cell r="I1077">
            <v>-99</v>
          </cell>
          <cell r="J1077">
            <v>99</v>
          </cell>
          <cell r="K1077">
            <v>-99</v>
          </cell>
        </row>
        <row r="1078">
          <cell r="A1078" t="str">
            <v>Sweet poatato: no. local meas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250</v>
          </cell>
          <cell r="I1078">
            <v>-250</v>
          </cell>
          <cell r="J1078">
            <v>750</v>
          </cell>
          <cell r="K1078">
            <v>-750</v>
          </cell>
        </row>
        <row r="1079">
          <cell r="A1079" t="str">
            <v>Groundnuts (dry): no. local meas</v>
          </cell>
          <cell r="C1079">
            <v>0</v>
          </cell>
          <cell r="D1079">
            <v>0</v>
          </cell>
          <cell r="E1079">
            <v>650</v>
          </cell>
          <cell r="F1079">
            <v>-650</v>
          </cell>
          <cell r="H1079">
            <v>250</v>
          </cell>
          <cell r="I1079">
            <v>-250</v>
          </cell>
          <cell r="J1079">
            <v>1140</v>
          </cell>
          <cell r="K1079">
            <v>-1140</v>
          </cell>
        </row>
        <row r="1080">
          <cell r="A1080" t="str">
            <v>Irish potato: type</v>
          </cell>
          <cell r="C1080">
            <v>0</v>
          </cell>
          <cell r="D1080">
            <v>0</v>
          </cell>
          <cell r="E1080">
            <v>36</v>
          </cell>
          <cell r="F1080">
            <v>-36</v>
          </cell>
          <cell r="H1080">
            <v>772</v>
          </cell>
          <cell r="I1080">
            <v>-772</v>
          </cell>
          <cell r="J1080">
            <v>280</v>
          </cell>
          <cell r="K1080">
            <v>-280</v>
          </cell>
        </row>
        <row r="1081">
          <cell r="A1081" t="str">
            <v>Yam: type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400</v>
          </cell>
          <cell r="I1081">
            <v>0</v>
          </cell>
          <cell r="J1081">
            <v>500</v>
          </cell>
          <cell r="K1081">
            <v>0</v>
          </cell>
        </row>
        <row r="1082">
          <cell r="A1082" t="str">
            <v>Spinach (cash): kg produced</v>
          </cell>
          <cell r="C1082">
            <v>0</v>
          </cell>
          <cell r="D1082">
            <v>0</v>
          </cell>
          <cell r="E1082">
            <v>150</v>
          </cell>
          <cell r="F1082">
            <v>0</v>
          </cell>
          <cell r="H1082">
            <v>100</v>
          </cell>
          <cell r="I1082">
            <v>0</v>
          </cell>
          <cell r="J1082">
            <v>300</v>
          </cell>
          <cell r="K1082">
            <v>0</v>
          </cell>
        </row>
        <row r="1083">
          <cell r="A1083" t="str">
            <v>Tomatoes (cash):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500</v>
          </cell>
          <cell r="K1083">
            <v>0</v>
          </cell>
        </row>
        <row r="1084">
          <cell r="A1084" t="str">
            <v>Cabbage (cash): kg produced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300</v>
          </cell>
          <cell r="K1084">
            <v>0</v>
          </cell>
        </row>
        <row r="1085">
          <cell r="A1085" t="str">
            <v>Agricultural cash income -- see Data2</v>
          </cell>
          <cell r="C1085">
            <v>0</v>
          </cell>
          <cell r="D1085">
            <v>0</v>
          </cell>
          <cell r="E1085">
            <v>1109</v>
          </cell>
          <cell r="F1085">
            <v>0</v>
          </cell>
          <cell r="H1085">
            <v>752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Labour migration(formal employment): no. people per HH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11000</v>
          </cell>
          <cell r="K1086">
            <v>0</v>
          </cell>
        </row>
        <row r="1087">
          <cell r="A1087" t="str">
            <v>Formal Employment (conservancies, etc.)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23760</v>
          </cell>
          <cell r="K1087">
            <v>0</v>
          </cell>
        </row>
        <row r="1088">
          <cell r="A1088" t="str">
            <v>Self-employment -- see Data2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429</v>
          </cell>
          <cell r="I1088">
            <v>85.799999999999955</v>
          </cell>
          <cell r="J1088">
            <v>0</v>
          </cell>
          <cell r="K1088">
            <v>0</v>
          </cell>
        </row>
        <row r="1089">
          <cell r="A1089" t="str">
            <v>Small business -- see Data2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2160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Social development -- see Data2</v>
          </cell>
          <cell r="C1090">
            <v>22020</v>
          </cell>
          <cell r="D1090">
            <v>0</v>
          </cell>
          <cell r="E1090">
            <v>22020</v>
          </cell>
          <cell r="F1090">
            <v>0</v>
          </cell>
          <cell r="H1090">
            <v>22020</v>
          </cell>
          <cell r="I1090">
            <v>0</v>
          </cell>
          <cell r="J1090">
            <v>6162</v>
          </cell>
          <cell r="K1090">
            <v>0</v>
          </cell>
        </row>
        <row r="1091">
          <cell r="A1091" t="str">
            <v>Public works -- see Data2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371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Other income: e.g. Credit (cotton loans)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1600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1.4080012453300126E-2</v>
      </c>
      <c r="C6" s="215">
        <f>IF([1]Summ!D1044="",0,[1]Summ!D1044)</f>
        <v>0</v>
      </c>
      <c r="D6" s="24">
        <f t="shared" ref="D6:D28" si="0">(B6+C6)</f>
        <v>1.4080012453300126E-2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7.040006226650063E-3</v>
      </c>
      <c r="J6" s="24">
        <f t="shared" ref="J6:J13" si="3">IF(I$32&lt;=1+I$131,I6,B6*H6+J$33*(I6-B6*H6))</f>
        <v>7.040006226650063E-3</v>
      </c>
      <c r="K6" s="22">
        <f t="shared" ref="K6:K31" si="4">B6</f>
        <v>1.4080012453300126E-2</v>
      </c>
      <c r="L6" s="22">
        <f t="shared" ref="L6:L29" si="5">IF(K6="","",K6*H6)</f>
        <v>7.040006226650063E-3</v>
      </c>
      <c r="M6" s="177">
        <f t="shared" ref="M6:M31" si="6">J6</f>
        <v>7.040006226650063E-3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2.8160024906600252E-2</v>
      </c>
      <c r="Z6" s="156">
        <f>Poor!Z6</f>
        <v>0.17</v>
      </c>
      <c r="AA6" s="121">
        <f>$M6*Z6*4</f>
        <v>4.7872042341220436E-3</v>
      </c>
      <c r="AB6" s="156">
        <f>Poor!AB6</f>
        <v>0.17</v>
      </c>
      <c r="AC6" s="121">
        <f t="shared" ref="AC6:AC29" si="7">$M6*AB6*4</f>
        <v>4.7872042341220436E-3</v>
      </c>
      <c r="AD6" s="156">
        <f>Poor!AD6</f>
        <v>0.33</v>
      </c>
      <c r="AE6" s="121">
        <f t="shared" ref="AE6:AE29" si="8">$M6*AD6*4</f>
        <v>9.2928082191780833E-3</v>
      </c>
      <c r="AF6" s="122">
        <f>1-SUM(Z6,AB6,AD6)</f>
        <v>0.32999999999999996</v>
      </c>
      <c r="AG6" s="121">
        <f>$M6*AF6*4</f>
        <v>9.2928082191780816E-3</v>
      </c>
      <c r="AH6" s="123">
        <f>SUM(Z6,AB6,AD6,AF6)</f>
        <v>1</v>
      </c>
      <c r="AI6" s="183">
        <f>SUM(AA6,AC6,AE6,AG6)/4</f>
        <v>7.040006226650063E-3</v>
      </c>
      <c r="AJ6" s="120">
        <f>(AA6+AC6)/2</f>
        <v>4.7872042341220436E-3</v>
      </c>
      <c r="AK6" s="119">
        <f>(AE6+AG6)/2</f>
        <v>9.2928082191780816E-3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2.3466687422166875E-3</v>
      </c>
      <c r="C7" s="215">
        <f>IF([1]Summ!D1045="",0,[1]Summ!D1045)</f>
        <v>0</v>
      </c>
      <c r="D7" s="24">
        <f t="shared" si="0"/>
        <v>2.3466687422166875E-3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1.1733343711083438E-3</v>
      </c>
      <c r="J7" s="24">
        <f t="shared" si="3"/>
        <v>1.1733343711083438E-3</v>
      </c>
      <c r="K7" s="22">
        <f t="shared" si="4"/>
        <v>2.3466687422166875E-3</v>
      </c>
      <c r="L7" s="22">
        <f t="shared" si="5"/>
        <v>1.1733343711083438E-3</v>
      </c>
      <c r="M7" s="177">
        <f t="shared" si="6"/>
        <v>1.1733343711083438E-3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3956.4575360895724</v>
      </c>
      <c r="S7" s="222">
        <f>IF($B$81=0,0,(SUMIF($N$6:$N$28,$U7,L$6:L$28)+SUMIF($N$91:$N$118,$U7,L$91:L$118))*$I$83*Poor!$B$81/$B$81)</f>
        <v>4518.1301588856486</v>
      </c>
      <c r="T7" s="222">
        <f>IF($B$81=0,0,(SUMIF($N$6:$N$28,$U7,M$6:M$28)+SUMIF($N$91:$N$118,$U7,M$91:M$118))*$I$83*Poor!$B$81/$B$81)</f>
        <v>4692.0757291024256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4.693337484433375E-3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4.693337484433375E-3</v>
      </c>
      <c r="AH7" s="123">
        <f t="shared" ref="AH7:AH30" si="12">SUM(Z7,AB7,AD7,AF7)</f>
        <v>1</v>
      </c>
      <c r="AI7" s="183">
        <f t="shared" ref="AI7:AI30" si="13">SUM(AA7,AC7,AE7,AG7)/4</f>
        <v>1.1733343711083438E-3</v>
      </c>
      <c r="AJ7" s="120">
        <f t="shared" ref="AJ7:AJ31" si="14">(AA7+AC7)/2</f>
        <v>0</v>
      </c>
      <c r="AK7" s="119">
        <f t="shared" ref="AK7:AK31" si="15">(AE7+AG7)/2</f>
        <v>2.3466687422166875E-3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5.906425124533001E-3</v>
      </c>
      <c r="C8" s="215">
        <f>IF([1]Summ!D1046="",0,[1]Summ!D1046)</f>
        <v>0</v>
      </c>
      <c r="D8" s="24">
        <f t="shared" si="0"/>
        <v>5.906425124533001E-3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2.9532125622665005E-3</v>
      </c>
      <c r="J8" s="24">
        <f t="shared" si="3"/>
        <v>2.9532125622665005E-3</v>
      </c>
      <c r="K8" s="22">
        <f t="shared" si="4"/>
        <v>5.906425124533001E-3</v>
      </c>
      <c r="L8" s="22">
        <f t="shared" si="5"/>
        <v>2.9532125622665005E-3</v>
      </c>
      <c r="M8" s="224">
        <f t="shared" si="6"/>
        <v>2.9532125622665005E-3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1.1812850249066002E-2</v>
      </c>
      <c r="Z8" s="125">
        <f>IF($Y8=0,0,AA8/$Y8)</f>
        <v>0.70738346833134969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8.3562149800631563E-3</v>
      </c>
      <c r="AB8" s="125">
        <f>IF($Y8=0,0,AC8/$Y8)</f>
        <v>0.29261653166865031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3.4566352690028456E-3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2.9532125622665005E-3</v>
      </c>
      <c r="AJ8" s="120">
        <f t="shared" si="14"/>
        <v>5.906425124533001E-3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4.2500000000000003E-2</v>
      </c>
      <c r="C9" s="215">
        <f>IF([1]Summ!D1047="",0,[1]Summ!D1047)</f>
        <v>0</v>
      </c>
      <c r="D9" s="24">
        <f t="shared" si="0"/>
        <v>4.2500000000000003E-2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4.2500000000000003E-2</v>
      </c>
      <c r="J9" s="24">
        <f t="shared" si="3"/>
        <v>4.2500000000000003E-2</v>
      </c>
      <c r="K9" s="22">
        <f t="shared" si="4"/>
        <v>4.2500000000000003E-2</v>
      </c>
      <c r="L9" s="22">
        <f t="shared" si="5"/>
        <v>4.2500000000000003E-2</v>
      </c>
      <c r="M9" s="224">
        <f t="shared" si="6"/>
        <v>4.2500000000000003E-2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279.81896093684895</v>
      </c>
      <c r="S9" s="222">
        <f>IF($B$81=0,0,(SUMIF($N$6:$N$28,$U9,L$6:L$28)+SUMIF($N$91:$N$118,$U9,L$91:L$118))*$I$83*Poor!$B$81/$B$81)</f>
        <v>155.8311888697452</v>
      </c>
      <c r="T9" s="222">
        <f>IF($B$81=0,0,(SUMIF($N$6:$N$28,$U9,M$6:M$28)+SUMIF($N$91:$N$118,$U9,M$91:M$118))*$I$83*Poor!$B$81/$B$81)</f>
        <v>155.8311888697452</v>
      </c>
      <c r="U9" s="223">
        <v>3</v>
      </c>
      <c r="V9" s="56"/>
      <c r="W9" s="115"/>
      <c r="X9" s="118">
        <f>Poor!X9</f>
        <v>1</v>
      </c>
      <c r="Y9" s="183">
        <f t="shared" si="9"/>
        <v>0.17</v>
      </c>
      <c r="Z9" s="125">
        <f>IF($Y9=0,0,AA9/$Y9)</f>
        <v>0.70738346833134957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0.12025518961632944</v>
      </c>
      <c r="AB9" s="125">
        <f>IF($Y9=0,0,AC9/$Y9)</f>
        <v>0.29261653166865037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4.9744810383670568E-2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4.2500000000000003E-2</v>
      </c>
      <c r="AJ9" s="120">
        <f t="shared" si="14"/>
        <v>8.5000000000000006E-2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8.8718578767123274E-2</v>
      </c>
      <c r="C10" s="215">
        <f>IF([1]Summ!D1048="",0,[1]Summ!D1048)</f>
        <v>0</v>
      </c>
      <c r="D10" s="24">
        <f t="shared" si="0"/>
        <v>8.8718578767123274E-2</v>
      </c>
      <c r="E10" s="75">
        <f>Poor!E10</f>
        <v>1.0900000000000001</v>
      </c>
      <c r="H10" s="24">
        <f t="shared" si="1"/>
        <v>1.0900000000000001</v>
      </c>
      <c r="I10" s="22">
        <f t="shared" si="2"/>
        <v>9.670325085616438E-2</v>
      </c>
      <c r="J10" s="24">
        <f t="shared" si="3"/>
        <v>9.670325085616438E-2</v>
      </c>
      <c r="K10" s="22">
        <f t="shared" si="4"/>
        <v>8.8718578767123274E-2</v>
      </c>
      <c r="L10" s="22">
        <f t="shared" si="5"/>
        <v>9.670325085616438E-2</v>
      </c>
      <c r="M10" s="224">
        <f t="shared" si="6"/>
        <v>9.670325085616438E-2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0.38681300342465752</v>
      </c>
      <c r="Z10" s="125">
        <f>IF($Y10=0,0,AA10/$Y10)</f>
        <v>0.70738346833134957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0.27362512395820043</v>
      </c>
      <c r="AB10" s="125">
        <f>IF($Y10=0,0,AC10/$Y10)</f>
        <v>0.29261653166865043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0.11318787946645709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9.670325085616438E-2</v>
      </c>
      <c r="AJ10" s="120">
        <f t="shared" si="14"/>
        <v>0.19340650171232876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f>IF([1]Summ!C1050="",0,[1]Summ!C1050)</f>
        <v>4.4188206724782075E-2</v>
      </c>
      <c r="C12" s="215">
        <f>IF([1]Summ!D1050="",0,[1]Summ!D1050)</f>
        <v>0</v>
      </c>
      <c r="D12" s="24">
        <f t="shared" si="0"/>
        <v>4.4188206724782075E-2</v>
      </c>
      <c r="E12" s="75">
        <f>Poor!E12</f>
        <v>1</v>
      </c>
      <c r="H12" s="24">
        <f t="shared" si="1"/>
        <v>1</v>
      </c>
      <c r="I12" s="22">
        <f t="shared" si="2"/>
        <v>4.4188206724782075E-2</v>
      </c>
      <c r="J12" s="24">
        <f t="shared" si="3"/>
        <v>4.4188206724782075E-2</v>
      </c>
      <c r="K12" s="22">
        <f t="shared" si="4"/>
        <v>4.4188206724782075E-2</v>
      </c>
      <c r="L12" s="22">
        <f t="shared" si="5"/>
        <v>4.4188206724782075E-2</v>
      </c>
      <c r="M12" s="224">
        <f t="shared" si="6"/>
        <v>4.4188206724782075E-2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0.1767528268991283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0.11842439402241597</v>
      </c>
      <c r="AF12" s="122">
        <f>1-SUM(Z12,AB12,AD12)</f>
        <v>0.32999999999999996</v>
      </c>
      <c r="AG12" s="121">
        <f>$M12*AF12*4</f>
        <v>5.8328432876712334E-2</v>
      </c>
      <c r="AH12" s="123">
        <f t="shared" si="12"/>
        <v>1</v>
      </c>
      <c r="AI12" s="183">
        <f t="shared" si="13"/>
        <v>4.4188206724782075E-2</v>
      </c>
      <c r="AJ12" s="120">
        <f t="shared" si="14"/>
        <v>0</v>
      </c>
      <c r="AK12" s="119">
        <f t="shared" si="15"/>
        <v>8.8376413449564151E-2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215">
        <f>IF([1]Summ!C1051="",0,[1]Summ!C1051)</f>
        <v>4.9858374844333753E-2</v>
      </c>
      <c r="C13" s="215">
        <f>IF([1]Summ!D1051="",0,[1]Summ!D1051)</f>
        <v>1.2464593711083438E-2</v>
      </c>
      <c r="D13" s="24">
        <f t="shared" si="0"/>
        <v>6.2322968555417191E-2</v>
      </c>
      <c r="E13" s="75">
        <f>Poor!E13</f>
        <v>1</v>
      </c>
      <c r="H13" s="24">
        <f t="shared" si="1"/>
        <v>1</v>
      </c>
      <c r="I13" s="22">
        <f t="shared" si="2"/>
        <v>6.2322968555417191E-2</v>
      </c>
      <c r="J13" s="24">
        <f t="shared" si="3"/>
        <v>6.2322968555417191E-2</v>
      </c>
      <c r="K13" s="22">
        <f t="shared" si="4"/>
        <v>4.9858374844333753E-2</v>
      </c>
      <c r="L13" s="22">
        <f t="shared" si="5"/>
        <v>4.9858374844333753E-2</v>
      </c>
      <c r="M13" s="225">
        <f t="shared" si="6"/>
        <v>6.2322968555417191E-2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0.24929187422166876</v>
      </c>
      <c r="Z13" s="156">
        <f>Poor!Z13</f>
        <v>1</v>
      </c>
      <c r="AA13" s="121">
        <f>$M13*Z13*4</f>
        <v>0.24929187422166876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6.2322968555417191E-2</v>
      </c>
      <c r="AJ13" s="120">
        <f t="shared" si="14"/>
        <v>0.12464593711083438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215">
        <f>IF([1]Summ!C1054="",0,[1]Summ!C1054)</f>
        <v>2.5988480697384807E-2</v>
      </c>
      <c r="C16" s="215">
        <f>IF([1]Summ!D1054="",0,[1]Summ!D1054)</f>
        <v>0</v>
      </c>
      <c r="D16" s="24">
        <f t="shared" ref="D16:D25" si="18">(B16+C16)</f>
        <v>2.5988480697384807E-2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2.5988480697384807E-2</v>
      </c>
      <c r="J16" s="24">
        <f t="shared" si="17"/>
        <v>2.5988480697384807E-2</v>
      </c>
      <c r="K16" s="22">
        <f t="shared" ref="K16:K25" si="21">B16</f>
        <v>2.5988480697384807E-2</v>
      </c>
      <c r="L16" s="22">
        <f t="shared" ref="L16:L25" si="22">IF(K16="","",K16*H16)</f>
        <v>2.5988480697384807E-2</v>
      </c>
      <c r="M16" s="226">
        <f t="shared" ref="M16:M25" si="23">J16</f>
        <v>2.5988480697384807E-2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5">
        <f>IF([1]Summ!C1055="",0,[1]Summ!C1055)</f>
        <v>3.3018953144458282E-2</v>
      </c>
      <c r="C17" s="215">
        <f>IF([1]Summ!D1055="",0,[1]Summ!D1055)</f>
        <v>0</v>
      </c>
      <c r="D17" s="24">
        <f t="shared" si="18"/>
        <v>3.3018953144458282E-2</v>
      </c>
      <c r="E17" s="75">
        <f>Poor!E17</f>
        <v>1</v>
      </c>
      <c r="F17" s="22"/>
      <c r="H17" s="24">
        <f t="shared" si="19"/>
        <v>1</v>
      </c>
      <c r="I17" s="22">
        <f t="shared" si="20"/>
        <v>3.3018953144458282E-2</v>
      </c>
      <c r="J17" s="24">
        <f t="shared" si="17"/>
        <v>3.3018953144458282E-2</v>
      </c>
      <c r="K17" s="22">
        <f t="shared" si="21"/>
        <v>3.3018953144458282E-2</v>
      </c>
      <c r="L17" s="22">
        <f t="shared" si="22"/>
        <v>3.3018953144458282E-2</v>
      </c>
      <c r="M17" s="226">
        <f t="shared" si="23"/>
        <v>3.3018953144458282E-2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215">
        <f>IF([1]Summ!C1056="",0,[1]Summ!C1056)</f>
        <v>6.1099003735990039E-3</v>
      </c>
      <c r="C18" s="215">
        <f>IF([1]Summ!D1056="",0,[1]Summ!D1056)</f>
        <v>0</v>
      </c>
      <c r="D18" s="24">
        <f t="shared" si="18"/>
        <v>6.1099003735990039E-3</v>
      </c>
      <c r="E18" s="75">
        <f>Poor!E18</f>
        <v>1</v>
      </c>
      <c r="F18" s="22"/>
      <c r="H18" s="24">
        <f t="shared" si="19"/>
        <v>1</v>
      </c>
      <c r="I18" s="22">
        <f t="shared" si="20"/>
        <v>6.1099003735990039E-3</v>
      </c>
      <c r="J18" s="24">
        <f t="shared" si="17"/>
        <v>6.1099003735990039E-3</v>
      </c>
      <c r="K18" s="22">
        <f t="shared" si="21"/>
        <v>6.1099003735990039E-3</v>
      </c>
      <c r="L18" s="22">
        <f t="shared" si="22"/>
        <v>6.1099003735990039E-3</v>
      </c>
      <c r="M18" s="226">
        <f t="shared" si="23"/>
        <v>6.1099003735990039E-3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215">
        <f>IF([1]Summ!C1057="",0,[1]Summ!C1057)</f>
        <v>2.5393057285180574E-2</v>
      </c>
      <c r="C19" s="215">
        <f>IF([1]Summ!D1057="",0,[1]Summ!D1057)</f>
        <v>0</v>
      </c>
      <c r="D19" s="24">
        <f t="shared" si="18"/>
        <v>2.5393057285180574E-2</v>
      </c>
      <c r="E19" s="75">
        <f>Poor!E19</f>
        <v>1</v>
      </c>
      <c r="F19" s="22"/>
      <c r="H19" s="24">
        <f t="shared" si="19"/>
        <v>1</v>
      </c>
      <c r="I19" s="22">
        <f t="shared" si="20"/>
        <v>2.5393057285180574E-2</v>
      </c>
      <c r="J19" s="24">
        <f t="shared" si="17"/>
        <v>2.5393057285180574E-2</v>
      </c>
      <c r="K19" s="22">
        <f t="shared" si="21"/>
        <v>2.5393057285180574E-2</v>
      </c>
      <c r="L19" s="22">
        <f t="shared" si="22"/>
        <v>2.5393057285180574E-2</v>
      </c>
      <c r="M19" s="226">
        <f t="shared" si="23"/>
        <v>2.5393057285180574E-2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25983.600000000002</v>
      </c>
      <c r="T20" s="222">
        <f>IF($B$81=0,0,(SUMIF($N$6:$N$28,$U20,M$6:M$28)+SUMIF($N$91:$N$118,$U20,M$91:M$118))*$I$83*Poor!$B$81/$B$81)</f>
        <v>25983.600000000002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38348.619717625661</v>
      </c>
      <c r="S23" s="179">
        <f>SUM(S7:S22)</f>
        <v>32318.891548977634</v>
      </c>
      <c r="T23" s="179">
        <f>SUM(T7:T22)</f>
        <v>32492.83711919441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3.314115504358655E-2</v>
      </c>
      <c r="C27" s="215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0.18129873754669984</v>
      </c>
      <c r="C29" s="215">
        <f>IF([1]Summ!D1067="",0,[1]Summ!D1067)</f>
        <v>4.3338036395297215E-2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0.18129873754669984</v>
      </c>
      <c r="L29" s="22">
        <f t="shared" si="5"/>
        <v>0.18129873754669984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0.57517989881693654</v>
      </c>
      <c r="C30" s="103"/>
      <c r="D30" s="24">
        <f>(D119-B124)</f>
        <v>0.9980124606292875</v>
      </c>
      <c r="E30" s="75">
        <f>Poor!E30</f>
        <v>1</v>
      </c>
      <c r="H30" s="96">
        <f>(E30*F$7/F$9)</f>
        <v>1</v>
      </c>
      <c r="I30" s="29">
        <f>IF(E30&gt;=1,I119-I124,MIN(I119-I124,B30*H30))</f>
        <v>0.49965837941520874</v>
      </c>
      <c r="J30" s="231">
        <f>IF(I$32&lt;=1,I30,1-SUM(J6:J29))</f>
        <v>0.30892423621337262</v>
      </c>
      <c r="K30" s="22">
        <f t="shared" si="4"/>
        <v>0.57517989881693654</v>
      </c>
      <c r="L30" s="22">
        <f>IF(L124=L119,0,IF(K30="",0,(L119-L124)/(B119-B124)*K30))</f>
        <v>0.2879657994789574</v>
      </c>
      <c r="M30" s="175">
        <f t="shared" si="6"/>
        <v>0.30892423621337262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1.2356969448534905</v>
      </c>
      <c r="Z30" s="122">
        <f>IF($Y30=0,0,AA30/($Y$30))</f>
        <v>-1.1024343305713096</v>
      </c>
      <c r="AA30" s="187">
        <f>IF(AA79*4/$I$83+SUM(AA6:AA29)&lt;1,AA79*4/$I$83,1-SUM(AA6:AA29))</f>
        <v>-1.3622747341885701</v>
      </c>
      <c r="AB30" s="122">
        <f>IF($Y30=0,0,AC30/($Y$30))</f>
        <v>-1.1024343305713096</v>
      </c>
      <c r="AC30" s="187">
        <f>IF(AC79*4/$I$83+SUM(AC6:AC29)&lt;1,AC79*4/$I$83,1-SUM(AC6:AC29))</f>
        <v>-1.3622747341885701</v>
      </c>
      <c r="AD30" s="122">
        <f>IF($Y30=0,0,AE30/($Y$30))</f>
        <v>-1.1024343305713096</v>
      </c>
      <c r="AE30" s="187">
        <f>IF(AE79*4/$I$83+SUM(AE6:AE29)&lt;1,AE79*4/$I$83,1-SUM(AE6:AE29))</f>
        <v>-1.3622747341885701</v>
      </c>
      <c r="AF30" s="122">
        <f>IF($Y30=0,0,AG30/($Y$30))</f>
        <v>-1.1024343305713096</v>
      </c>
      <c r="AG30" s="187">
        <f>IF(AG79*4/$I$83+SUM(AG6:AG29)&lt;1,AG79*4/$I$83,1-SUM(AG6:AG29))</f>
        <v>-1.3622747341885701</v>
      </c>
      <c r="AH30" s="123">
        <f t="shared" si="12"/>
        <v>-4.4097373222852383</v>
      </c>
      <c r="AI30" s="183">
        <f t="shared" si="13"/>
        <v>-1.3622747341885701</v>
      </c>
      <c r="AJ30" s="120">
        <f t="shared" si="14"/>
        <v>-1.3622747341885701</v>
      </c>
      <c r="AK30" s="119">
        <f t="shared" si="15"/>
        <v>-1.3622747341885701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4.3619911797209365E-2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7977.3159711895714</v>
      </c>
      <c r="S31" s="234">
        <f t="shared" si="24"/>
        <v>14007.044139837599</v>
      </c>
      <c r="T31" s="234">
        <f>IF(T25&gt;T$23,T25-T$23,0)</f>
        <v>13833.098569620823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1.3622747341885701</v>
      </c>
      <c r="AB31" s="131"/>
      <c r="AC31" s="133">
        <f>1-AC32+IF($Y32&lt;0,$Y32/4,0)</f>
        <v>1.8474138118457015</v>
      </c>
      <c r="AD31" s="134"/>
      <c r="AE31" s="133">
        <f>1-AE32+IF($Y32&lt;0,$Y32/4,0)</f>
        <v>1.8908731389573599</v>
      </c>
      <c r="AF31" s="134"/>
      <c r="AG31" s="133">
        <f>1-AG32+IF($Y32&lt;0,$Y32/4,0)</f>
        <v>1.9462757626186302</v>
      </c>
      <c r="AH31" s="123"/>
      <c r="AI31" s="182">
        <f>SUM(AA31,AC31,AE31,AG31)/4</f>
        <v>1.7617093619025657</v>
      </c>
      <c r="AJ31" s="135">
        <f t="shared" si="14"/>
        <v>1.6048442730171359</v>
      </c>
      <c r="AK31" s="136">
        <f t="shared" si="15"/>
        <v>1.9185744507879949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1.2467760686117537</v>
      </c>
      <c r="C32" s="77">
        <f>SUM(C6:C31)</f>
        <v>2.2661475062794104E-2</v>
      </c>
      <c r="D32" s="24">
        <f>SUM(D6:D30)</f>
        <v>1.6922701054868987</v>
      </c>
      <c r="E32" s="2"/>
      <c r="F32" s="2"/>
      <c r="H32" s="17"/>
      <c r="I32" s="22">
        <f>SUM(I6:I30)</f>
        <v>1.1907341432018361</v>
      </c>
      <c r="J32" s="17"/>
      <c r="L32" s="22">
        <f>SUM(L6:L30)</f>
        <v>0.95638008820279063</v>
      </c>
      <c r="M32" s="23"/>
      <c r="N32" s="56"/>
      <c r="O32" s="2"/>
      <c r="P32" s="22"/>
      <c r="Q32" s="234" t="s">
        <v>143</v>
      </c>
      <c r="R32" s="234">
        <f t="shared" si="24"/>
        <v>40715.235971189562</v>
      </c>
      <c r="S32" s="234">
        <f t="shared" si="24"/>
        <v>46744.96413983759</v>
      </c>
      <c r="T32" s="234">
        <f t="shared" si="24"/>
        <v>46571.018569620814</v>
      </c>
      <c r="V32" s="56"/>
      <c r="W32" s="110"/>
      <c r="X32" s="118"/>
      <c r="Y32" s="115">
        <f>SUM(Y6:Y31)</f>
        <v>3.6379584339975093</v>
      </c>
      <c r="Z32" s="137"/>
      <c r="AA32" s="138">
        <f>SUM(AA6:AA30)</f>
        <v>-0.36227473418857015</v>
      </c>
      <c r="AB32" s="137"/>
      <c r="AC32" s="139">
        <f>SUM(AC6:AC30)</f>
        <v>-0.84741381184570153</v>
      </c>
      <c r="AD32" s="137"/>
      <c r="AE32" s="139">
        <f>SUM(AE6:AE30)</f>
        <v>-0.89087313895735998</v>
      </c>
      <c r="AF32" s="137"/>
      <c r="AG32" s="139">
        <f>SUM(AG6:AG30)</f>
        <v>-0.94627576261863022</v>
      </c>
      <c r="AH32" s="127"/>
      <c r="AI32" s="110"/>
      <c r="AJ32" s="140">
        <f>SUM(AJ6:AJ31)</f>
        <v>1</v>
      </c>
      <c r="AK32" s="141">
        <f>SUM(AK6:AK31)</f>
        <v>0.99999999999999978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1.1963863077015033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13833.098569620823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0.70738346833134969</v>
      </c>
      <c r="AA39" s="147">
        <f t="shared" ref="AA39:AA64" si="40">$J39*Z39</f>
        <v>0</v>
      </c>
      <c r="AB39" s="122">
        <f>AB8</f>
        <v>0.29261653166865031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0.70738346833134957</v>
      </c>
      <c r="AA40" s="147">
        <f t="shared" si="40"/>
        <v>0</v>
      </c>
      <c r="AB40" s="122">
        <f>AB9</f>
        <v>0.29261653166865037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Water melon: no. local meas (Bhece)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Sweet poatato: no. local meas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Groundnuts (dry): no. local meas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Irish potato: type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Yam: type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Spinach (cash): kg produced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Tomatoes (cash): kg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Cabbage (cash): kg produced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Agricultural cash income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1.1100000000000001</v>
      </c>
      <c r="G50" s="75">
        <f>Poor!G50</f>
        <v>1.65</v>
      </c>
      <c r="H50" s="24">
        <f t="shared" si="30"/>
        <v>1.1100000000000001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Labour migration(formal employment): no. people per HH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Formal Employment (conservancies, etc.)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Self-employment -- see Data2</v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0.8</v>
      </c>
      <c r="F53" s="75">
        <f>Poor!F53</f>
        <v>1</v>
      </c>
      <c r="G53" s="75">
        <f>Poor!G53</f>
        <v>1.65</v>
      </c>
      <c r="H53" s="24">
        <f t="shared" si="30"/>
        <v>0.8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Small business -- see Data2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0.8</v>
      </c>
      <c r="F54" s="75">
        <f>Poor!F54</f>
        <v>1.18</v>
      </c>
      <c r="G54" s="75">
        <f>Poor!G54</f>
        <v>1.65</v>
      </c>
      <c r="H54" s="24">
        <f t="shared" si="30"/>
        <v>0.94399999999999995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Social development -- see Data2</v>
      </c>
      <c r="B55" s="216">
        <f>IF([1]Summ!C1090="",0,[1]Summ!C1090)</f>
        <v>22020</v>
      </c>
      <c r="C55" s="216">
        <f>IF([1]Summ!D1090="",0,[1]Summ!D1090)</f>
        <v>0</v>
      </c>
      <c r="D55" s="38">
        <f t="shared" si="25"/>
        <v>22020</v>
      </c>
      <c r="E55" s="75">
        <f>Poor!E55</f>
        <v>1</v>
      </c>
      <c r="F55" s="75">
        <f>Poor!F55</f>
        <v>1.18</v>
      </c>
      <c r="G55" s="75">
        <f>Poor!G55</f>
        <v>1.65</v>
      </c>
      <c r="H55" s="24">
        <f t="shared" si="30"/>
        <v>1.18</v>
      </c>
      <c r="I55" s="39">
        <f t="shared" si="31"/>
        <v>25983.599999999999</v>
      </c>
      <c r="J55" s="38">
        <f t="shared" si="32"/>
        <v>25983.600000000002</v>
      </c>
      <c r="K55" s="40">
        <f t="shared" si="33"/>
        <v>1</v>
      </c>
      <c r="L55" s="22">
        <f t="shared" si="34"/>
        <v>1.18</v>
      </c>
      <c r="M55" s="24">
        <f t="shared" si="35"/>
        <v>1.1800000000000002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Public works -- see Data2</v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Other income: e.g. Credit (cotton loans)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22020</v>
      </c>
      <c r="C65" s="39">
        <f>SUM(C37:C64)</f>
        <v>0</v>
      </c>
      <c r="D65" s="42">
        <f>SUM(D37:D64)</f>
        <v>22020</v>
      </c>
      <c r="E65" s="32"/>
      <c r="F65" s="32"/>
      <c r="G65" s="32"/>
      <c r="H65" s="31"/>
      <c r="I65" s="39">
        <f>SUM(I37:I64)</f>
        <v>25983.599999999999</v>
      </c>
      <c r="J65" s="39">
        <f>SUM(J37:J64)</f>
        <v>25983.600000000002</v>
      </c>
      <c r="K65" s="40">
        <f>SUM(K37:K64)</f>
        <v>1</v>
      </c>
      <c r="L65" s="22">
        <f>SUM(L37:L64)</f>
        <v>1.18</v>
      </c>
      <c r="M65" s="24">
        <f>SUM(M37:M64)</f>
        <v>1.1800000000000002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0</v>
      </c>
      <c r="AB65" s="137"/>
      <c r="AC65" s="153">
        <f>SUM(AC37:AC64)</f>
        <v>0</v>
      </c>
      <c r="AD65" s="137"/>
      <c r="AE65" s="153">
        <f>SUM(AE37:AE64)</f>
        <v>0</v>
      </c>
      <c r="AF65" s="137"/>
      <c r="AG65" s="153">
        <f>SUM(AG37:AG64)</f>
        <v>0</v>
      </c>
      <c r="AH65" s="137"/>
      <c r="AI65" s="153">
        <f>SUM(AI37:AI64)</f>
        <v>0</v>
      </c>
      <c r="AJ65" s="153">
        <f>SUM(AJ37:AJ64)</f>
        <v>0</v>
      </c>
      <c r="AK65" s="153">
        <f>SUM(AK37:AK64)</f>
        <v>0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13579.12894961681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19010.780529463536</v>
      </c>
      <c r="J70" s="51">
        <f t="shared" ref="J70:J77" si="44">J124*I$83</f>
        <v>19010.780529463536</v>
      </c>
      <c r="K70" s="40">
        <f>B70/B$76</f>
        <v>0.61667252268922845</v>
      </c>
      <c r="L70" s="22">
        <f t="shared" ref="L70:L74" si="45">(L124*G$37*F$9/F$7)/B$130</f>
        <v>0.86334153176491979</v>
      </c>
      <c r="M70" s="24">
        <f>J70/B$76</f>
        <v>0.8633415317649199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4752.6951323658841</v>
      </c>
      <c r="AB70" s="156">
        <f>Poor!AB70</f>
        <v>0.25</v>
      </c>
      <c r="AC70" s="147">
        <f>$J70*AB70</f>
        <v>4752.6951323658841</v>
      </c>
      <c r="AD70" s="156">
        <f>Poor!AD70</f>
        <v>0.25</v>
      </c>
      <c r="AE70" s="147">
        <f>$J70*AD70</f>
        <v>4752.6951323658841</v>
      </c>
      <c r="AF70" s="156">
        <f>Poor!AF70</f>
        <v>0.25</v>
      </c>
      <c r="AG70" s="147">
        <f>$J70*AF70</f>
        <v>4752.6951323658841</v>
      </c>
      <c r="AH70" s="155">
        <f>SUM(Z70,AB70,AD70,AF70)</f>
        <v>1</v>
      </c>
      <c r="AI70" s="147">
        <f>SUM(AA70,AC70,AE70,AG70)</f>
        <v>19010.780529463536</v>
      </c>
      <c r="AJ70" s="148">
        <f>(AA70+AC70)</f>
        <v>9505.3902647317682</v>
      </c>
      <c r="AK70" s="147">
        <f>(AE70+AG70)</f>
        <v>9505.3902647317682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6972.8194705364685</v>
      </c>
      <c r="J71" s="51">
        <f t="shared" si="44"/>
        <v>6972.8194705364685</v>
      </c>
      <c r="K71" s="40">
        <f t="shared" ref="K71:K72" si="47">B71/B$76</f>
        <v>0.63481683318195581</v>
      </c>
      <c r="L71" s="22">
        <f t="shared" si="45"/>
        <v>0.31665846823508031</v>
      </c>
      <c r="M71" s="24">
        <f t="shared" ref="M71:M72" si="48">J71/B$76</f>
        <v>0.31665846823508031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1.2599455040871934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2800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0.12715712988192551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297.36</v>
      </c>
      <c r="AB73" s="156">
        <f>Poor!AB73</f>
        <v>0.09</v>
      </c>
      <c r="AC73" s="147">
        <f>$H$73*$B$73*AB73</f>
        <v>297.36</v>
      </c>
      <c r="AD73" s="156">
        <f>Poor!AD73</f>
        <v>0.23</v>
      </c>
      <c r="AE73" s="147">
        <f>$H$73*$B$73*AD73</f>
        <v>759.92000000000007</v>
      </c>
      <c r="AF73" s="156">
        <f>Poor!AF73</f>
        <v>0.59</v>
      </c>
      <c r="AG73" s="147">
        <f>$H$73*$B$73*AF73</f>
        <v>1949.36</v>
      </c>
      <c r="AH73" s="155">
        <f>SUM(Z73,AB73,AD73,AF73)</f>
        <v>1</v>
      </c>
      <c r="AI73" s="147">
        <f>SUM(AA73,AC73,AE73,AG73)</f>
        <v>3304</v>
      </c>
      <c r="AJ73" s="148">
        <f>(AA73+AC73)</f>
        <v>594.72</v>
      </c>
      <c r="AK73" s="147">
        <f>(AE73+AG73)</f>
        <v>2709.2799999999997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4864.6881158426877</v>
      </c>
      <c r="C74" s="39"/>
      <c r="D74" s="38"/>
      <c r="E74" s="32"/>
      <c r="F74" s="32"/>
      <c r="G74" s="32"/>
      <c r="H74" s="31"/>
      <c r="I74" s="39">
        <f>I128*I$83</f>
        <v>6972.8194705364685</v>
      </c>
      <c r="J74" s="51">
        <f t="shared" si="44"/>
        <v>4311.0913734906244</v>
      </c>
      <c r="K74" s="40">
        <f>B74/B$76</f>
        <v>0.22092134949331008</v>
      </c>
      <c r="L74" s="22">
        <f t="shared" si="45"/>
        <v>0.18249830829179797</v>
      </c>
      <c r="M74" s="24">
        <f>J74/B$76</f>
        <v>0.19578071632564142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-4752.6951323658841</v>
      </c>
      <c r="AB74" s="156"/>
      <c r="AC74" s="147">
        <f>AC30*$I$83/4</f>
        <v>-4752.6951323658841</v>
      </c>
      <c r="AD74" s="156"/>
      <c r="AE74" s="147">
        <f>AE30*$I$83/4</f>
        <v>-4752.6951323658841</v>
      </c>
      <c r="AF74" s="156"/>
      <c r="AG74" s="147">
        <f>AG30*$I$83/4</f>
        <v>-4752.6951323658841</v>
      </c>
      <c r="AH74" s="155"/>
      <c r="AI74" s="147">
        <f>SUM(AA74,AC74,AE74,AG74)</f>
        <v>-19010.780529463536</v>
      </c>
      <c r="AJ74" s="148">
        <f>(AA74+AC74)</f>
        <v>-9505.3902647317682</v>
      </c>
      <c r="AK74" s="147">
        <f>(AE74+AG74)</f>
        <v>-9505.3902647317682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22020</v>
      </c>
      <c r="C76" s="39"/>
      <c r="D76" s="38"/>
      <c r="E76" s="32"/>
      <c r="F76" s="32"/>
      <c r="G76" s="32"/>
      <c r="H76" s="31"/>
      <c r="I76" s="39">
        <f>I130*I$83</f>
        <v>25983.600000000002</v>
      </c>
      <c r="J76" s="51">
        <f t="shared" si="44"/>
        <v>25983.600000000002</v>
      </c>
      <c r="K76" s="40">
        <f>SUM(K70:K75)</f>
        <v>2.8595133393336134</v>
      </c>
      <c r="L76" s="22">
        <f>SUM(L70:L75)</f>
        <v>1.3624983082917981</v>
      </c>
      <c r="M76" s="24">
        <f>SUM(M70:M75)</f>
        <v>1.3757807163256417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0</v>
      </c>
      <c r="AB76" s="137"/>
      <c r="AC76" s="153">
        <f>AC65</f>
        <v>0</v>
      </c>
      <c r="AD76" s="137"/>
      <c r="AE76" s="153">
        <f>AE65</f>
        <v>0</v>
      </c>
      <c r="AF76" s="137"/>
      <c r="AG76" s="153">
        <f>AG65</f>
        <v>0</v>
      </c>
      <c r="AH76" s="137"/>
      <c r="AI76" s="153">
        <f>SUM(AA76,AC76,AE76,AG76)</f>
        <v>0</v>
      </c>
      <c r="AJ76" s="154">
        <f>SUM(AA76,AC76)</f>
        <v>0</v>
      </c>
      <c r="AK76" s="154">
        <f>SUM(AE76,AG76)</f>
        <v>0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16494.826666666664</v>
      </c>
      <c r="J77" s="100">
        <f t="shared" si="44"/>
        <v>13833.098569620821</v>
      </c>
      <c r="K77" s="40"/>
      <c r="L77" s="22">
        <f>-(L131*G$37*F$9/F$7)/B$130</f>
        <v>-0.74908386315470787</v>
      </c>
      <c r="M77" s="24">
        <f>-J77/B$76</f>
        <v>-0.62820611124526893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4752.6951323658841</v>
      </c>
      <c r="AB77" s="112"/>
      <c r="AC77" s="111">
        <f>AC31*$I$83/4</f>
        <v>6445.2451555261596</v>
      </c>
      <c r="AD77" s="112"/>
      <c r="AE77" s="111">
        <f>AE31*$I$83/4</f>
        <v>6596.8657701024877</v>
      </c>
      <c r="AF77" s="112"/>
      <c r="AG77" s="111">
        <f>AG31*$I$83/4</f>
        <v>6790.1540791248663</v>
      </c>
      <c r="AH77" s="110"/>
      <c r="AI77" s="154">
        <f>SUM(AA77,AC77,AE77,AG77)</f>
        <v>24584.960137119397</v>
      </c>
      <c r="AJ77" s="153">
        <f>SUM(AA77,AC77)</f>
        <v>11197.940287892045</v>
      </c>
      <c r="AK77" s="160">
        <f>SUM(AE77,AG77)</f>
        <v>13387.019849227354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-4752.6951323658841</v>
      </c>
      <c r="AB79" s="112"/>
      <c r="AC79" s="112">
        <f>AA79-AA74+AC65-AC70</f>
        <v>-4752.6951323658841</v>
      </c>
      <c r="AD79" s="112"/>
      <c r="AE79" s="112">
        <f>AC79-AC74+AE65-AE70</f>
        <v>-4752.6951323658841</v>
      </c>
      <c r="AF79" s="112"/>
      <c r="AG79" s="112">
        <f>AE79-AE74+AG65-AG70</f>
        <v>-4752.6951323658841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3488.7934225667004</v>
      </c>
      <c r="AB83" s="112"/>
      <c r="AC83" s="165">
        <f>$I$83*AB82/4</f>
        <v>3488.7934225667004</v>
      </c>
      <c r="AD83" s="112"/>
      <c r="AE83" s="165">
        <f>$I$83*AD82/4</f>
        <v>3488.7934225667004</v>
      </c>
      <c r="AF83" s="112"/>
      <c r="AG83" s="165">
        <f>$I$83*AF82/4</f>
        <v>3488.7934225667004</v>
      </c>
      <c r="AH83" s="165">
        <f>SUM(AA83,AC83,AE83,AG83)</f>
        <v>13955.173690266802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0.7151515151515152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0.84848484848484851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Water melon: no. local meas (Bhece)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Sweet poatato: no. local meas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Groundnuts (dry): no. local meas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Irish potato: type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Yam: type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Spinach (cash):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Tomatoes (cash):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Cabbage (cash):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0.84848484848484851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Agricultural cash income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0.67272727272727284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Labour migration(formal employment): no. people per HH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0.7151515151515152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Formal Employment (conservancies, etc.)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0.7151515151515152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Self-employment -- see Data2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0.48484848484848486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Small business -- see Data2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0.57212121212121214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Social development -- see Data2</v>
      </c>
      <c r="B109" s="75">
        <f t="shared" si="51"/>
        <v>2.6035505402086736</v>
      </c>
      <c r="C109" s="75">
        <f t="shared" si="51"/>
        <v>0</v>
      </c>
      <c r="D109" s="24">
        <f t="shared" si="59"/>
        <v>2.6035505402086736</v>
      </c>
      <c r="H109" s="24">
        <f t="shared" si="60"/>
        <v>0.7151515151515152</v>
      </c>
      <c r="I109" s="22">
        <f t="shared" si="61"/>
        <v>1.8619331136037789</v>
      </c>
      <c r="J109" s="24">
        <f t="shared" si="62"/>
        <v>1.8619331136037789</v>
      </c>
      <c r="K109" s="22">
        <f t="shared" si="63"/>
        <v>2.6035505402086736</v>
      </c>
      <c r="L109" s="22">
        <f t="shared" si="64"/>
        <v>1.8619331136037789</v>
      </c>
      <c r="M109" s="228">
        <f t="shared" si="65"/>
        <v>1.8619331136037789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Public works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0.7151515151515152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Other income: e.g. Credit (cotton loans)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2.6035505402086736</v>
      </c>
      <c r="C119" s="22">
        <f>SUM(C91:C118)</f>
        <v>0</v>
      </c>
      <c r="D119" s="24">
        <f>SUM(D91:D118)</f>
        <v>2.6035505402086736</v>
      </c>
      <c r="E119" s="22"/>
      <c r="F119" s="2"/>
      <c r="G119" s="2"/>
      <c r="H119" s="31"/>
      <c r="I119" s="22">
        <f>SUM(I91:I118)</f>
        <v>1.8619331136037789</v>
      </c>
      <c r="J119" s="24">
        <f>SUM(J91:J118)</f>
        <v>1.8619331136037789</v>
      </c>
      <c r="K119" s="22">
        <f>SUM(K91:K118)</f>
        <v>2.6035505402086736</v>
      </c>
      <c r="L119" s="22">
        <f>SUM(L91:L118)</f>
        <v>1.8619331136037789</v>
      </c>
      <c r="M119" s="57">
        <f t="shared" si="49"/>
        <v>1.8619331136037789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9">
        <f>(B124)</f>
        <v>1.6055380795793861</v>
      </c>
      <c r="L124" s="29">
        <f>IF(SUMPRODUCT($B$124:$B124,$H$124:$H124)&lt;L$119,($B124*$H124),L$119)</f>
        <v>1.3622747341885701</v>
      </c>
      <c r="M124" s="240">
        <f t="shared" si="66"/>
        <v>1.3622747341885701</v>
      </c>
      <c r="N124" s="58"/>
      <c r="O124" s="174">
        <f>B124*H124</f>
        <v>1.3622747341885701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0.49965837941520874</v>
      </c>
      <c r="J125" s="237">
        <f>IF(SUMPRODUCT($B$124:$B125,$H$124:$H125)&lt;J$119,($B125*$H125),IF(SUMPRODUCT($B$124:$B124,$H$124:$H124)&lt;J$119,J$119-SUMPRODUCT($B$124:$B124,$H$124:$H124),0))</f>
        <v>0.49965837941520874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0.49965837941520874</v>
      </c>
      <c r="M125" s="240">
        <f t="shared" si="66"/>
        <v>0.49965837941520874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0.33106001419547165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0.33106001419547165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0.23675807075797367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0.57517989881693654</v>
      </c>
      <c r="C128" s="2"/>
      <c r="D128" s="31"/>
      <c r="E128" s="2"/>
      <c r="F128" s="2"/>
      <c r="G128" s="2"/>
      <c r="H128" s="24"/>
      <c r="I128" s="29">
        <f>(I30)</f>
        <v>0.49965837941520874</v>
      </c>
      <c r="J128" s="228">
        <f>(J30)</f>
        <v>0.30892423621337262</v>
      </c>
      <c r="K128" s="29">
        <f>(B128)</f>
        <v>0.57517989881693654</v>
      </c>
      <c r="L128" s="29">
        <f>IF(L124=L119,0,(L119-L124)/(B119-B124)*K128)</f>
        <v>0.2879657994789574</v>
      </c>
      <c r="M128" s="240">
        <f t="shared" si="66"/>
        <v>0.30892423621337262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2.6035505402086736</v>
      </c>
      <c r="C130" s="2"/>
      <c r="D130" s="31"/>
      <c r="E130" s="2"/>
      <c r="F130" s="2"/>
      <c r="G130" s="2"/>
      <c r="H130" s="24"/>
      <c r="I130" s="29">
        <f>(I119)</f>
        <v>1.8619331136037789</v>
      </c>
      <c r="J130" s="228">
        <f>(J119)</f>
        <v>1.8619331136037789</v>
      </c>
      <c r="K130" s="29">
        <f>(B130)</f>
        <v>2.6035505402086736</v>
      </c>
      <c r="L130" s="29">
        <f>(L119)</f>
        <v>1.8619331136037789</v>
      </c>
      <c r="M130" s="240">
        <f t="shared" si="66"/>
        <v>1.8619331136037789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1.1819864827745694</v>
      </c>
      <c r="J131" s="237">
        <f>IF(SUMPRODUCT($B124:$B125,$H124:$H125)&gt;(J119-J128),SUMPRODUCT($B124:$B125,$H124:$H125)+J128-J119,0)</f>
        <v>0.99125233957273329</v>
      </c>
      <c r="K131" s="29"/>
      <c r="L131" s="29">
        <f>IF(I131&lt;SUM(L126:L127),0,I131-(SUM(L126:L127)))</f>
        <v>1.1819864827745694</v>
      </c>
      <c r="M131" s="237">
        <f>IF(I131&lt;SUM(M126:M127),0,I131-(SUM(M126:M127)))</f>
        <v>1.1819864827745694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E57" sqref="E57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ZACNI: 59106</v>
      </c>
      <c r="B1" s="244" t="str">
        <f>[1]WB!$A$2</f>
        <v>Coastal open access non-crop income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8.3437110834371116E-3</v>
      </c>
      <c r="C6" s="215">
        <f>IF([1]Summ!F1044="",0,[1]Summ!F1044)</f>
        <v>0</v>
      </c>
      <c r="D6" s="24">
        <f t="shared" ref="D6:D16" si="0">SUM(B6,C6)</f>
        <v>8.3437110834371116E-3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4.1718555417185558E-3</v>
      </c>
      <c r="J6" s="24">
        <f t="shared" ref="J6:J13" si="3">IF(I$32&lt;=1+I$131,I6,B6*H6+J$33*(I6-B6*H6))</f>
        <v>4.1718555417185558E-3</v>
      </c>
      <c r="K6" s="22">
        <f t="shared" ref="K6:K31" si="4">B6</f>
        <v>8.3437110834371116E-3</v>
      </c>
      <c r="L6" s="22">
        <f t="shared" ref="L6:L29" si="5">IF(K6="","",K6*H6)</f>
        <v>4.1718555417185558E-3</v>
      </c>
      <c r="M6" s="224">
        <f t="shared" ref="M6:M31" si="6">J6</f>
        <v>4.1718555417185558E-3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1.6687422166874223E-2</v>
      </c>
      <c r="Z6" s="116">
        <v>0.17</v>
      </c>
      <c r="AA6" s="121">
        <f>$M6*Z6*4</f>
        <v>2.8368617683686183E-3</v>
      </c>
      <c r="AB6" s="116">
        <v>0.17</v>
      </c>
      <c r="AC6" s="121">
        <f t="shared" ref="AC6:AC29" si="7">$M6*AB6*4</f>
        <v>2.8368617683686183E-3</v>
      </c>
      <c r="AD6" s="116">
        <v>0.33</v>
      </c>
      <c r="AE6" s="121">
        <f t="shared" ref="AE6:AE29" si="8">$M6*AD6*4</f>
        <v>5.5068493150684942E-3</v>
      </c>
      <c r="AF6" s="122">
        <f>1-SUM(Z6,AB6,AD6)</f>
        <v>0.32999999999999996</v>
      </c>
      <c r="AG6" s="121">
        <f>$M6*AF6*4</f>
        <v>5.5068493150684933E-3</v>
      </c>
      <c r="AH6" s="123">
        <f>SUM(Z6,AB6,AD6,AF6)</f>
        <v>1</v>
      </c>
      <c r="AI6" s="183">
        <f>SUM(AA6,AC6,AE6,AG6)/4</f>
        <v>4.1718555417185558E-3</v>
      </c>
      <c r="AJ6" s="120">
        <f>(AA6+AC6)/2</f>
        <v>2.8368617683686183E-3</v>
      </c>
      <c r="AK6" s="119">
        <f>(AE6+AG6)/2</f>
        <v>5.5068493150684933E-3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4381.2423919338971</v>
      </c>
      <c r="S7" s="222">
        <f>IF($B$81=0,0,(SUMIF($N$6:$N$28,$U7,L$6:L$28)+SUMIF($N$91:$N$118,$U7,L$91:L$118))*$I$83*Poor!$B$81/$B$81)</f>
        <v>4991.2555602413031</v>
      </c>
      <c r="T7" s="222">
        <f>IF($B$81=0,0,(SUMIF($N$6:$N$28,$U7,M$6:M$28)+SUMIF($N$91:$N$118,$U7,M$91:M$118))*$I$83*Poor!$B$81/$B$81)</f>
        <v>5666.5104965280852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2.6171573396637608E-2</v>
      </c>
      <c r="C8" s="215">
        <f>IF([1]Summ!F1046="",0,[1]Summ!F1046)</f>
        <v>0</v>
      </c>
      <c r="D8" s="24">
        <f t="shared" si="0"/>
        <v>2.6171573396637608E-2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1.3085786698318804E-2</v>
      </c>
      <c r="J8" s="24">
        <f t="shared" si="3"/>
        <v>1.3085786698318804E-2</v>
      </c>
      <c r="K8" s="22">
        <f t="shared" si="4"/>
        <v>2.6171573396637608E-2</v>
      </c>
      <c r="L8" s="22">
        <f t="shared" si="5"/>
        <v>1.3085786698318804E-2</v>
      </c>
      <c r="M8" s="224">
        <f t="shared" si="6"/>
        <v>1.3085786698318804E-2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1238.4628440424749</v>
      </c>
      <c r="S8" s="222">
        <f>IF($B$81=0,0,(SUMIF($N$6:$N$28,$U8,L$6:L$28)+SUMIF($N$91:$N$118,$U8,L$91:L$118))*$I$83*Poor!$B$81/$B$81)</f>
        <v>1170.3999999999999</v>
      </c>
      <c r="T8" s="222">
        <f>IF($B$81=0,0,(SUMIF($N$6:$N$28,$U8,M$6:M$28)+SUMIF($N$91:$N$118,$U8,M$91:M$118))*$I$83*Poor!$B$81/$B$81)</f>
        <v>210</v>
      </c>
      <c r="U8" s="223">
        <v>2</v>
      </c>
      <c r="V8" s="184"/>
      <c r="W8" s="115"/>
      <c r="X8" s="124">
        <v>1</v>
      </c>
      <c r="Y8" s="183">
        <f t="shared" si="9"/>
        <v>5.2343146793275216E-2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5.2343146793275216E-2</v>
      </c>
      <c r="AH8" s="123">
        <f t="shared" si="12"/>
        <v>1</v>
      </c>
      <c r="AI8" s="183">
        <f t="shared" si="13"/>
        <v>1.3085786698318804E-2</v>
      </c>
      <c r="AJ8" s="120">
        <f t="shared" si="14"/>
        <v>0</v>
      </c>
      <c r="AK8" s="119">
        <f t="shared" si="15"/>
        <v>2.6171573396637608E-2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4.2500000000000003E-2</v>
      </c>
      <c r="C9" s="215">
        <f>IF([1]Summ!F1047="",0,[1]Summ!F1047)</f>
        <v>0</v>
      </c>
      <c r="D9" s="24">
        <f t="shared" si="0"/>
        <v>4.2500000000000003E-2</v>
      </c>
      <c r="E9" s="26">
        <v>1</v>
      </c>
      <c r="F9" s="28">
        <v>8800</v>
      </c>
      <c r="H9" s="24">
        <f t="shared" si="1"/>
        <v>1</v>
      </c>
      <c r="I9" s="22">
        <f t="shared" si="2"/>
        <v>4.2500000000000003E-2</v>
      </c>
      <c r="J9" s="24">
        <f t="shared" si="3"/>
        <v>4.2500000000000003E-2</v>
      </c>
      <c r="K9" s="22">
        <f t="shared" si="4"/>
        <v>4.2500000000000003E-2</v>
      </c>
      <c r="L9" s="22">
        <f t="shared" si="5"/>
        <v>4.2500000000000003E-2</v>
      </c>
      <c r="M9" s="224">
        <f t="shared" si="6"/>
        <v>4.2500000000000003E-2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432.45354682181602</v>
      </c>
      <c r="S9" s="222">
        <f>IF($B$81=0,0,(SUMIF($N$6:$N$28,$U9,L$6:L$28)+SUMIF($N$91:$N$118,$U9,L$91:L$118))*$I$83*Poor!$B$81/$B$81)</f>
        <v>240.83339494420642</v>
      </c>
      <c r="T9" s="222">
        <f>IF($B$81=0,0,(SUMIF($N$6:$N$28,$U9,M$6:M$28)+SUMIF($N$91:$N$118,$U9,M$91:M$118))*$I$83*Poor!$B$81/$B$81)</f>
        <v>240.83339494420642</v>
      </c>
      <c r="U9" s="223">
        <v>3</v>
      </c>
      <c r="V9" s="56"/>
      <c r="W9" s="115"/>
      <c r="X9" s="124">
        <v>1</v>
      </c>
      <c r="Y9" s="183">
        <f t="shared" si="9"/>
        <v>0.17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0.17</v>
      </c>
      <c r="AH9" s="123">
        <f t="shared" si="12"/>
        <v>1</v>
      </c>
      <c r="AI9" s="183">
        <f t="shared" si="13"/>
        <v>4.2500000000000003E-2</v>
      </c>
      <c r="AJ9" s="120">
        <f t="shared" si="14"/>
        <v>0</v>
      </c>
      <c r="AK9" s="119">
        <f t="shared" si="15"/>
        <v>8.5000000000000006E-2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8.8718578767123274E-2</v>
      </c>
      <c r="C10" s="215">
        <f>IF([1]Summ!F1048="",0,[1]Summ!F1048)</f>
        <v>0</v>
      </c>
      <c r="D10" s="24">
        <f t="shared" si="0"/>
        <v>8.8718578767123274E-2</v>
      </c>
      <c r="E10" s="26">
        <v>1.0900000000000001</v>
      </c>
      <c r="H10" s="24">
        <f t="shared" si="1"/>
        <v>1.0900000000000001</v>
      </c>
      <c r="I10" s="22">
        <f t="shared" si="2"/>
        <v>9.670325085616438E-2</v>
      </c>
      <c r="J10" s="24">
        <f t="shared" si="3"/>
        <v>9.670325085616438E-2</v>
      </c>
      <c r="K10" s="22">
        <f t="shared" si="4"/>
        <v>8.8718578767123274E-2</v>
      </c>
      <c r="L10" s="22">
        <f t="shared" si="5"/>
        <v>9.670325085616438E-2</v>
      </c>
      <c r="M10" s="224">
        <f t="shared" si="6"/>
        <v>9.670325085616438E-2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0.38681300342465752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0.38681300342465752</v>
      </c>
      <c r="AH10" s="123">
        <f t="shared" si="12"/>
        <v>1</v>
      </c>
      <c r="AI10" s="183">
        <f t="shared" si="13"/>
        <v>9.670325085616438E-2</v>
      </c>
      <c r="AJ10" s="120">
        <f t="shared" si="14"/>
        <v>0</v>
      </c>
      <c r="AK10" s="119">
        <f t="shared" si="15"/>
        <v>0.19340650171232876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Sorghum: kg produced</v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740.70744260913568</v>
      </c>
      <c r="S11" s="222">
        <f>IF($B$81=0,0,(SUMIF($N$6:$N$28,$U11,L$6:L$28)+SUMIF($N$91:$N$118,$U11,L$91:L$118))*$I$83*Poor!$B$81/$B$81)</f>
        <v>471.99999999999994</v>
      </c>
      <c r="T11" s="222">
        <f>IF($B$81=0,0,(SUMIF($N$6:$N$28,$U11,M$6:M$28)+SUMIF($N$91:$N$118,$U11,M$91:M$118))*$I$83*Poor!$B$81/$B$81)</f>
        <v>471.99999999999994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Beans: kg produced</v>
      </c>
      <c r="B12" s="215">
        <f>IF([1]Summ!E1050="",0,[1]Summ!E1050)</f>
        <v>8.2852887608966391E-2</v>
      </c>
      <c r="C12" s="215">
        <f>IF([1]Summ!F1050="",0,[1]Summ!F1050)</f>
        <v>0</v>
      </c>
      <c r="D12" s="24">
        <f t="shared" si="0"/>
        <v>8.2852887608966391E-2</v>
      </c>
      <c r="E12" s="26">
        <v>1</v>
      </c>
      <c r="H12" s="24">
        <f t="shared" si="1"/>
        <v>1</v>
      </c>
      <c r="I12" s="22">
        <f t="shared" si="2"/>
        <v>8.2852887608966391E-2</v>
      </c>
      <c r="J12" s="24">
        <f t="shared" si="3"/>
        <v>8.2852887608966391E-2</v>
      </c>
      <c r="K12" s="22">
        <f t="shared" si="4"/>
        <v>8.2852887608966391E-2</v>
      </c>
      <c r="L12" s="22">
        <f t="shared" si="5"/>
        <v>8.2852887608966391E-2</v>
      </c>
      <c r="M12" s="224">
        <f t="shared" si="6"/>
        <v>8.2852887608966391E-2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0.33141155043586557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0.22204573879202993</v>
      </c>
      <c r="AF12" s="122">
        <f>1-SUM(Z12,AB12,AD12)</f>
        <v>0.32999999999999996</v>
      </c>
      <c r="AG12" s="121">
        <f>$M12*AF12*4</f>
        <v>0.10936581164383562</v>
      </c>
      <c r="AH12" s="123">
        <f t="shared" si="12"/>
        <v>1</v>
      </c>
      <c r="AI12" s="183">
        <f t="shared" si="13"/>
        <v>8.2852887608966391E-2</v>
      </c>
      <c r="AJ12" s="120">
        <f t="shared" si="14"/>
        <v>0</v>
      </c>
      <c r="AK12" s="119">
        <f t="shared" si="15"/>
        <v>0.16570577521793278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Cassava: no. local meas.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2591.4414323271239</v>
      </c>
      <c r="S13" s="222">
        <f>IF($B$81=0,0,(SUMIF($N$6:$N$28,$U13,L$6:L$28)+SUMIF($N$91:$N$118,$U13,L$91:L$118))*$I$83*Poor!$B$81/$B$81)</f>
        <v>2287.4876437323283</v>
      </c>
      <c r="T13" s="222">
        <f>IF($B$81=0,0,(SUMIF($N$6:$N$28,$U13,M$6:M$28)+SUMIF($N$91:$N$118,$U13,M$91:M$118))*$I$83*Poor!$B$81/$B$81)</f>
        <v>2287.4876437323283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Water melon: no. local meas (Bhece)</v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Pumpkin: no. local meas</v>
      </c>
      <c r="B15" s="215">
        <f>IF([1]Summ!E1053="",0,[1]Summ!E1053)</f>
        <v>2.1996341843088418E-2</v>
      </c>
      <c r="C15" s="215">
        <f>IF([1]Summ!F1053="",0,[1]Summ!F1053)</f>
        <v>0</v>
      </c>
      <c r="D15" s="24">
        <f t="shared" si="0"/>
        <v>2.1996341843088418E-2</v>
      </c>
      <c r="E15" s="26">
        <v>1</v>
      </c>
      <c r="F15" s="22"/>
      <c r="H15" s="24">
        <f t="shared" si="1"/>
        <v>1</v>
      </c>
      <c r="I15" s="22">
        <f t="shared" si="2"/>
        <v>2.1996341843088418E-2</v>
      </c>
      <c r="J15" s="24">
        <f>IF(I$32&lt;=1+I131,I15,B15*H15+J$33*(I15-B15*H15))</f>
        <v>2.1996341843088418E-2</v>
      </c>
      <c r="K15" s="22">
        <f t="shared" si="4"/>
        <v>2.1996341843088418E-2</v>
      </c>
      <c r="L15" s="22">
        <f t="shared" si="5"/>
        <v>2.1996341843088418E-2</v>
      </c>
      <c r="M15" s="226">
        <f t="shared" si="6"/>
        <v>2.1996341843088418E-2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8.7985367372353671E-2</v>
      </c>
      <c r="Z15" s="116">
        <v>0.25</v>
      </c>
      <c r="AA15" s="121">
        <f t="shared" si="16"/>
        <v>2.1996341843088418E-2</v>
      </c>
      <c r="AB15" s="116">
        <v>0.25</v>
      </c>
      <c r="AC15" s="121">
        <f t="shared" si="7"/>
        <v>2.1996341843088418E-2</v>
      </c>
      <c r="AD15" s="116">
        <v>0.25</v>
      </c>
      <c r="AE15" s="121">
        <f t="shared" si="8"/>
        <v>2.1996341843088418E-2</v>
      </c>
      <c r="AF15" s="122">
        <f t="shared" si="10"/>
        <v>0.25</v>
      </c>
      <c r="AG15" s="121">
        <f t="shared" si="11"/>
        <v>2.1996341843088418E-2</v>
      </c>
      <c r="AH15" s="123">
        <f t="shared" si="12"/>
        <v>1</v>
      </c>
      <c r="AI15" s="183">
        <f t="shared" si="13"/>
        <v>2.1996341843088418E-2</v>
      </c>
      <c r="AJ15" s="120">
        <f t="shared" si="14"/>
        <v>2.1996341843088418E-2</v>
      </c>
      <c r="AK15" s="119">
        <f t="shared" si="15"/>
        <v>2.1996341843088418E-2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Sweet poatato: no. local meas</v>
      </c>
      <c r="B16" s="215">
        <f>IF([1]Summ!E1054="",0,[1]Summ!E1054)</f>
        <v>2.5988480697384807E-2</v>
      </c>
      <c r="C16" s="215">
        <f>IF([1]Summ!F1054="",0,[1]Summ!F1054)</f>
        <v>0</v>
      </c>
      <c r="D16" s="24">
        <f t="shared" si="0"/>
        <v>2.5988480697384807E-2</v>
      </c>
      <c r="E16" s="26">
        <v>1</v>
      </c>
      <c r="F16" s="22"/>
      <c r="H16" s="24">
        <f t="shared" si="1"/>
        <v>1</v>
      </c>
      <c r="I16" s="22">
        <f t="shared" si="2"/>
        <v>2.5988480697384807E-2</v>
      </c>
      <c r="J16" s="24">
        <f>IF(I$32&lt;=1+I131,I16,B16*H16+J$33*(I16-B16*H16))</f>
        <v>2.5988480697384807E-2</v>
      </c>
      <c r="K16" s="22">
        <f t="shared" si="4"/>
        <v>2.5988480697384807E-2</v>
      </c>
      <c r="L16" s="22">
        <f t="shared" si="5"/>
        <v>2.5988480697384807E-2</v>
      </c>
      <c r="M16" s="224">
        <f t="shared" si="6"/>
        <v>2.5988480697384807E-2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0.10395392278953923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0.10395392278953923</v>
      </c>
      <c r="AH16" s="123">
        <f t="shared" si="12"/>
        <v>1</v>
      </c>
      <c r="AI16" s="183">
        <f t="shared" si="13"/>
        <v>2.5988480697384807E-2</v>
      </c>
      <c r="AJ16" s="120">
        <f t="shared" si="14"/>
        <v>0</v>
      </c>
      <c r="AK16" s="119">
        <f t="shared" si="15"/>
        <v>5.1976961394769615E-2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5">
        <f>IF([1]Summ!E1055="",0,[1]Summ!E1055)</f>
        <v>5.849071699875466E-2</v>
      </c>
      <c r="C17" s="215">
        <f>IF([1]Summ!F1055="",0,[1]Summ!F1055)</f>
        <v>4.7169933063511846E-2</v>
      </c>
      <c r="D17" s="24">
        <f>SUM(B17,C17)</f>
        <v>0.10566065006226651</v>
      </c>
      <c r="E17" s="26">
        <v>1</v>
      </c>
      <c r="F17" s="22"/>
      <c r="H17" s="24">
        <f t="shared" si="1"/>
        <v>1</v>
      </c>
      <c r="I17" s="22">
        <f t="shared" si="2"/>
        <v>0.10566065006226651</v>
      </c>
      <c r="J17" s="24">
        <f t="shared" ref="J17:J25" si="17">IF(I$32&lt;=1+I131,I17,B17*H17+J$33*(I17-B17*H17))</f>
        <v>0.10566065006226651</v>
      </c>
      <c r="K17" s="22">
        <f t="shared" si="4"/>
        <v>5.849071699875466E-2</v>
      </c>
      <c r="L17" s="22">
        <f t="shared" si="5"/>
        <v>5.849071699875466E-2</v>
      </c>
      <c r="M17" s="225">
        <f t="shared" si="6"/>
        <v>0.10566065006226651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0.42264260024906602</v>
      </c>
      <c r="Z17" s="116">
        <v>0.29409999999999997</v>
      </c>
      <c r="AA17" s="121">
        <f t="shared" si="16"/>
        <v>0.12429918873325031</v>
      </c>
      <c r="AB17" s="116">
        <v>0.17649999999999999</v>
      </c>
      <c r="AC17" s="121">
        <f t="shared" si="7"/>
        <v>7.4596418943960144E-2</v>
      </c>
      <c r="AD17" s="116">
        <v>0.23530000000000001</v>
      </c>
      <c r="AE17" s="121">
        <f t="shared" si="8"/>
        <v>9.9447803838605242E-2</v>
      </c>
      <c r="AF17" s="122">
        <f t="shared" si="10"/>
        <v>0.29410000000000003</v>
      </c>
      <c r="AG17" s="121">
        <f t="shared" si="11"/>
        <v>0.12429918873325033</v>
      </c>
      <c r="AH17" s="123">
        <f t="shared" si="12"/>
        <v>1</v>
      </c>
      <c r="AI17" s="183">
        <f t="shared" si="13"/>
        <v>0.10566065006226649</v>
      </c>
      <c r="AJ17" s="120">
        <f t="shared" si="14"/>
        <v>9.9447803838605228E-2</v>
      </c>
      <c r="AK17" s="119">
        <f t="shared" si="15"/>
        <v>0.11187349628592778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Irish potato: type</v>
      </c>
      <c r="B18" s="215">
        <f>IF([1]Summ!E1056="",0,[1]Summ!E1056)</f>
        <v>8.3094645080946453E-3</v>
      </c>
      <c r="C18" s="215">
        <f>IF([1]Summ!F1056="",0,[1]Summ!F1056)</f>
        <v>2.1995641344956414E-3</v>
      </c>
      <c r="D18" s="24">
        <f t="shared" ref="D18:D20" si="18">SUM(B18,C18)</f>
        <v>1.0509028642590287E-2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1.0509028642590287E-2</v>
      </c>
      <c r="J18" s="24">
        <f t="shared" si="17"/>
        <v>9.5269575901812467E-3</v>
      </c>
      <c r="K18" s="22">
        <f t="shared" ref="K18:K20" si="21">B18</f>
        <v>8.3094645080946453E-3</v>
      </c>
      <c r="L18" s="22">
        <f t="shared" ref="L18:L20" si="22">IF(K18="","",K18*H18)</f>
        <v>8.3094645080946453E-3</v>
      </c>
      <c r="M18" s="225">
        <f t="shared" ref="M18:M20" si="23">J18</f>
        <v>9.5269575901812467E-3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>
        <f t="shared" ref="Y18:Y20" si="24">M18*4</f>
        <v>3.8107830360724987E-2</v>
      </c>
      <c r="Z18" s="116">
        <v>1.2941</v>
      </c>
      <c r="AA18" s="121">
        <f t="shared" ref="AA18:AA20" si="25">$M18*Z18*4</f>
        <v>4.9315343269814203E-2</v>
      </c>
      <c r="AB18" s="116">
        <v>1.1765000000000001</v>
      </c>
      <c r="AC18" s="121">
        <f t="shared" ref="AC18:AC20" si="26">$M18*AB18*4</f>
        <v>4.4833862419392953E-2</v>
      </c>
      <c r="AD18" s="116">
        <v>1.2353000000000001</v>
      </c>
      <c r="AE18" s="121">
        <f t="shared" ref="AE18:AE20" si="27">$M18*AD18*4</f>
        <v>4.7074602844603582E-2</v>
      </c>
      <c r="AF18" s="122">
        <f t="shared" ref="AF18:AF20" si="28">1-SUM(Z18,AB18,AD18)</f>
        <v>-2.7059000000000002</v>
      </c>
      <c r="AG18" s="121">
        <f t="shared" ref="AG18:AG20" si="29">$M18*AF18*4</f>
        <v>-0.10311597817308575</v>
      </c>
      <c r="AH18" s="123">
        <f t="shared" ref="AH18:AH20" si="30">SUM(Z18,AB18,AD18,AF18)</f>
        <v>1</v>
      </c>
      <c r="AI18" s="183">
        <f t="shared" ref="AI18:AI20" si="31">SUM(AA18,AC18,AE18,AG18)/4</f>
        <v>9.5269575901812432E-3</v>
      </c>
      <c r="AJ18" s="120">
        <f t="shared" ref="AJ18:AJ20" si="32">(AA18+AC18)/2</f>
        <v>4.7074602844603575E-2</v>
      </c>
      <c r="AK18" s="119">
        <f t="shared" ref="AK18:AK20" si="33">(AE18+AG18)/2</f>
        <v>-2.8020687664241085E-2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Yam: type</v>
      </c>
      <c r="B19" s="215">
        <f>IF([1]Summ!E1057="",0,[1]Summ!E1057)</f>
        <v>2.082230697384807E-2</v>
      </c>
      <c r="C19" s="215">
        <f>IF([1]Summ!F1057="",0,[1]Summ!F1057)</f>
        <v>0</v>
      </c>
      <c r="D19" s="24">
        <f t="shared" si="18"/>
        <v>2.082230697384807E-2</v>
      </c>
      <c r="E19" s="26">
        <v>1</v>
      </c>
      <c r="F19" s="22"/>
      <c r="H19" s="24">
        <f t="shared" si="19"/>
        <v>1</v>
      </c>
      <c r="I19" s="22">
        <f t="shared" si="20"/>
        <v>2.082230697384807E-2</v>
      </c>
      <c r="J19" s="24">
        <f t="shared" si="17"/>
        <v>2.082230697384807E-2</v>
      </c>
      <c r="K19" s="22">
        <f t="shared" si="21"/>
        <v>2.082230697384807E-2</v>
      </c>
      <c r="L19" s="22">
        <f t="shared" si="22"/>
        <v>2.082230697384807E-2</v>
      </c>
      <c r="M19" s="225">
        <f t="shared" si="23"/>
        <v>2.082230697384807E-2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8.3289227895392282E-2</v>
      </c>
      <c r="Z19" s="116">
        <v>2.2940999999999998</v>
      </c>
      <c r="AA19" s="121">
        <f t="shared" si="25"/>
        <v>0.19107381771481941</v>
      </c>
      <c r="AB19" s="116">
        <v>2.1764999999999999</v>
      </c>
      <c r="AC19" s="121">
        <f t="shared" si="26"/>
        <v>0.1812790045143213</v>
      </c>
      <c r="AD19" s="116">
        <v>2.2353000000000001</v>
      </c>
      <c r="AE19" s="121">
        <f t="shared" si="27"/>
        <v>0.18617641111457037</v>
      </c>
      <c r="AF19" s="122">
        <f t="shared" si="28"/>
        <v>-5.7058999999999997</v>
      </c>
      <c r="AG19" s="121">
        <f t="shared" si="29"/>
        <v>-0.47524000544831879</v>
      </c>
      <c r="AH19" s="123">
        <f t="shared" si="30"/>
        <v>1</v>
      </c>
      <c r="AI19" s="183">
        <f t="shared" si="31"/>
        <v>2.082230697384807E-2</v>
      </c>
      <c r="AJ19" s="120">
        <f t="shared" si="32"/>
        <v>0.18617641111457034</v>
      </c>
      <c r="AK19" s="119">
        <f t="shared" si="33"/>
        <v>-0.1445317971668742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25983.600000000002</v>
      </c>
      <c r="T20" s="222">
        <f>IF($B$81=0,0,(SUMIF($N$6:$N$28,$U20,M$6:M$28)+SUMIF($N$91:$N$118,$U20,M$91:M$118))*$I$83*Poor!$B$81/$B$81)</f>
        <v>25983.600000000002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Labour: Land clearing, construction, herding, slaughtering</v>
      </c>
      <c r="B21" s="215">
        <f>IF([1]Summ!E1059="",0,[1]Summ!E1059)</f>
        <v>5.6779890410958905E-2</v>
      </c>
      <c r="C21" s="215">
        <f>IF([1]Summ!F1059="",0,[1]Summ!F1059)</f>
        <v>0</v>
      </c>
      <c r="D21" s="24">
        <f t="shared" ref="D21:D25" si="34">SUM(B21,C21)</f>
        <v>5.6779890410958905E-2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5.6779890410958905E-2</v>
      </c>
      <c r="J21" s="24">
        <f t="shared" si="17"/>
        <v>5.6779890410958905E-2</v>
      </c>
      <c r="K21" s="22">
        <f t="shared" ref="K21:K25" si="37">B21</f>
        <v>5.6779890410958905E-2</v>
      </c>
      <c r="L21" s="22">
        <f t="shared" ref="L21:L25" si="38">IF(K21="","",K21*H21)</f>
        <v>5.6779890410958905E-2</v>
      </c>
      <c r="M21" s="225">
        <f t="shared" ref="M21:M25" si="39">J21</f>
        <v>5.6779890410958905E-2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0.22711956164383562</v>
      </c>
      <c r="Z21" s="116">
        <v>4.2941000000000003</v>
      </c>
      <c r="AA21" s="121">
        <f t="shared" ref="AA21:AA25" si="41">$M21*Z21*4</f>
        <v>0.97527410965479455</v>
      </c>
      <c r="AB21" s="116">
        <v>4.1764999999999999</v>
      </c>
      <c r="AC21" s="121">
        <f t="shared" ref="AC21:AC25" si="42">$M21*AB21*4</f>
        <v>0.94856484920547945</v>
      </c>
      <c r="AD21" s="116">
        <v>4.2352999999999996</v>
      </c>
      <c r="AE21" s="121">
        <f t="shared" ref="AE21:AE25" si="43">$M21*AD21*4</f>
        <v>0.96191947943013689</v>
      </c>
      <c r="AF21" s="122">
        <f t="shared" ref="AF21:AF25" si="44">1-SUM(Z21,AB21,AD21)</f>
        <v>-11.7059</v>
      </c>
      <c r="AG21" s="121">
        <f t="shared" ref="AG21:AG25" si="45">$M21*AF21*4</f>
        <v>-2.6586388766465752</v>
      </c>
      <c r="AH21" s="123">
        <f t="shared" ref="AH21:AH25" si="46">SUM(Z21,AB21,AD21,AF21)</f>
        <v>1</v>
      </c>
      <c r="AI21" s="183">
        <f t="shared" ref="AI21:AI25" si="47">SUM(AA21,AC21,AE21,AG21)/4</f>
        <v>5.6779890410958989E-2</v>
      </c>
      <c r="AJ21" s="120">
        <f t="shared" ref="AJ21:AJ25" si="48">(AA21+AC21)/2</f>
        <v>0.961919479430137</v>
      </c>
      <c r="AK21" s="119">
        <f t="shared" ref="AK21:AK25" si="49">(AE21+AG21)/2</f>
        <v>-0.84835969860821914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Weeding</v>
      </c>
      <c r="B22" s="215">
        <f>IF([1]Summ!E1060="",0,[1]Summ!E1060)</f>
        <v>1.8926630136986301E-2</v>
      </c>
      <c r="C22" s="215">
        <f>IF([1]Summ!F1060="",0,[1]Summ!F1060)</f>
        <v>0</v>
      </c>
      <c r="D22" s="24">
        <f t="shared" si="34"/>
        <v>1.8926630136986301E-2</v>
      </c>
      <c r="E22" s="26">
        <v>1</v>
      </c>
      <c r="F22" s="22"/>
      <c r="H22" s="24">
        <f t="shared" si="35"/>
        <v>1</v>
      </c>
      <c r="I22" s="22">
        <f t="shared" si="36"/>
        <v>1.8926630136986301E-2</v>
      </c>
      <c r="J22" s="24">
        <f t="shared" si="17"/>
        <v>1.8926630136986301E-2</v>
      </c>
      <c r="K22" s="22">
        <f t="shared" si="37"/>
        <v>1.8926630136986301E-2</v>
      </c>
      <c r="L22" s="22">
        <f t="shared" si="38"/>
        <v>1.8926630136986301E-2</v>
      </c>
      <c r="M22" s="225">
        <f t="shared" si="39"/>
        <v>1.8926630136986301E-2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7.5706520547945202E-2</v>
      </c>
      <c r="Z22" s="116">
        <v>5.2941000000000003</v>
      </c>
      <c r="AA22" s="121">
        <f t="shared" si="41"/>
        <v>0.40079789043287672</v>
      </c>
      <c r="AB22" s="116">
        <v>5.1764999999999999</v>
      </c>
      <c r="AC22" s="121">
        <f t="shared" si="42"/>
        <v>0.39189480361643836</v>
      </c>
      <c r="AD22" s="116">
        <v>5.2352999999999996</v>
      </c>
      <c r="AE22" s="121">
        <f t="shared" si="43"/>
        <v>0.39634634702465749</v>
      </c>
      <c r="AF22" s="122">
        <f t="shared" si="44"/>
        <v>-14.7059</v>
      </c>
      <c r="AG22" s="121">
        <f t="shared" si="45"/>
        <v>-1.1133325205260274</v>
      </c>
      <c r="AH22" s="123">
        <f t="shared" si="46"/>
        <v>1</v>
      </c>
      <c r="AI22" s="183">
        <f t="shared" si="47"/>
        <v>1.8926630136986311E-2</v>
      </c>
      <c r="AJ22" s="120">
        <f t="shared" si="48"/>
        <v>0.39634634702465754</v>
      </c>
      <c r="AK22" s="119">
        <f t="shared" si="49"/>
        <v>-0.35849308675068492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>Gifts/remittances: cereal</v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>
        <v>13</v>
      </c>
      <c r="O23" s="2"/>
      <c r="P23" s="22"/>
      <c r="Q23" s="171" t="s">
        <v>100</v>
      </c>
      <c r="R23" s="179">
        <f>SUM(R7:R22)</f>
        <v>43496.650878333683</v>
      </c>
      <c r="S23" s="179">
        <f>SUM(S7:S22)</f>
        <v>36806.906800140074</v>
      </c>
      <c r="T23" s="179">
        <f>SUM(T7:T22)</f>
        <v>36521.761736426859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>Gifts/remittances: Other</v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3.314115504358655E-2</v>
      </c>
      <c r="C27" s="215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0.19715891469489413</v>
      </c>
      <c r="C29" s="215">
        <f>IF([1]Summ!F1067="",0,[1]Summ!F1067)</f>
        <v>2.7477859247102939E-2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0.19715891469489413</v>
      </c>
      <c r="L29" s="22">
        <f t="shared" si="5"/>
        <v>0.19715891469489413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0.57048734589041095</v>
      </c>
      <c r="C30" s="103"/>
      <c r="D30" s="24">
        <f>(D119-B124)</f>
        <v>1.2059890909756568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0.63673943927577059</v>
      </c>
      <c r="J30" s="231">
        <f>IF(I$32&lt;=1,I30,1-SUM(J6:J29))</f>
        <v>0.15730056859050146</v>
      </c>
      <c r="K30" s="22">
        <f t="shared" si="4"/>
        <v>0.57048734589041095</v>
      </c>
      <c r="L30" s="22">
        <f>IF(L124=L119,0,IF(K30="",0,(L119-L124)/(B119-B124)*K30))</f>
        <v>0.31272885642758341</v>
      </c>
      <c r="M30" s="175">
        <f t="shared" si="6"/>
        <v>0.15730056859050146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0.62920227436200582</v>
      </c>
      <c r="Z30" s="122">
        <f>IF($Y30=0,0,AA30/($Y$30))</f>
        <v>-1.7629909992480657</v>
      </c>
      <c r="AA30" s="187">
        <f>IF(AA79*4/$I$83+SUM(AA6:AA29)&lt;1,AA79*4/$I$83,1-SUM(AA6:AA29))</f>
        <v>-1.1092779464066282</v>
      </c>
      <c r="AB30" s="122">
        <f>IF($Y30=0,0,AC30/($Y$30))</f>
        <v>-1.6047089726820527</v>
      </c>
      <c r="AC30" s="187">
        <f>IF(AC79*4/$I$83+SUM(AC6:AC29)&lt;1,AC79*4/$I$83,1-SUM(AC6:AC29))</f>
        <v>-1.0096865353006654</v>
      </c>
      <c r="AD30" s="122">
        <f>IF($Y30=0,0,AE30/($Y$30))</f>
        <v>-2.0409938417570381</v>
      </c>
      <c r="AE30" s="187">
        <f>IF(AE79*4/$I$83+SUM(AE6:AE29)&lt;1,AE79*4/$I$83,1-SUM(AE6:AE29))</f>
        <v>-1.2841979671923762</v>
      </c>
      <c r="AF30" s="122">
        <f>IF($Y30=0,0,AG30/($Y$30))</f>
        <v>6.4086938136871563</v>
      </c>
      <c r="AG30" s="187">
        <f>IF(AG79*4/$I$83+SUM(AG6:AG29)&lt;1,AG79*4/$I$83,1-SUM(AG6:AG29))</f>
        <v>4.0323647232616757</v>
      </c>
      <c r="AH30" s="123">
        <f t="shared" si="12"/>
        <v>1</v>
      </c>
      <c r="AI30" s="183">
        <f t="shared" si="13"/>
        <v>0.15730056859050146</v>
      </c>
      <c r="AJ30" s="120">
        <f t="shared" si="14"/>
        <v>-1.0594822408536468</v>
      </c>
      <c r="AK30" s="119">
        <f t="shared" si="15"/>
        <v>1.3740833780346497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-0.11270415748796703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2829.2848104815494</v>
      </c>
      <c r="S31" s="234">
        <f t="shared" si="50"/>
        <v>9519.0288886751587</v>
      </c>
      <c r="T31" s="234">
        <f>IF(T25&gt;T$23,T25-T$23,0)</f>
        <v>9804.1739523883734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4.4408920985006262E-16</v>
      </c>
      <c r="AH31" s="123"/>
      <c r="AI31" s="182">
        <f>SUM(AA31,AC31,AE31,AG31)/4</f>
        <v>1.1102230246251565E-16</v>
      </c>
      <c r="AJ31" s="135">
        <f t="shared" si="14"/>
        <v>0</v>
      </c>
      <c r="AK31" s="136">
        <f t="shared" si="15"/>
        <v>2.2204460492503131E-16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1.3797356171017907</v>
      </c>
      <c r="C32" s="29">
        <f>SUM(C6:C31)</f>
        <v>4.370620140152387E-2</v>
      </c>
      <c r="D32" s="24">
        <f>SUM(D6:D30)</f>
        <v>2.0589435635885605</v>
      </c>
      <c r="E32" s="2"/>
      <c r="F32" s="2"/>
      <c r="H32" s="17"/>
      <c r="I32" s="22">
        <f>SUM(I6:I30)</f>
        <v>1.4804209417376781</v>
      </c>
      <c r="J32" s="17"/>
      <c r="L32" s="22">
        <f>SUM(L6:L30)</f>
        <v>1.112704157487967</v>
      </c>
      <c r="M32" s="23"/>
      <c r="N32" s="56"/>
      <c r="O32" s="2"/>
      <c r="P32" s="22"/>
      <c r="Q32" s="234" t="s">
        <v>143</v>
      </c>
      <c r="R32" s="234">
        <f t="shared" si="50"/>
        <v>35567.20481048154</v>
      </c>
      <c r="S32" s="234">
        <f t="shared" si="50"/>
        <v>42256.94888867515</v>
      </c>
      <c r="T32" s="234">
        <f t="shared" si="50"/>
        <v>42542.093952388364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0.99999999999999956</v>
      </c>
      <c r="AH32" s="127"/>
      <c r="AI32" s="110"/>
      <c r="AJ32" s="140">
        <f>SUM(AJ6:AJ31)</f>
        <v>1</v>
      </c>
      <c r="AK32" s="141">
        <f>SUM(AK6:AK31)</f>
        <v>1.0000000000000002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0.55351560929400767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9804.1739523883716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3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500</v>
      </c>
      <c r="C38" s="216">
        <f>IF([1]Summ!F1073="",0,[1]Summ!F1073)</f>
        <v>0</v>
      </c>
      <c r="D38" s="38">
        <f t="shared" ref="D38:D47" si="58">SUM(B38,C38)</f>
        <v>500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472</v>
      </c>
      <c r="J38" s="38">
        <f t="shared" si="53"/>
        <v>471.99999999999994</v>
      </c>
      <c r="K38" s="40">
        <f t="shared" si="54"/>
        <v>2.0437359493153485E-2</v>
      </c>
      <c r="L38" s="22">
        <f t="shared" si="55"/>
        <v>1.9292867361536889E-2</v>
      </c>
      <c r="M38" s="24">
        <f t="shared" si="56"/>
        <v>1.9292867361536886E-2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471.99999999999994</v>
      </c>
      <c r="AH38" s="123">
        <f t="shared" ref="AH38:AI58" si="61">SUM(Z38,AB38,AD38,AF38)</f>
        <v>1</v>
      </c>
      <c r="AI38" s="112">
        <f t="shared" si="61"/>
        <v>471.99999999999994</v>
      </c>
      <c r="AJ38" s="148">
        <f t="shared" ref="AJ38:AJ64" si="62">(AA38+AC38)</f>
        <v>0</v>
      </c>
      <c r="AK38" s="147">
        <f t="shared" ref="AK38:AK64" si="63">(AE38+AG38)</f>
        <v>471.99999999999994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1</v>
      </c>
      <c r="F41" s="26">
        <v>1.4</v>
      </c>
      <c r="G41" s="22">
        <f t="shared" si="59"/>
        <v>1.65</v>
      </c>
      <c r="H41" s="24">
        <f t="shared" si="51"/>
        <v>1.4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Water melon: no. local meas (Bhece)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Sweet poatato: no. local meas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E16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Groundnuts (dry): no. local meas</v>
      </c>
      <c r="B44" s="216">
        <f>IF([1]Summ!E1079="",0,[1]Summ!E1079)</f>
        <v>650</v>
      </c>
      <c r="C44" s="216">
        <f>IF([1]Summ!F1079="",0,[1]Summ!F1079)</f>
        <v>-650</v>
      </c>
      <c r="D44" s="38">
        <f t="shared" si="58"/>
        <v>0</v>
      </c>
      <c r="E44" s="75">
        <f>E17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2.6568567341099528E-2</v>
      </c>
      <c r="L44" s="22">
        <f t="shared" si="55"/>
        <v>3.7195994277539335E-2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Irish potato: type</v>
      </c>
      <c r="B45" s="216">
        <f>IF([1]Summ!E1080="",0,[1]Summ!E1080)</f>
        <v>36</v>
      </c>
      <c r="C45" s="216">
        <f>IF([1]Summ!F1080="",0,[1]Summ!F1080)</f>
        <v>-36</v>
      </c>
      <c r="D45" s="38">
        <f t="shared" si="58"/>
        <v>0</v>
      </c>
      <c r="E45" s="75">
        <f>E18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1.4714898835070508E-3</v>
      </c>
      <c r="L45" s="22">
        <f t="shared" si="55"/>
        <v>2.060085836909871E-3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Yam: type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>E19</f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Spinach (cash): kg produced</v>
      </c>
      <c r="B47" s="216">
        <f>IF([1]Summ!E1082="",0,[1]Summ!E1082)</f>
        <v>150</v>
      </c>
      <c r="C47" s="216">
        <f>IF([1]Summ!F1082="",0,[1]Summ!F1082)</f>
        <v>0</v>
      </c>
      <c r="D47" s="38">
        <f t="shared" si="58"/>
        <v>150</v>
      </c>
      <c r="E47" s="26"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210</v>
      </c>
      <c r="J47" s="38">
        <f t="shared" si="53"/>
        <v>210</v>
      </c>
      <c r="K47" s="40">
        <f t="shared" si="54"/>
        <v>6.1312078479460455E-3</v>
      </c>
      <c r="L47" s="22">
        <f t="shared" si="55"/>
        <v>8.5836909871244635E-3</v>
      </c>
      <c r="M47" s="24">
        <f t="shared" si="56"/>
        <v>8.5836909871244635E-3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52.5</v>
      </c>
      <c r="AB47" s="116">
        <v>0.25</v>
      </c>
      <c r="AC47" s="147">
        <f t="shared" si="65"/>
        <v>52.5</v>
      </c>
      <c r="AD47" s="116">
        <v>0.25</v>
      </c>
      <c r="AE47" s="147">
        <f t="shared" si="66"/>
        <v>52.5</v>
      </c>
      <c r="AF47" s="122">
        <f t="shared" si="57"/>
        <v>0.25</v>
      </c>
      <c r="AG47" s="147">
        <f t="shared" si="60"/>
        <v>52.5</v>
      </c>
      <c r="AH47" s="123">
        <f t="shared" si="61"/>
        <v>1</v>
      </c>
      <c r="AI47" s="112">
        <f t="shared" si="61"/>
        <v>210</v>
      </c>
      <c r="AJ47" s="148">
        <f t="shared" si="62"/>
        <v>105</v>
      </c>
      <c r="AK47" s="147">
        <f t="shared" si="63"/>
        <v>105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Tomatoes (cash): kg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Cabbage (cash): kg produced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1.4</v>
      </c>
      <c r="G49" s="22">
        <f t="shared" si="59"/>
        <v>1.65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Agricultural cash income -- see Data2</v>
      </c>
      <c r="B50" s="216">
        <f>IF([1]Summ!E1085="",0,[1]Summ!E1085)</f>
        <v>1109</v>
      </c>
      <c r="C50" s="216">
        <f>IF([1]Summ!F1085="",0,[1]Summ!F1085)</f>
        <v>0</v>
      </c>
      <c r="D50" s="38">
        <f t="shared" si="67"/>
        <v>1109</v>
      </c>
      <c r="E50" s="26">
        <v>1</v>
      </c>
      <c r="F50" s="26">
        <v>1.1100000000000001</v>
      </c>
      <c r="G50" s="22">
        <f t="shared" si="59"/>
        <v>1.65</v>
      </c>
      <c r="H50" s="24">
        <f t="shared" ref="H50:H64" si="68">(E50*F50)</f>
        <v>1.1100000000000001</v>
      </c>
      <c r="I50" s="39">
        <f t="shared" ref="I50:I64" si="69">D50*H50</f>
        <v>1230.99</v>
      </c>
      <c r="J50" s="38">
        <f t="shared" ref="J50:J64" si="70">J104*I$83</f>
        <v>1230.9900000000002</v>
      </c>
      <c r="K50" s="40">
        <f t="shared" ref="K50:K64" si="71">(B50/B$65)</f>
        <v>4.533006335581443E-2</v>
      </c>
      <c r="L50" s="22">
        <f t="shared" ref="L50:L64" si="72">(K50*H50)</f>
        <v>5.0316370324954021E-2</v>
      </c>
      <c r="M50" s="24">
        <f t="shared" ref="M50:M64" si="73">J50/B$65</f>
        <v>5.0316370324954028E-2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Labour migration(formal employment): no. people per HH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1.18</v>
      </c>
      <c r="G51" s="22">
        <f t="shared" si="59"/>
        <v>1.65</v>
      </c>
      <c r="H51" s="24">
        <f t="shared" si="68"/>
        <v>1.18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Formal Employment (conservancies, etc.)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1.18</v>
      </c>
      <c r="G52" s="22">
        <f t="shared" si="59"/>
        <v>1.65</v>
      </c>
      <c r="H52" s="24">
        <f t="shared" si="68"/>
        <v>1.18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Self-employment -- see Data2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0.8</v>
      </c>
      <c r="F53" s="26">
        <v>1</v>
      </c>
      <c r="G53" s="22">
        <f t="shared" si="59"/>
        <v>1.65</v>
      </c>
      <c r="H53" s="24">
        <f t="shared" si="68"/>
        <v>0.8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Small business -- see Data2</v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0.8</v>
      </c>
      <c r="F54" s="26">
        <v>1.18</v>
      </c>
      <c r="G54" s="22">
        <f t="shared" si="59"/>
        <v>1.65</v>
      </c>
      <c r="H54" s="24">
        <f t="shared" si="68"/>
        <v>0.94399999999999995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Social development -- see Data2</v>
      </c>
      <c r="B55" s="216">
        <f>IF([1]Summ!E1090="",0,[1]Summ!E1090)</f>
        <v>22020</v>
      </c>
      <c r="C55" s="216">
        <f>IF([1]Summ!F1090="",0,[1]Summ!F1090)</f>
        <v>0</v>
      </c>
      <c r="D55" s="38">
        <f t="shared" si="67"/>
        <v>22020</v>
      </c>
      <c r="E55" s="26">
        <v>1</v>
      </c>
      <c r="F55" s="26">
        <v>1.18</v>
      </c>
      <c r="G55" s="22">
        <f t="shared" si="59"/>
        <v>1.65</v>
      </c>
      <c r="H55" s="24">
        <f t="shared" si="68"/>
        <v>1.18</v>
      </c>
      <c r="I55" s="39">
        <f t="shared" si="69"/>
        <v>25983.599999999999</v>
      </c>
      <c r="J55" s="38">
        <f t="shared" si="70"/>
        <v>25983.600000000002</v>
      </c>
      <c r="K55" s="40">
        <f t="shared" si="71"/>
        <v>0.9000613120784795</v>
      </c>
      <c r="L55" s="22">
        <f t="shared" si="72"/>
        <v>1.0620723482526058</v>
      </c>
      <c r="M55" s="24">
        <f t="shared" si="73"/>
        <v>1.0620723482526058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6495.9000000000005</v>
      </c>
      <c r="AB55" s="116">
        <v>0.25</v>
      </c>
      <c r="AC55" s="147">
        <f t="shared" si="65"/>
        <v>6495.9000000000005</v>
      </c>
      <c r="AD55" s="116">
        <v>0.25</v>
      </c>
      <c r="AE55" s="147">
        <f t="shared" si="66"/>
        <v>6495.9000000000005</v>
      </c>
      <c r="AF55" s="122">
        <f t="shared" si="57"/>
        <v>0.25</v>
      </c>
      <c r="AG55" s="147">
        <f t="shared" si="60"/>
        <v>6495.9000000000005</v>
      </c>
      <c r="AH55" s="123">
        <f t="shared" si="61"/>
        <v>1</v>
      </c>
      <c r="AI55" s="112">
        <f t="shared" si="61"/>
        <v>25983.600000000002</v>
      </c>
      <c r="AJ55" s="148">
        <f t="shared" si="62"/>
        <v>12991.800000000001</v>
      </c>
      <c r="AK55" s="147">
        <f t="shared" si="63"/>
        <v>12991.800000000001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Public works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1.18</v>
      </c>
      <c r="G56" s="22">
        <f t="shared" si="59"/>
        <v>1.65</v>
      </c>
      <c r="H56" s="24">
        <f t="shared" si="68"/>
        <v>1.18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Other income: e.g. Credit (cotton loans)</v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24465</v>
      </c>
      <c r="C65" s="41">
        <f>SUM(C37:C64)</f>
        <v>-686</v>
      </c>
      <c r="D65" s="42">
        <f>SUM(D37:D64)</f>
        <v>23779</v>
      </c>
      <c r="E65" s="32"/>
      <c r="F65" s="32"/>
      <c r="G65" s="32"/>
      <c r="H65" s="31"/>
      <c r="I65" s="39">
        <f>SUM(I37:I64)</f>
        <v>27896.59</v>
      </c>
      <c r="J65" s="39">
        <f>SUM(J37:J64)</f>
        <v>27896.590000000004</v>
      </c>
      <c r="K65" s="40">
        <f>SUM(K37:K64)</f>
        <v>1</v>
      </c>
      <c r="L65" s="22">
        <f>SUM(L37:L64)</f>
        <v>1.1795213570406704</v>
      </c>
      <c r="M65" s="24">
        <f>SUM(M37:M64)</f>
        <v>1.1402652769262211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6548.4000000000005</v>
      </c>
      <c r="AB65" s="137"/>
      <c r="AC65" s="153">
        <f>SUM(AC37:AC64)</f>
        <v>6548.4000000000005</v>
      </c>
      <c r="AD65" s="137"/>
      <c r="AE65" s="153">
        <f>SUM(AE37:AE64)</f>
        <v>6548.4000000000005</v>
      </c>
      <c r="AF65" s="137"/>
      <c r="AG65" s="153">
        <f>SUM(AG37:AG64)</f>
        <v>7020.4000000000005</v>
      </c>
      <c r="AH65" s="137"/>
      <c r="AI65" s="153">
        <f>SUM(AI37:AI64)</f>
        <v>26665.600000000002</v>
      </c>
      <c r="AJ65" s="153">
        <f>SUM(AJ37:AJ64)</f>
        <v>13096.800000000001</v>
      </c>
      <c r="AK65" s="153">
        <f>SUM(AK37:AK64)</f>
        <v>13568.800000000001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13579.12894961681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19010.780529463536</v>
      </c>
      <c r="J70" s="51">
        <f t="shared" ref="J70:J77" si="75">J124*I$83</f>
        <v>19010.780529463536</v>
      </c>
      <c r="K70" s="40">
        <f>B70/B$76</f>
        <v>0.55504307989441282</v>
      </c>
      <c r="L70" s="22">
        <f t="shared" ref="L70:L75" si="76">(L124*G$37*F$9/F$7)/B$130</f>
        <v>0.77706031185217805</v>
      </c>
      <c r="M70" s="24">
        <f>J70/B$76</f>
        <v>0.77706031185217805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4752.6951323658841</v>
      </c>
      <c r="AB70" s="116">
        <v>0.25</v>
      </c>
      <c r="AC70" s="147">
        <f>$J70*AB70</f>
        <v>4752.6951323658841</v>
      </c>
      <c r="AD70" s="116">
        <v>0.25</v>
      </c>
      <c r="AE70" s="147">
        <f>$J70*AD70</f>
        <v>4752.6951323658841</v>
      </c>
      <c r="AF70" s="122">
        <f>1-SUM(Z70,AB70,AD70)</f>
        <v>0.25</v>
      </c>
      <c r="AG70" s="147">
        <f>$J70*AF70</f>
        <v>4752.6951323658841</v>
      </c>
      <c r="AH70" s="155">
        <f>SUM(Z70,AB70,AD70,AF70)</f>
        <v>1</v>
      </c>
      <c r="AI70" s="147">
        <f>SUM(AA70,AC70,AE70,AG70)</f>
        <v>19010.780529463536</v>
      </c>
      <c r="AJ70" s="148">
        <f>(AA70+AC70)</f>
        <v>9505.3902647317682</v>
      </c>
      <c r="AK70" s="147">
        <f>(AE70+AG70)</f>
        <v>9505.3902647317682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8885.8094705364692</v>
      </c>
      <c r="J71" s="51">
        <f t="shared" si="75"/>
        <v>8885.8094705364692</v>
      </c>
      <c r="K71" s="40">
        <f t="shared" ref="K71:K72" si="78">B71/B$76</f>
        <v>0.57137407180325639</v>
      </c>
      <c r="L71" s="22">
        <f t="shared" si="76"/>
        <v>0.40246104518849241</v>
      </c>
      <c r="M71" s="24">
        <f t="shared" ref="M71:M72" si="79">J71/B$76</f>
        <v>0.36320496507404332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1.1340282035561005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3740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0.15287144900878807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397.18799999999999</v>
      </c>
      <c r="AB73" s="116">
        <v>0.09</v>
      </c>
      <c r="AC73" s="147">
        <f>$H$73*$B$73*AB73</f>
        <v>397.18799999999999</v>
      </c>
      <c r="AD73" s="116">
        <v>0.23</v>
      </c>
      <c r="AE73" s="147">
        <f>$H$73*$B$73*AD73</f>
        <v>1015.0360000000001</v>
      </c>
      <c r="AF73" s="122">
        <f>1-SUM(Z73,AB73,AD73)</f>
        <v>0.59</v>
      </c>
      <c r="AG73" s="147">
        <f>$H$73*$B$73*AF73</f>
        <v>2603.7879999999996</v>
      </c>
      <c r="AH73" s="155">
        <f>SUM(Z73,AB73,AD73,AF73)</f>
        <v>1</v>
      </c>
      <c r="AI73" s="147">
        <f>SUM(AA73,AC73,AE73,AG73)</f>
        <v>4413.2</v>
      </c>
      <c r="AJ73" s="148">
        <f>(AA73+AC73)</f>
        <v>794.37599999999998</v>
      </c>
      <c r="AK73" s="147">
        <f>(AE73+AG73)</f>
        <v>3618.8239999999996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4825</v>
      </c>
      <c r="C74" s="46"/>
      <c r="D74" s="38"/>
      <c r="E74" s="32"/>
      <c r="F74" s="32"/>
      <c r="G74" s="32"/>
      <c r="H74" s="31"/>
      <c r="I74" s="39">
        <f>I128*I$83</f>
        <v>8885.8094705364692</v>
      </c>
      <c r="J74" s="51">
        <f t="shared" si="75"/>
        <v>2195.1567562581745</v>
      </c>
      <c r="K74" s="40">
        <f>B74/B$76</f>
        <v>0.19722051910893112</v>
      </c>
      <c r="L74" s="22">
        <f t="shared" si="76"/>
        <v>0.17838485630106013</v>
      </c>
      <c r="M74" s="24">
        <f>J74/B$76</f>
        <v>8.9726415542946025E-2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-3870.0416032217413</v>
      </c>
      <c r="AB74" s="156"/>
      <c r="AC74" s="147">
        <f>AC30*$I$83/4</f>
        <v>-3522.587743211122</v>
      </c>
      <c r="AD74" s="156"/>
      <c r="AE74" s="147">
        <f>AE30*$I$83/4</f>
        <v>-4480.3014212142898</v>
      </c>
      <c r="AF74" s="156"/>
      <c r="AG74" s="147">
        <f>AG30*$I$83/4</f>
        <v>14068.087523905328</v>
      </c>
      <c r="AH74" s="155"/>
      <c r="AI74" s="147">
        <f>SUM(AA74,AC74,AE74,AG74)</f>
        <v>2195.1567562581749</v>
      </c>
      <c r="AJ74" s="148">
        <f>(AA74+AC74)</f>
        <v>-7392.6293464328628</v>
      </c>
      <c r="AK74" s="147">
        <f>(AE74+AG74)</f>
        <v>9587.7861026910377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5665.7464708558582</v>
      </c>
      <c r="AB75" s="158"/>
      <c r="AC75" s="149">
        <f>AA75+AC65-SUM(AC70,AC74)</f>
        <v>10984.039081701098</v>
      </c>
      <c r="AD75" s="158"/>
      <c r="AE75" s="149">
        <f>AC75+AE65-SUM(AE70,AE74)</f>
        <v>17260.045370549502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5459.6627142782927</v>
      </c>
      <c r="AJ75" s="151">
        <f>AJ76-SUM(AJ70,AJ74)</f>
        <v>10984.039081701096</v>
      </c>
      <c r="AK75" s="149">
        <f>AJ75+AK76-SUM(AK70,AK74)</f>
        <v>5459.6627142782891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24465</v>
      </c>
      <c r="C76" s="46"/>
      <c r="D76" s="38"/>
      <c r="E76" s="32"/>
      <c r="F76" s="32"/>
      <c r="G76" s="32"/>
      <c r="H76" s="31"/>
      <c r="I76" s="39">
        <f>I130*I$83</f>
        <v>27896.590000000004</v>
      </c>
      <c r="J76" s="51">
        <f t="shared" si="75"/>
        <v>27896.590000000004</v>
      </c>
      <c r="K76" s="40">
        <f>SUM(K70:K75)</f>
        <v>2.6105373233714886</v>
      </c>
      <c r="L76" s="22">
        <f>SUM(L70:L75)</f>
        <v>1.3579062133417306</v>
      </c>
      <c r="M76" s="24">
        <f>SUM(M70:M75)</f>
        <v>1.2299916924691674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6548.4000000000005</v>
      </c>
      <c r="AB76" s="137"/>
      <c r="AC76" s="153">
        <f>AC65</f>
        <v>6548.4000000000005</v>
      </c>
      <c r="AD76" s="137"/>
      <c r="AE76" s="153">
        <f>AE65</f>
        <v>6548.4000000000005</v>
      </c>
      <c r="AF76" s="137"/>
      <c r="AG76" s="153">
        <f>AG65</f>
        <v>7020.4000000000005</v>
      </c>
      <c r="AH76" s="137"/>
      <c r="AI76" s="153">
        <f>SUM(AA76,AC76,AE76,AG76)</f>
        <v>26665.600000000002</v>
      </c>
      <c r="AJ76" s="154">
        <f>SUM(AA76,AC76)</f>
        <v>13096.800000000001</v>
      </c>
      <c r="AK76" s="154">
        <f>SUM(AE76,AG76)</f>
        <v>13568.800000000001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16494.826666666668</v>
      </c>
      <c r="J77" s="100">
        <f t="shared" si="75"/>
        <v>9804.1739523883716</v>
      </c>
      <c r="K77" s="40"/>
      <c r="L77" s="22">
        <f>-(L131*G$37*F$9/F$7)/B$130</f>
        <v>-0.67422140472784253</v>
      </c>
      <c r="M77" s="24">
        <f>-J77/B$76</f>
        <v>-0.40074285519674518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1.5493355143577416E-12</v>
      </c>
      <c r="AH77" s="110"/>
      <c r="AI77" s="154">
        <f>SUM(AA77,AC77,AE77,AG77)</f>
        <v>1.5493355143577416E-12</v>
      </c>
      <c r="AJ77" s="153">
        <f>SUM(AA77,AC77)</f>
        <v>0</v>
      </c>
      <c r="AK77" s="160">
        <f>SUM(AE77,AG77)</f>
        <v>1.5493355143577416E-12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5665.7464708558582</v>
      </c>
      <c r="AD78" s="112"/>
      <c r="AE78" s="112">
        <f>AC75</f>
        <v>10984.039081701098</v>
      </c>
      <c r="AF78" s="112"/>
      <c r="AG78" s="112">
        <f>AE75</f>
        <v>17260.045370549502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1795.7048676341165</v>
      </c>
      <c r="AB79" s="112"/>
      <c r="AC79" s="112">
        <f>AA79-AA74+AC65-AC70</f>
        <v>7461.4513384899756</v>
      </c>
      <c r="AD79" s="112"/>
      <c r="AE79" s="112">
        <f>AC79-AC74+AE65-AE70</f>
        <v>12779.743949335214</v>
      </c>
      <c r="AF79" s="112"/>
      <c r="AG79" s="112">
        <f>AE79-AE74+AG65-AG70</f>
        <v>19527.75023818362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0.64232512570888012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4.509345794392523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8457.6810244041226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3488.7934225667004</v>
      </c>
      <c r="AB83" s="112"/>
      <c r="AC83" s="165">
        <f>$I$83*AB82/4</f>
        <v>3488.7934225667004</v>
      </c>
      <c r="AD83" s="112"/>
      <c r="AE83" s="165">
        <f>$I$83*AD82/4</f>
        <v>3488.7934225667004</v>
      </c>
      <c r="AF83" s="112"/>
      <c r="AG83" s="165">
        <f>$I$83*AF82/4</f>
        <v>3488.7934225667004</v>
      </c>
      <c r="AH83" s="165">
        <f>SUM(AA83,AC83,AE83,AG83)</f>
        <v>13955.173690266802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0.57212121212121214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7">
        <f t="shared" si="80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5.9117859677762792E-2</v>
      </c>
      <c r="C92" s="60">
        <f t="shared" si="81"/>
        <v>0</v>
      </c>
      <c r="D92" s="24">
        <f t="shared" ref="D92:D118" si="86">SUM(B92,C92)</f>
        <v>5.9117859677762792E-2</v>
      </c>
      <c r="H92" s="24">
        <f t="shared" ref="H92:H118" si="87">(E38*F38/G38*F$7/F$9)</f>
        <v>0.57212121212121214</v>
      </c>
      <c r="I92" s="22">
        <f t="shared" ref="I92:I118" si="88">(D92*H92)</f>
        <v>3.3822581536853379E-2</v>
      </c>
      <c r="J92" s="24">
        <f t="shared" ref="J92:J118" si="89">IF(I$32&lt;=1+I$131,I92,L92+J$33*(I92-L92))</f>
        <v>3.3822581536853379E-2</v>
      </c>
      <c r="K92" s="22">
        <f t="shared" ref="K92:K118" si="90">IF(B92="",0,B92)</f>
        <v>5.9117859677762792E-2</v>
      </c>
      <c r="L92" s="22">
        <f t="shared" ref="L92:L118" si="91">(K92*H92)</f>
        <v>3.3822581536853379E-2</v>
      </c>
      <c r="M92" s="227">
        <f t="shared" ref="M92:M118" si="92">(J92)</f>
        <v>3.3822581536853379E-2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0.7151515151515152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0.84848484848484851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Water melon: no. local meas (Bhece)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Sweet poatato: no. local meas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Groundnuts (dry): no. local meas</v>
      </c>
      <c r="B98" s="60">
        <f t="shared" si="81"/>
        <v>7.6853217581091635E-2</v>
      </c>
      <c r="C98" s="60">
        <f t="shared" si="81"/>
        <v>-7.6853217581091635E-2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0</v>
      </c>
      <c r="K98" s="22">
        <f t="shared" si="90"/>
        <v>7.6853217581091635E-2</v>
      </c>
      <c r="L98" s="22">
        <f t="shared" si="91"/>
        <v>6.5208790674865624E-2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Irish potato: type</v>
      </c>
      <c r="B99" s="60">
        <f t="shared" si="81"/>
        <v>4.2564858967989215E-3</v>
      </c>
      <c r="C99" s="60">
        <f t="shared" si="81"/>
        <v>-4.2564858967989215E-3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0</v>
      </c>
      <c r="K99" s="22">
        <f t="shared" si="90"/>
        <v>4.2564858967989215E-3</v>
      </c>
      <c r="L99" s="22">
        <f t="shared" si="91"/>
        <v>3.6115637912233277E-3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Yam: type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0.84848484848484851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Spinach (cash): kg produced</v>
      </c>
      <c r="B101" s="60">
        <f t="shared" si="81"/>
        <v>1.7735357903328839E-2</v>
      </c>
      <c r="C101" s="60">
        <f t="shared" si="81"/>
        <v>0</v>
      </c>
      <c r="D101" s="24">
        <f t="shared" si="86"/>
        <v>1.7735357903328839E-2</v>
      </c>
      <c r="H101" s="24">
        <f t="shared" si="87"/>
        <v>0.84848484848484851</v>
      </c>
      <c r="I101" s="22">
        <f t="shared" si="88"/>
        <v>1.504818246343053E-2</v>
      </c>
      <c r="J101" s="24">
        <f t="shared" si="89"/>
        <v>1.504818246343053E-2</v>
      </c>
      <c r="K101" s="22">
        <f t="shared" si="90"/>
        <v>1.7735357903328839E-2</v>
      </c>
      <c r="L101" s="22">
        <f t="shared" si="91"/>
        <v>1.504818246343053E-2</v>
      </c>
      <c r="M101" s="227">
        <f t="shared" si="92"/>
        <v>1.504818246343053E-2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Tomatoes (cash):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0.84848484848484851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Cabbage (cash): kg produced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0.84848484848484851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Agricultural cash income -- see Data2</v>
      </c>
      <c r="B104" s="60">
        <f t="shared" si="81"/>
        <v>0.13112341276527786</v>
      </c>
      <c r="C104" s="60">
        <f t="shared" si="81"/>
        <v>0</v>
      </c>
      <c r="D104" s="24">
        <f t="shared" si="86"/>
        <v>0.13112341276527786</v>
      </c>
      <c r="H104" s="24">
        <f t="shared" si="87"/>
        <v>0.67272727272727284</v>
      </c>
      <c r="I104" s="22">
        <f t="shared" si="88"/>
        <v>8.8210295860277857E-2</v>
      </c>
      <c r="J104" s="24">
        <f t="shared" si="89"/>
        <v>8.8210295860277857E-2</v>
      </c>
      <c r="K104" s="22">
        <f t="shared" si="90"/>
        <v>0.13112341276527786</v>
      </c>
      <c r="L104" s="22">
        <f t="shared" si="91"/>
        <v>8.8210295860277857E-2</v>
      </c>
      <c r="M104" s="227">
        <f t="shared" si="92"/>
        <v>8.8210295860277857E-2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Labour migration(formal employment): no. people per HH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0.7151515151515152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Formal Employment (conservancies, etc.)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0.7151515151515152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Self-employment -- see Data2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0.48484848484848486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Small business -- see Data2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0.57212121212121214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Social development -- see Data2</v>
      </c>
      <c r="B109" s="60">
        <f t="shared" si="81"/>
        <v>2.6035505402086736</v>
      </c>
      <c r="C109" s="60">
        <f t="shared" si="81"/>
        <v>0</v>
      </c>
      <c r="D109" s="24">
        <f t="shared" si="86"/>
        <v>2.6035505402086736</v>
      </c>
      <c r="H109" s="24">
        <f t="shared" si="87"/>
        <v>0.7151515151515152</v>
      </c>
      <c r="I109" s="22">
        <f t="shared" si="88"/>
        <v>1.8619331136037789</v>
      </c>
      <c r="J109" s="24">
        <f t="shared" si="89"/>
        <v>1.8619331136037789</v>
      </c>
      <c r="K109" s="22">
        <f t="shared" si="90"/>
        <v>2.6035505402086736</v>
      </c>
      <c r="L109" s="22">
        <f t="shared" si="91"/>
        <v>1.8619331136037789</v>
      </c>
      <c r="M109" s="227">
        <f t="shared" si="92"/>
        <v>1.8619331136037789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Public works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0.7151515151515152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Other income: e.g. Credit (cotton loans)</v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2.8926368740329336</v>
      </c>
      <c r="C119" s="29">
        <f>SUM(C91:C118)</f>
        <v>-8.1109703477890552E-2</v>
      </c>
      <c r="D119" s="24">
        <f>SUM(D91:D118)</f>
        <v>2.8115271705550429</v>
      </c>
      <c r="E119" s="22"/>
      <c r="F119" s="2"/>
      <c r="G119" s="2"/>
      <c r="H119" s="31"/>
      <c r="I119" s="22">
        <f>SUM(I91:I118)</f>
        <v>1.9990141734643407</v>
      </c>
      <c r="J119" s="24">
        <f>SUM(J91:J118)</f>
        <v>1.9990141734643407</v>
      </c>
      <c r="K119" s="22">
        <f>SUM(K91:K118)</f>
        <v>2.8926368740329336</v>
      </c>
      <c r="L119" s="22">
        <f>SUM(L91:L118)</f>
        <v>2.0678345279304295</v>
      </c>
      <c r="M119" s="57">
        <f t="shared" si="80"/>
        <v>1.9990141734643407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9">
        <f>(B124)</f>
        <v>1.6055380795793861</v>
      </c>
      <c r="L124" s="29">
        <f>IF(SUMPRODUCT($B$124:$B124,$H$124:$H124)&lt;L$119,($B124*$H124),L$119)</f>
        <v>1.3622747341885701</v>
      </c>
      <c r="M124" s="240">
        <f t="shared" si="93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0.63673943927577059</v>
      </c>
      <c r="J125" s="237">
        <f>IF(SUMPRODUCT($B$124:$B125,$H$124:$H125)&lt;J$119,($B125*$H125),IF(SUMPRODUCT($B$124:$B124,$H$124:$H124)&lt;J$119,J$119-SUMPRODUCT($B$124:$B124,$H$124:$H124),0))</f>
        <v>0.63673943927577059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0.7055597937418594</v>
      </c>
      <c r="M125" s="240">
        <f t="shared" si="93"/>
        <v>0.63673943927577059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0.44220159038966572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0.44220159038966572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0.57048734589041095</v>
      </c>
      <c r="C128" s="56"/>
      <c r="D128" s="31"/>
      <c r="E128" s="2"/>
      <c r="F128" s="2"/>
      <c r="G128" s="2"/>
      <c r="H128" s="24"/>
      <c r="I128" s="29">
        <f>(I30)</f>
        <v>0.63673943927577059</v>
      </c>
      <c r="J128" s="228">
        <f>(J30)</f>
        <v>0.15730056859050146</v>
      </c>
      <c r="K128" s="29">
        <f>(B128)</f>
        <v>0.57048734589041095</v>
      </c>
      <c r="L128" s="29">
        <f>IF(L124=L119,0,(L119-L124)/(B119-B124)*K128)</f>
        <v>0.31272885642758341</v>
      </c>
      <c r="M128" s="240">
        <f t="shared" si="93"/>
        <v>0.15730056859050146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2.8926368740329336</v>
      </c>
      <c r="C130" s="56"/>
      <c r="D130" s="31"/>
      <c r="E130" s="2"/>
      <c r="F130" s="2"/>
      <c r="G130" s="2"/>
      <c r="H130" s="24"/>
      <c r="I130" s="29">
        <f>(I119)</f>
        <v>1.9990141734643407</v>
      </c>
      <c r="J130" s="228">
        <f>(J119)</f>
        <v>1.9990141734643407</v>
      </c>
      <c r="K130" s="29">
        <f>(B130)</f>
        <v>2.8926368740329336</v>
      </c>
      <c r="L130" s="29">
        <f>(L119)</f>
        <v>2.0678345279304295</v>
      </c>
      <c r="M130" s="240">
        <f t="shared" si="93"/>
        <v>1.9990141734643407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1.1819864827745696</v>
      </c>
      <c r="J131" s="237">
        <f>IF(SUMPRODUCT($B124:$B125,$H124:$H125)&gt;(J119-J128),SUMPRODUCT($B124:$B125,$H124:$H125)+J128-J119,0)</f>
        <v>0.70254761208930039</v>
      </c>
      <c r="K131" s="29"/>
      <c r="L131" s="29">
        <f>IF(I131&lt;SUM(L126:L127),0,I131-(SUM(L126:L127)))</f>
        <v>1.1819864827745696</v>
      </c>
      <c r="M131" s="237">
        <f>IF(I131&lt;SUM(M126:M127),0,I131-(SUM(M126:M127)))</f>
        <v>1.1819864827745696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1.3037048567870486E-2</v>
      </c>
      <c r="C6" s="102">
        <f>IF([1]Summ!$I1044="",0,[1]Summ!$I1044)</f>
        <v>0</v>
      </c>
      <c r="D6" s="24">
        <f t="shared" ref="D6:D29" si="0">(B6+C6)</f>
        <v>1.3037048567870486E-2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6.5185242839352429E-3</v>
      </c>
      <c r="J6" s="24">
        <f t="shared" ref="J6:J13" si="3">IF(I$32&lt;=1+I$131,I6,B6*H6+J$33*(I6-B6*H6))</f>
        <v>6.5185242839352429E-3</v>
      </c>
      <c r="K6" s="22">
        <f t="shared" ref="K6:K31" si="4">B6</f>
        <v>1.3037048567870486E-2</v>
      </c>
      <c r="L6" s="22">
        <f t="shared" ref="L6:L29" si="5">IF(K6="","",K6*H6)</f>
        <v>6.5185242839352429E-3</v>
      </c>
      <c r="M6" s="224">
        <f t="shared" ref="M6:M31" si="6">J6</f>
        <v>6.5185242839352429E-3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2.6074097135740971E-2</v>
      </c>
      <c r="Z6" s="156">
        <f>Poor!Z6</f>
        <v>0.17</v>
      </c>
      <c r="AA6" s="121">
        <f>$M6*Z6*4</f>
        <v>4.4325965130759658E-3</v>
      </c>
      <c r="AB6" s="156">
        <f>Poor!AB6</f>
        <v>0.17</v>
      </c>
      <c r="AC6" s="121">
        <f t="shared" ref="AC6:AC29" si="7">$M6*AB6*4</f>
        <v>4.4325965130759658E-3</v>
      </c>
      <c r="AD6" s="156">
        <f>Poor!AD6</f>
        <v>0.33</v>
      </c>
      <c r="AE6" s="121">
        <f t="shared" ref="AE6:AE29" si="8">$M6*AD6*4</f>
        <v>8.6044520547945216E-3</v>
      </c>
      <c r="AF6" s="122">
        <f>1-SUM(Z6,AB6,AD6)</f>
        <v>0.32999999999999996</v>
      </c>
      <c r="AG6" s="121">
        <f>$M6*AF6*4</f>
        <v>8.6044520547945199E-3</v>
      </c>
      <c r="AH6" s="123">
        <f>SUM(Z6,AB6,AD6,AF6)</f>
        <v>1</v>
      </c>
      <c r="AI6" s="183">
        <f>SUM(AA6,AC6,AE6,AG6)/4</f>
        <v>6.5185242839352429E-3</v>
      </c>
      <c r="AJ6" s="120">
        <f>(AA6+AC6)/2</f>
        <v>4.4325965130759658E-3</v>
      </c>
      <c r="AK6" s="119">
        <f>(AE6+AG6)/2</f>
        <v>8.6044520547945216E-3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6097.8637282341842</v>
      </c>
      <c r="S7" s="222">
        <f>IF($B$81=0,0,(SUMIF($N$6:$N$28,$U7,L$6:L$28)+SUMIF($N$91:$N$118,$U7,L$91:L$118))*$I$83*Poor!$B$81/$B$81)</f>
        <v>6958.9422643987837</v>
      </c>
      <c r="T7" s="222">
        <f>IF($B$81=0,0,(SUMIF($N$6:$N$28,$U7,M$6:M$28)+SUMIF($N$91:$N$118,$U7,M$91:M$118))*$I$83*Poor!$B$81/$B$81)</f>
        <v>7431.6791744304073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4.6436721668742222E-2</v>
      </c>
      <c r="C8" s="102">
        <f>IF([1]Summ!$I1046="",0,[1]Summ!$I1046)</f>
        <v>0</v>
      </c>
      <c r="D8" s="24">
        <f t="shared" si="0"/>
        <v>4.6436721668742222E-2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2.3218360834371111E-2</v>
      </c>
      <c r="J8" s="24">
        <f t="shared" si="3"/>
        <v>2.3218360834371111E-2</v>
      </c>
      <c r="K8" s="22">
        <f t="shared" si="4"/>
        <v>4.6436721668742222E-2</v>
      </c>
      <c r="L8" s="22">
        <f t="shared" si="5"/>
        <v>2.3218360834371111E-2</v>
      </c>
      <c r="M8" s="224">
        <f t="shared" si="6"/>
        <v>2.3218360834371111E-2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5364.203299375361</v>
      </c>
      <c r="S8" s="222">
        <f>IF($B$81=0,0,(SUMIF($N$6:$N$28,$U8,L$6:L$28)+SUMIF($N$91:$N$118,$U8,L$91:L$118))*$I$83*Poor!$B$81/$B$81)</f>
        <v>5132.3999999999996</v>
      </c>
      <c r="T8" s="222">
        <f>IF($B$81=0,0,(SUMIF($N$6:$N$28,$U8,M$6:M$28)+SUMIF($N$91:$N$118,$U8,M$91:M$118))*$I$83*Poor!$B$81/$B$81)</f>
        <v>5092.0670174992647</v>
      </c>
      <c r="U8" s="223">
        <v>2</v>
      </c>
      <c r="V8" s="56"/>
      <c r="W8" s="115"/>
      <c r="X8" s="118">
        <f>Poor!X8</f>
        <v>1</v>
      </c>
      <c r="Y8" s="183">
        <f t="shared" si="9"/>
        <v>9.2873443337484443E-2</v>
      </c>
      <c r="Z8" s="125">
        <f>IF($Y8=0,0,AA8/$Y8)</f>
        <v>0.54788252015635786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5.0883736191339679E-2</v>
      </c>
      <c r="AB8" s="125">
        <f>IF($Y8=0,0,AC8/$Y8)</f>
        <v>0.45211747984364214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4.1989707146144764E-2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2.3218360834371111E-2</v>
      </c>
      <c r="AJ8" s="120">
        <f t="shared" si="14"/>
        <v>4.6436721668742222E-2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4.2500000000000003E-2</v>
      </c>
      <c r="C9" s="102">
        <f>IF([1]Summ!$I1047="",0,[1]Summ!$I1047)</f>
        <v>0</v>
      </c>
      <c r="D9" s="24">
        <f t="shared" si="0"/>
        <v>4.2500000000000003E-2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4.2500000000000003E-2</v>
      </c>
      <c r="J9" s="24">
        <f t="shared" si="3"/>
        <v>4.2500000000000003E-2</v>
      </c>
      <c r="K9" s="22">
        <f t="shared" si="4"/>
        <v>4.2500000000000003E-2</v>
      </c>
      <c r="L9" s="22">
        <f t="shared" si="5"/>
        <v>4.2500000000000003E-2</v>
      </c>
      <c r="M9" s="224">
        <f t="shared" si="6"/>
        <v>4.2500000000000003E-2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745.16676507581951</v>
      </c>
      <c r="S9" s="222">
        <f>IF($B$81=0,0,(SUMIF($N$6:$N$28,$U9,L$6:L$28)+SUMIF($N$91:$N$118,$U9,L$91:L$118))*$I$83*Poor!$B$81/$B$81)</f>
        <v>414.98339683347524</v>
      </c>
      <c r="T9" s="222">
        <f>IF($B$81=0,0,(SUMIF($N$6:$N$28,$U9,M$6:M$28)+SUMIF($N$91:$N$118,$U9,M$91:M$118))*$I$83*Poor!$B$81/$B$81)</f>
        <v>414.98339683347524</v>
      </c>
      <c r="U9" s="223">
        <v>3</v>
      </c>
      <c r="V9" s="56"/>
      <c r="W9" s="115"/>
      <c r="X9" s="118">
        <f>Poor!X9</f>
        <v>1</v>
      </c>
      <c r="Y9" s="183">
        <f t="shared" si="9"/>
        <v>0.17</v>
      </c>
      <c r="Z9" s="125">
        <f>IF($Y9=0,0,AA9/$Y9)</f>
        <v>0.54788252015635774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9.3140028426580826E-2</v>
      </c>
      <c r="AB9" s="125">
        <f>IF($Y9=0,0,AC9/$Y9)</f>
        <v>0.45211747984364226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7.6859971573419186E-2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4.2500000000000003E-2</v>
      </c>
      <c r="AJ9" s="120">
        <f t="shared" si="14"/>
        <v>8.5000000000000006E-2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0.13307786815068492</v>
      </c>
      <c r="C10" s="102">
        <f>IF([1]Summ!$I1048="",0,[1]Summ!$I1048)</f>
        <v>7.3932148972602724E-2</v>
      </c>
      <c r="D10" s="24">
        <f t="shared" si="0"/>
        <v>0.20701001712328765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0.22564091866438354</v>
      </c>
      <c r="J10" s="24">
        <f t="shared" si="3"/>
        <v>0.16748603872124807</v>
      </c>
      <c r="K10" s="22">
        <f t="shared" si="4"/>
        <v>0.13307786815068492</v>
      </c>
      <c r="L10" s="22">
        <f t="shared" si="5"/>
        <v>0.14505487628424657</v>
      </c>
      <c r="M10" s="224">
        <f t="shared" si="6"/>
        <v>0.16748603872124807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0.66994415488499226</v>
      </c>
      <c r="Z10" s="125">
        <f>IF($Y10=0,0,AA10/$Y10)</f>
        <v>0.54788252015635774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0.36705069194241086</v>
      </c>
      <c r="AB10" s="125">
        <f>IF($Y10=0,0,AC10/$Y10)</f>
        <v>0.4521174798436422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0.3028934629425814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0.16748603872124807</v>
      </c>
      <c r="AJ10" s="120">
        <f t="shared" si="14"/>
        <v>0.33497207744249613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5184.9520982639497</v>
      </c>
      <c r="S11" s="222">
        <f>IF($B$81=0,0,(SUMIF($N$6:$N$28,$U11,L$6:L$28)+SUMIF($N$91:$N$118,$U11,L$91:L$118))*$I$83*Poor!$B$81/$B$81)</f>
        <v>3304</v>
      </c>
      <c r="T11" s="222">
        <f>IF($B$81=0,0,(SUMIF($N$6:$N$28,$U11,M$6:M$28)+SUMIF($N$91:$N$118,$U11,M$91:M$118))*$I$83*Poor!$B$81/$B$81)</f>
        <v>3566.7628397563381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f>IF([1]Summ!$H1050="",0,[1]Summ!$H1050)</f>
        <v>0.10770875389165629</v>
      </c>
      <c r="C12" s="102">
        <f>IF([1]Summ!$I1050="",0,[1]Summ!$I1050)</f>
        <v>-4.0045562344333749E-2</v>
      </c>
      <c r="D12" s="24">
        <f t="shared" si="0"/>
        <v>6.7663191547322546E-2</v>
      </c>
      <c r="E12" s="75">
        <f>Poor!E12</f>
        <v>1</v>
      </c>
      <c r="H12" s="24">
        <f t="shared" si="1"/>
        <v>1</v>
      </c>
      <c r="I12" s="22">
        <f t="shared" si="2"/>
        <v>6.7663191547322546E-2</v>
      </c>
      <c r="J12" s="24">
        <f t="shared" si="3"/>
        <v>9.6562052958142935E-2</v>
      </c>
      <c r="K12" s="22">
        <f t="shared" si="4"/>
        <v>0.10770875389165629</v>
      </c>
      <c r="L12" s="22">
        <f t="shared" si="5"/>
        <v>0.10770875389165629</v>
      </c>
      <c r="M12" s="224">
        <f t="shared" si="6"/>
        <v>9.6562052958142935E-2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0.38624821183257174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0.25878630192782309</v>
      </c>
      <c r="AF12" s="122">
        <f>1-SUM(Z12,AB12,AD12)</f>
        <v>0.32999999999999996</v>
      </c>
      <c r="AG12" s="121">
        <f>$M12*AF12*4</f>
        <v>0.12746190990474865</v>
      </c>
      <c r="AH12" s="123">
        <f t="shared" si="12"/>
        <v>1</v>
      </c>
      <c r="AI12" s="183">
        <f t="shared" si="13"/>
        <v>9.6562052958142935E-2</v>
      </c>
      <c r="AJ12" s="120">
        <f t="shared" si="14"/>
        <v>0</v>
      </c>
      <c r="AK12" s="119">
        <f t="shared" si="15"/>
        <v>0.19312410591628587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1114.0239936841401</v>
      </c>
      <c r="S13" s="222">
        <f>IF($B$81=0,0,(SUMIF($N$6:$N$28,$U13,L$6:L$28)+SUMIF($N$91:$N$118,$U13,L$91:L$118))*$I$83*Poor!$B$81/$B$81)</f>
        <v>834.72000000000014</v>
      </c>
      <c r="T13" s="222">
        <f>IF($B$81=0,0,(SUMIF($N$6:$N$28,$U13,M$6:M$28)+SUMIF($N$91:$N$118,$U13,M$91:M$118))*$I$83*Poor!$B$81/$B$81)</f>
        <v>834.72000000000014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101">
        <f>IF([1]Summ!$H1052="",0,[1]Summ!$H1052)</f>
        <v>2.2485149439601493E-3</v>
      </c>
      <c r="C14" s="102">
        <f>IF([1]Summ!$I1052="",0,[1]Summ!$I1052)</f>
        <v>1.1242574719800748E-3</v>
      </c>
      <c r="D14" s="24">
        <f t="shared" si="0"/>
        <v>3.3727724159402241E-3</v>
      </c>
      <c r="E14" s="75">
        <f>Poor!E14</f>
        <v>1</v>
      </c>
      <c r="F14" s="22"/>
      <c r="H14" s="24">
        <f t="shared" si="1"/>
        <v>1</v>
      </c>
      <c r="I14" s="22">
        <f t="shared" si="2"/>
        <v>3.3727724159402241E-3</v>
      </c>
      <c r="J14" s="24">
        <f>IF(I$32&lt;=1+I131,I14,B14*H14+J$33*(I14-B14*H14))</f>
        <v>2.5614525350139269E-3</v>
      </c>
      <c r="K14" s="22">
        <f t="shared" si="4"/>
        <v>2.2485149439601493E-3</v>
      </c>
      <c r="L14" s="22">
        <f t="shared" si="5"/>
        <v>2.2485149439601493E-3</v>
      </c>
      <c r="M14" s="225">
        <f t="shared" si="6"/>
        <v>2.5614525350139269E-3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1.0245810140055708E-2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1.0245810140055708E-2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2.5614525350139269E-3</v>
      </c>
      <c r="AJ14" s="120">
        <f t="shared" si="14"/>
        <v>5.1229050700278538E-3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549.60492241597865</v>
      </c>
      <c r="S15" s="222">
        <f>IF($B$81=0,0,(SUMIF($N$6:$N$28,$U15,L$6:L$28)+SUMIF($N$91:$N$118,$U15,L$91:L$118))*$I$83*Poor!$B$81/$B$81)</f>
        <v>437.78</v>
      </c>
      <c r="T15" s="222">
        <f>IF($B$81=0,0,(SUMIF($N$6:$N$28,$U15,M$6:M$28)+SUMIF($N$91:$N$118,$U15,M$91:M$118))*$I$83*Poor!$B$81/$B$81)</f>
        <v>437.78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101">
        <f>IF([1]Summ!$H1054="",0,[1]Summ!$H1054)</f>
        <v>6.125856164383562E-2</v>
      </c>
      <c r="C16" s="102">
        <f>IF([1]Summ!$I1054="",0,[1]Summ!$I1054)</f>
        <v>9.281600249065998E-3</v>
      </c>
      <c r="D16" s="24">
        <f t="shared" si="0"/>
        <v>7.0540161892901618E-2</v>
      </c>
      <c r="E16" s="75">
        <f>Poor!E16</f>
        <v>1</v>
      </c>
      <c r="F16" s="22"/>
      <c r="H16" s="24">
        <f t="shared" si="1"/>
        <v>1</v>
      </c>
      <c r="I16" s="22">
        <f t="shared" si="2"/>
        <v>7.0540161892901618E-2</v>
      </c>
      <c r="J16" s="24">
        <f>IF(I$32&lt;=1+I131,I16,B16*H16+J$33*(I16-B16*H16))</f>
        <v>6.384209939693701E-2</v>
      </c>
      <c r="K16" s="22">
        <f t="shared" si="4"/>
        <v>6.125856164383562E-2</v>
      </c>
      <c r="L16" s="22">
        <f t="shared" si="5"/>
        <v>6.125856164383562E-2</v>
      </c>
      <c r="M16" s="224">
        <f t="shared" si="6"/>
        <v>6.384209939693701E-2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635.52698575863838</v>
      </c>
      <c r="S16" s="222">
        <f>IF($B$81=0,0,(SUMIF($N$6:$N$28,$U16,L$6:L$28)+SUMIF($N$91:$N$118,$U16,L$91:L$118))*$I$83*Poor!$B$81/$B$81)</f>
        <v>343.2</v>
      </c>
      <c r="T16" s="222">
        <f>IF($B$81=0,0,(SUMIF($N$6:$N$28,$U16,M$6:M$28)+SUMIF($N$91:$N$118,$U16,M$91:M$118))*$I$83*Poor!$B$81/$B$81)</f>
        <v>362.3059759755032</v>
      </c>
      <c r="U16" s="223">
        <v>10</v>
      </c>
      <c r="V16" s="56"/>
      <c r="W16" s="110"/>
      <c r="X16" s="118"/>
      <c r="Y16" s="183">
        <f t="shared" si="9"/>
        <v>0.25536839758774804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0.25536839758774804</v>
      </c>
      <c r="AH16" s="123">
        <f t="shared" si="12"/>
        <v>1</v>
      </c>
      <c r="AI16" s="183">
        <f t="shared" si="13"/>
        <v>6.384209939693701E-2</v>
      </c>
      <c r="AJ16" s="120">
        <f t="shared" si="14"/>
        <v>0</v>
      </c>
      <c r="AK16" s="119">
        <f t="shared" si="15"/>
        <v>0.12768419879387402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9.4339866127023678E-2</v>
      </c>
      <c r="C17" s="102">
        <f>IF([1]Summ!$I1055="",0,[1]Summ!$I1055)</f>
        <v>4.7169933063511818E-2</v>
      </c>
      <c r="D17" s="24">
        <f t="shared" si="0"/>
        <v>0.1415097991905355</v>
      </c>
      <c r="E17" s="75">
        <f>Poor!E17</f>
        <v>1</v>
      </c>
      <c r="F17" s="22"/>
      <c r="H17" s="24">
        <f t="shared" si="1"/>
        <v>1</v>
      </c>
      <c r="I17" s="22">
        <f t="shared" si="2"/>
        <v>0.1415097991905355</v>
      </c>
      <c r="J17" s="24">
        <f t="shared" ref="J17:J25" si="17">IF(I$32&lt;=1+I131,I17,B17*H17+J$33*(I17-B17*H17))</f>
        <v>0.1074696389690626</v>
      </c>
      <c r="K17" s="22">
        <f t="shared" si="4"/>
        <v>9.4339866127023678E-2</v>
      </c>
      <c r="L17" s="22">
        <f t="shared" si="5"/>
        <v>9.4339866127023678E-2</v>
      </c>
      <c r="M17" s="225">
        <f t="shared" si="6"/>
        <v>0.1074696389690626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3199.8561520714661</v>
      </c>
      <c r="S17" s="222">
        <f>IF($B$81=0,0,(SUMIF($N$6:$N$28,$U17,L$6:L$28)+SUMIF($N$91:$N$118,$U17,L$91:L$118))*$I$83*Poor!$B$81/$B$81)</f>
        <v>2039.04</v>
      </c>
      <c r="T17" s="222">
        <f>IF($B$81=0,0,(SUMIF($N$6:$N$28,$U17,M$6:M$28)+SUMIF($N$91:$N$118,$U17,M$91:M$118))*$I$83*Poor!$B$81/$B$81)</f>
        <v>2039.04</v>
      </c>
      <c r="U17" s="223">
        <v>11</v>
      </c>
      <c r="V17" s="56"/>
      <c r="W17" s="110"/>
      <c r="X17" s="118"/>
      <c r="Y17" s="183">
        <f t="shared" si="9"/>
        <v>0.4298785558762504</v>
      </c>
      <c r="Z17" s="156">
        <f>Poor!Z17</f>
        <v>0.29409999999999997</v>
      </c>
      <c r="AA17" s="121">
        <f t="shared" si="16"/>
        <v>0.12642728328320524</v>
      </c>
      <c r="AB17" s="156">
        <f>Poor!AB17</f>
        <v>0.17649999999999999</v>
      </c>
      <c r="AC17" s="121">
        <f t="shared" si="7"/>
        <v>7.5873565112158189E-2</v>
      </c>
      <c r="AD17" s="156">
        <f>Poor!AD17</f>
        <v>0.23530000000000001</v>
      </c>
      <c r="AE17" s="121">
        <f t="shared" si="8"/>
        <v>0.10115042419768172</v>
      </c>
      <c r="AF17" s="122">
        <f t="shared" si="10"/>
        <v>0.29410000000000003</v>
      </c>
      <c r="AG17" s="121">
        <f t="shared" si="11"/>
        <v>0.12642728328320527</v>
      </c>
      <c r="AH17" s="123">
        <f t="shared" si="12"/>
        <v>1</v>
      </c>
      <c r="AI17" s="183">
        <f t="shared" si="13"/>
        <v>0.10746963896906261</v>
      </c>
      <c r="AJ17" s="120">
        <f t="shared" si="14"/>
        <v>0.10115042419768172</v>
      </c>
      <c r="AK17" s="119">
        <f t="shared" si="15"/>
        <v>0.11378885374044349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101">
        <f>IF([1]Summ!$H1056="",0,[1]Summ!$H1056)</f>
        <v>2.4561799501867997E-2</v>
      </c>
      <c r="C18" s="102">
        <f>IF([1]Summ!$I1056="",0,[1]Summ!$I1056)</f>
        <v>2.358421544209215E-2</v>
      </c>
      <c r="D18" s="24">
        <f t="shared" ref="D18:D25" si="18">(B18+C18)</f>
        <v>4.8146014943960147E-2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4.8146014943960147E-2</v>
      </c>
      <c r="J18" s="24">
        <f t="shared" si="17"/>
        <v>3.1126476856729663E-2</v>
      </c>
      <c r="K18" s="22">
        <f t="shared" ref="K18:K25" si="21">B18</f>
        <v>2.4561799501867997E-2</v>
      </c>
      <c r="L18" s="22">
        <f t="shared" ref="L18:L25" si="22">IF(K18="","",K18*H18)</f>
        <v>2.4561799501867997E-2</v>
      </c>
      <c r="M18" s="225">
        <f t="shared" ref="M18:M25" si="23">J18</f>
        <v>3.1126476856729663E-2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101">
        <f>IF([1]Summ!$H1057="",0,[1]Summ!$H1057)</f>
        <v>2.0991594022415939E-2</v>
      </c>
      <c r="C19" s="102">
        <f>IF([1]Summ!$I1057="",0,[1]Summ!$I1057)</f>
        <v>0</v>
      </c>
      <c r="D19" s="24">
        <f t="shared" si="18"/>
        <v>2.0991594022415939E-2</v>
      </c>
      <c r="E19" s="75">
        <f>Poor!E19</f>
        <v>1</v>
      </c>
      <c r="F19" s="22"/>
      <c r="H19" s="24">
        <f t="shared" si="19"/>
        <v>1</v>
      </c>
      <c r="I19" s="22">
        <f t="shared" si="20"/>
        <v>2.0991594022415939E-2</v>
      </c>
      <c r="J19" s="24">
        <f t="shared" si="17"/>
        <v>2.0991594022415939E-2</v>
      </c>
      <c r="K19" s="22">
        <f t="shared" si="21"/>
        <v>2.0991594022415939E-2</v>
      </c>
      <c r="L19" s="22">
        <f t="shared" si="22"/>
        <v>2.0991594022415939E-2</v>
      </c>
      <c r="M19" s="225">
        <f t="shared" si="23"/>
        <v>2.0991594022415939E-2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510.75297941960423</v>
      </c>
      <c r="S19" s="222">
        <f>IF($B$81=0,0,(SUMIF($N$6:$N$28,$U19,L$6:L$28)+SUMIF($N$91:$N$118,$U19,L$91:L$118))*$I$83*Poor!$B$81/$B$81)</f>
        <v>568.87670324588203</v>
      </c>
      <c r="T19" s="222">
        <f>IF($B$81=0,0,(SUMIF($N$6:$N$28,$U19,M$6:M$28)+SUMIF($N$91:$N$118,$U19,M$91:M$118))*$I$83*Poor!$B$81/$B$81)</f>
        <v>568.87670324588203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25983.600000000002</v>
      </c>
      <c r="T20" s="222">
        <f>IF($B$81=0,0,(SUMIF($N$6:$N$28,$U20,M$6:M$28)+SUMIF($N$91:$N$118,$U20,M$91:M$118))*$I$83*Poor!$B$81/$B$81)</f>
        <v>25983.600000000002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2370.2638163492343</v>
      </c>
      <c r="S22" s="222">
        <f>IF($B$81=0,0,(SUMIF($N$6:$N$28,$U22,L$6:L$28)+SUMIF($N$91:$N$118,$U22,L$91:L$118))*$I$83*Poor!$B$81/$B$81)</f>
        <v>1600</v>
      </c>
      <c r="T22" s="222">
        <f>IF($B$81=0,0,(SUMIF($N$6:$N$28,$U22,M$6:M$28)+SUMIF($N$91:$N$118,$U22,M$91:M$118))*$I$83*Poor!$B$81/$B$81)</f>
        <v>1600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101">
        <f>IF([1]Summ!$H1061="",0,[1]Summ!$H1061)</f>
        <v>1.7694834993773351E-2</v>
      </c>
      <c r="C23" s="102">
        <f>IF([1]Summ!$I1061="",0,[1]Summ!$I1061)</f>
        <v>0</v>
      </c>
      <c r="D23" s="24">
        <f t="shared" si="18"/>
        <v>1.7694834993773351E-2</v>
      </c>
      <c r="E23" s="75">
        <f>Poor!E23</f>
        <v>1</v>
      </c>
      <c r="F23" s="22"/>
      <c r="H23" s="24">
        <f t="shared" si="19"/>
        <v>1</v>
      </c>
      <c r="I23" s="22">
        <f t="shared" si="20"/>
        <v>1.7694834993773351E-2</v>
      </c>
      <c r="J23" s="24">
        <f t="shared" si="17"/>
        <v>1.7694834993773351E-2</v>
      </c>
      <c r="K23" s="22">
        <f t="shared" si="21"/>
        <v>1.7694834993773351E-2</v>
      </c>
      <c r="L23" s="22">
        <f t="shared" si="22"/>
        <v>1.7694834993773351E-2</v>
      </c>
      <c r="M23" s="225">
        <f t="shared" si="23"/>
        <v>1.7694834993773351E-2</v>
      </c>
      <c r="N23" s="229">
        <v>13</v>
      </c>
      <c r="O23" s="2"/>
      <c r="P23" s="22"/>
      <c r="Q23" s="171" t="s">
        <v>100</v>
      </c>
      <c r="R23" s="179">
        <f>SUM(R7:R22)</f>
        <v>59884.557961247614</v>
      </c>
      <c r="S23" s="179">
        <f>SUM(S7:S22)</f>
        <v>49278.872565700382</v>
      </c>
      <c r="T23" s="179">
        <f>SUM(T7:T22)</f>
        <v>49993.14530896311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101">
        <f>IF([1]Summ!$H1062="",0,[1]Summ!$H1062)</f>
        <v>2.3069738480697384E-2</v>
      </c>
      <c r="C24" s="102">
        <f>IF([1]Summ!$I1062="",0,[1]Summ!$I1062)</f>
        <v>0</v>
      </c>
      <c r="D24" s="24">
        <f t="shared" si="18"/>
        <v>2.3069738480697384E-2</v>
      </c>
      <c r="E24" s="75">
        <f>Poor!E24</f>
        <v>1</v>
      </c>
      <c r="F24" s="22"/>
      <c r="H24" s="24">
        <f t="shared" si="19"/>
        <v>1</v>
      </c>
      <c r="I24" s="22">
        <f t="shared" si="20"/>
        <v>2.3069738480697384E-2</v>
      </c>
      <c r="J24" s="24">
        <f t="shared" si="17"/>
        <v>2.3069738480697384E-2</v>
      </c>
      <c r="K24" s="22">
        <f t="shared" si="21"/>
        <v>2.3069738480697384E-2</v>
      </c>
      <c r="L24" s="22">
        <f t="shared" si="22"/>
        <v>2.3069738480697384E-2</v>
      </c>
      <c r="M24" s="225">
        <f t="shared" si="23"/>
        <v>2.3069738480697384E-2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3.314115504358655E-2</v>
      </c>
      <c r="C27" s="102">
        <f>IF([1]Summ!$I1065="",0,[1]Summ!$I1065)</f>
        <v>-3.314115504358655E-2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2.3916299098609976E-2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2.3916299098609976E-2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9.5665196394439905E-2</v>
      </c>
      <c r="Z27" s="156">
        <f>Poor!Z27</f>
        <v>0.25</v>
      </c>
      <c r="AA27" s="121">
        <f t="shared" si="16"/>
        <v>2.3916299098609976E-2</v>
      </c>
      <c r="AB27" s="156">
        <f>Poor!AB27</f>
        <v>0.25</v>
      </c>
      <c r="AC27" s="121">
        <f t="shared" si="7"/>
        <v>2.3916299098609976E-2</v>
      </c>
      <c r="AD27" s="156">
        <f>Poor!AD27</f>
        <v>0.25</v>
      </c>
      <c r="AE27" s="121">
        <f t="shared" si="8"/>
        <v>2.3916299098609976E-2</v>
      </c>
      <c r="AF27" s="122">
        <f t="shared" si="10"/>
        <v>0.25</v>
      </c>
      <c r="AG27" s="121">
        <f t="shared" si="11"/>
        <v>2.3916299098609976E-2</v>
      </c>
      <c r="AH27" s="123">
        <f t="shared" si="12"/>
        <v>1</v>
      </c>
      <c r="AI27" s="183">
        <f t="shared" si="13"/>
        <v>2.3916299098609976E-2</v>
      </c>
      <c r="AJ27" s="120">
        <f t="shared" si="14"/>
        <v>2.3916299098609976E-2</v>
      </c>
      <c r="AK27" s="119">
        <f t="shared" si="15"/>
        <v>2.3916299098609976E-2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0.21142394971980072</v>
      </c>
      <c r="C29" s="102">
        <f>IF([1]Summ!$I1067="",0,[1]Summ!$I1067)</f>
        <v>1.3212824222196339E-2</v>
      </c>
      <c r="D29" s="24">
        <f t="shared" si="0"/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0.21510174549715838</v>
      </c>
      <c r="K29" s="22">
        <f t="shared" si="4"/>
        <v>0.21142394971980072</v>
      </c>
      <c r="L29" s="22">
        <f t="shared" si="5"/>
        <v>0.21142394971980072</v>
      </c>
      <c r="M29" s="224">
        <f t="shared" si="6"/>
        <v>0.21510174549715838</v>
      </c>
      <c r="N29" s="229"/>
      <c r="P29" s="22"/>
      <c r="V29" s="56"/>
      <c r="W29" s="110"/>
      <c r="X29" s="118"/>
      <c r="Y29" s="183">
        <f t="shared" si="9"/>
        <v>0.86040698198863352</v>
      </c>
      <c r="Z29" s="156">
        <f>Poor!Z29</f>
        <v>0.25</v>
      </c>
      <c r="AA29" s="121">
        <f t="shared" si="16"/>
        <v>0.21510174549715838</v>
      </c>
      <c r="AB29" s="156">
        <f>Poor!AB29</f>
        <v>0.25</v>
      </c>
      <c r="AC29" s="121">
        <f t="shared" si="7"/>
        <v>0.21510174549715838</v>
      </c>
      <c r="AD29" s="156">
        <f>Poor!AD29</f>
        <v>0.25</v>
      </c>
      <c r="AE29" s="121">
        <f t="shared" si="8"/>
        <v>0.21510174549715838</v>
      </c>
      <c r="AF29" s="122">
        <f t="shared" si="10"/>
        <v>0.25</v>
      </c>
      <c r="AG29" s="121">
        <f t="shared" si="11"/>
        <v>0.21510174549715838</v>
      </c>
      <c r="AH29" s="123">
        <f t="shared" si="12"/>
        <v>1</v>
      </c>
      <c r="AI29" s="183">
        <f t="shared" si="13"/>
        <v>0.21510174549715838</v>
      </c>
      <c r="AJ29" s="120">
        <f t="shared" si="14"/>
        <v>0.21510174549715838</v>
      </c>
      <c r="AK29" s="119">
        <f t="shared" si="15"/>
        <v>0.21510174549715838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0.56457277397260275</v>
      </c>
      <c r="C30" s="103"/>
      <c r="D30" s="24">
        <f>(D119-B124)</f>
        <v>2.5895007138704687</v>
      </c>
      <c r="E30" s="75">
        <f>Poor!E30</f>
        <v>1</v>
      </c>
      <c r="H30" s="96">
        <f>(E30*F$7/F$9)</f>
        <v>1</v>
      </c>
      <c r="I30" s="29">
        <f>IF(E30&gt;=1,I119-I124,MIN(I119-I124,B30*H30))</f>
        <v>1.5429187732399208</v>
      </c>
      <c r="J30" s="231">
        <f>IF(I$32&lt;=1,I30,1-SUM(J6:J29))</f>
        <v>3.8893524304285387E-2</v>
      </c>
      <c r="K30" s="22">
        <f t="shared" si="4"/>
        <v>0.56457277397260275</v>
      </c>
      <c r="L30" s="22">
        <f>IF(L124=L119,0,IF(K30="",0,(L119-L124)/(B119-B124)*K30))</f>
        <v>0.33872443866303292</v>
      </c>
      <c r="M30" s="175">
        <f t="shared" si="6"/>
        <v>3.8893524304285387E-2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0.15557409721714155</v>
      </c>
      <c r="Z30" s="122">
        <f>IF($Y30=0,0,AA30/($Y$30))</f>
        <v>-0.13298529975214213</v>
      </c>
      <c r="AA30" s="187">
        <f>IF(AA79*4/$I$84+SUM(AA6:AA29)&lt;1,AA79*4/$I$84,1-SUM(AA6:AA29))</f>
        <v>-2.0689067952090471E-2</v>
      </c>
      <c r="AB30" s="122">
        <f>IF($Y30=0,0,AC30/($Y$30))</f>
        <v>-3.2741522525413735</v>
      </c>
      <c r="AC30" s="187">
        <f>IF(AC79*4/$I$84+SUM(AC6:AC29)&lt;1,AC79*4/$I$84,1-SUM(AC6:AC29))</f>
        <v>-0.50937328084059463</v>
      </c>
      <c r="AD30" s="122">
        <f>IF($Y30=0,0,AE30/($Y$30))</f>
        <v>-3.4456120360355404</v>
      </c>
      <c r="AE30" s="187">
        <f>IF(AE79*4/$I$84+SUM(AE6:AE29)&lt;1,AE79*4/$I$84,1-SUM(AE6:AE29))</f>
        <v>-0.53604798186674618</v>
      </c>
      <c r="AF30" s="122">
        <f>IF($Y30=0,0,AG30/($Y$30))</f>
        <v>-1.3500839442521746</v>
      </c>
      <c r="AG30" s="187">
        <f>IF(AG79*4/$I$84+SUM(AG6:AG29)&lt;1,AG79*4/$I$84,1-SUM(AG6:AG29))</f>
        <v>-0.21003809079438973</v>
      </c>
      <c r="AH30" s="123">
        <f t="shared" si="12"/>
        <v>-8.2028335325812307</v>
      </c>
      <c r="AI30" s="183">
        <f t="shared" si="13"/>
        <v>-0.31903710536345525</v>
      </c>
      <c r="AJ30" s="120">
        <f t="shared" si="14"/>
        <v>-0.26503117439634255</v>
      </c>
      <c r="AK30" s="119">
        <f t="shared" si="15"/>
        <v>-0.37304303633056796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-0.27150258748182265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2.0689067952090467E-2</v>
      </c>
      <c r="AB31" s="131"/>
      <c r="AC31" s="133">
        <f>1-AC32+IF($Y32&lt;0,$Y32/4,0)</f>
        <v>0.63901250376977203</v>
      </c>
      <c r="AD31" s="134"/>
      <c r="AE31" s="133">
        <f>1-AE32+IF($Y32&lt;0,$Y32/4,0)</f>
        <v>0.80944114004305956</v>
      </c>
      <c r="AF31" s="134"/>
      <c r="AG31" s="133">
        <f>1-AG32+IF($Y32&lt;0,$Y32/4,0)</f>
        <v>0.33411038432050577</v>
      </c>
      <c r="AH31" s="123"/>
      <c r="AI31" s="182">
        <f>SUM(AA31,AC31,AE31,AG31)/4</f>
        <v>0.45081327402135696</v>
      </c>
      <c r="AJ31" s="135">
        <f t="shared" si="14"/>
        <v>0.32985078586093125</v>
      </c>
      <c r="AK31" s="136">
        <f t="shared" si="15"/>
        <v>0.57177576218178272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1.5151107997761371</v>
      </c>
      <c r="C32" s="77">
        <f>SUM(C6:C31)</f>
        <v>9.5118262033528814E-2</v>
      </c>
      <c r="D32" s="24">
        <f>SUM(D6:D30)</f>
        <v>3.6351570017075319</v>
      </c>
      <c r="E32" s="2"/>
      <c r="F32" s="2"/>
      <c r="H32" s="17"/>
      <c r="I32" s="22">
        <f>SUM(I6:I30)</f>
        <v>2.5774690774997735</v>
      </c>
      <c r="J32" s="17"/>
      <c r="L32" s="22">
        <f>SUM(L6:L30)</f>
        <v>1.2715025874818227</v>
      </c>
      <c r="M32" s="23"/>
      <c r="N32" s="56"/>
      <c r="O32" s="2"/>
      <c r="P32" s="22"/>
      <c r="Q32" s="234" t="s">
        <v>143</v>
      </c>
      <c r="R32" s="234">
        <f t="shared" si="24"/>
        <v>19179.297727567609</v>
      </c>
      <c r="S32" s="234">
        <f t="shared" si="24"/>
        <v>29784.983123114842</v>
      </c>
      <c r="T32" s="234">
        <f t="shared" si="24"/>
        <v>29070.710379852113</v>
      </c>
      <c r="V32" s="56"/>
      <c r="W32" s="110"/>
      <c r="X32" s="118"/>
      <c r="Y32" s="115">
        <f>SUM(Y6:Y31)</f>
        <v>3.6284694225855345</v>
      </c>
      <c r="Z32" s="137"/>
      <c r="AA32" s="138">
        <f>SUM(AA6:AA30)</f>
        <v>0.97931093204790953</v>
      </c>
      <c r="AB32" s="137"/>
      <c r="AC32" s="139">
        <f>SUM(AC6:AC30)</f>
        <v>0.36098749623022797</v>
      </c>
      <c r="AD32" s="137"/>
      <c r="AE32" s="139">
        <f>SUM(AE6:AE30)</f>
        <v>0.19055885995694044</v>
      </c>
      <c r="AF32" s="137"/>
      <c r="AG32" s="139">
        <f>SUM(AG6:AG30)</f>
        <v>0.66588961567949423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0.27835046584357842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2000</v>
      </c>
      <c r="C37" s="104">
        <f>IF([1]Summ!$I1072="",0,[1]Summ!$I1072)</f>
        <v>0</v>
      </c>
      <c r="D37" s="38">
        <f t="shared" ref="D37:D64" si="25">B37+C37</f>
        <v>2000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1888</v>
      </c>
      <c r="J37" s="38">
        <f>J91*I$83</f>
        <v>1887.9999999999998</v>
      </c>
      <c r="K37" s="40">
        <f>(B37/B$65)</f>
        <v>5.805009723391287E-2</v>
      </c>
      <c r="L37" s="22">
        <f t="shared" ref="L37" si="28">(K37*H37)</f>
        <v>5.4799291788813743E-2</v>
      </c>
      <c r="M37" s="24">
        <f>J37/B$65</f>
        <v>5.4799291788813737E-2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1887.9999999999998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1887.9999999999998</v>
      </c>
      <c r="AJ37" s="148">
        <f>(AA37+AC37)</f>
        <v>1887.9999999999998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1500</v>
      </c>
      <c r="C38" s="104">
        <f>IF([1]Summ!$I1073="",0,[1]Summ!$I1073)</f>
        <v>1000</v>
      </c>
      <c r="D38" s="38">
        <f t="shared" si="25"/>
        <v>2500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2360</v>
      </c>
      <c r="J38" s="38">
        <f t="shared" ref="J38:J64" si="32">J92*I$83</f>
        <v>1678.7628397563381</v>
      </c>
      <c r="K38" s="40">
        <f t="shared" ref="K38:K64" si="33">(B38/B$65)</f>
        <v>4.3537572925434649E-2</v>
      </c>
      <c r="L38" s="22">
        <f t="shared" ref="L38:L64" si="34">(K38*H38)</f>
        <v>4.1099468841610309E-2</v>
      </c>
      <c r="M38" s="24">
        <f t="shared" ref="M38:M64" si="35">J38/B$65</f>
        <v>4.8726173040267558E-2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1678.7628397563381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1678.7628397563381</v>
      </c>
      <c r="AJ38" s="148">
        <f t="shared" ref="AJ38:AJ64" si="38">(AA38+AC38)</f>
        <v>1678.7628397563381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0.54788252015635786</v>
      </c>
      <c r="AA39" s="147">
        <f t="shared" ref="AA39:AA64" si="40">$J39*Z39</f>
        <v>0</v>
      </c>
      <c r="AB39" s="122">
        <f>AB8</f>
        <v>0.45211747984364214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500</v>
      </c>
      <c r="C40" s="104">
        <f>IF([1]Summ!$I1075="",0,[1]Summ!$I1075)</f>
        <v>-500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550.61859456134971</v>
      </c>
      <c r="K40" s="40">
        <f t="shared" si="33"/>
        <v>1.4512524308478218E-2</v>
      </c>
      <c r="L40" s="22">
        <f t="shared" si="34"/>
        <v>2.2146112094737762E-2</v>
      </c>
      <c r="M40" s="24">
        <f t="shared" si="35"/>
        <v>1.5981731476543398E-2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0.54788252015635774</v>
      </c>
      <c r="AA40" s="147">
        <f t="shared" si="40"/>
        <v>301.67430323322407</v>
      </c>
      <c r="AB40" s="122">
        <f>AB9</f>
        <v>0.45211747984364226</v>
      </c>
      <c r="AC40" s="147">
        <f t="shared" si="41"/>
        <v>248.94429132812564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550.61859456134971</v>
      </c>
      <c r="AJ40" s="148">
        <f t="shared" si="38"/>
        <v>550.61859456134971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1250</v>
      </c>
      <c r="C41" s="104">
        <f>IF([1]Summ!$I1076="",0,[1]Summ!$I1076)</f>
        <v>1812.5</v>
      </c>
      <c r="D41" s="38">
        <f t="shared" si="25"/>
        <v>3062.5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4287.5</v>
      </c>
      <c r="J41" s="38">
        <f t="shared" si="32"/>
        <v>2456.3143070780802</v>
      </c>
      <c r="K41" s="40">
        <f t="shared" si="33"/>
        <v>3.6281310771195542E-2</v>
      </c>
      <c r="L41" s="22">
        <f t="shared" si="34"/>
        <v>5.0793835079673756E-2</v>
      </c>
      <c r="M41" s="24">
        <f t="shared" si="35"/>
        <v>7.129464218146693E-2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2456.3143070780802</v>
      </c>
      <c r="AH41" s="123">
        <f t="shared" si="37"/>
        <v>1</v>
      </c>
      <c r="AI41" s="112">
        <f t="shared" si="37"/>
        <v>2456.3143070780802</v>
      </c>
      <c r="AJ41" s="148">
        <f t="shared" si="38"/>
        <v>0</v>
      </c>
      <c r="AK41" s="147">
        <f t="shared" si="39"/>
        <v>2456.3143070780802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Water melon: no. local meas (Bhece)</v>
      </c>
      <c r="B42" s="104">
        <f>IF([1]Summ!$H1077="",0,[1]Summ!$H1077)</f>
        <v>99</v>
      </c>
      <c r="C42" s="104">
        <f>IF([1]Summ!$I1077="",0,[1]Summ!$I1077)</f>
        <v>-99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100.02062543408002</v>
      </c>
      <c r="K42" s="40">
        <f t="shared" si="33"/>
        <v>2.8734798130786868E-3</v>
      </c>
      <c r="L42" s="22">
        <f t="shared" si="34"/>
        <v>4.0228717383101612E-3</v>
      </c>
      <c r="M42" s="24">
        <f t="shared" si="35"/>
        <v>2.9031035159225618E-3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25.005156358520004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50.010312717040009</v>
      </c>
      <c r="AF42" s="122">
        <f t="shared" si="29"/>
        <v>0.25</v>
      </c>
      <c r="AG42" s="147">
        <f t="shared" si="36"/>
        <v>25.005156358520004</v>
      </c>
      <c r="AH42" s="123">
        <f t="shared" si="37"/>
        <v>1</v>
      </c>
      <c r="AI42" s="112">
        <f t="shared" si="37"/>
        <v>100.02062543408002</v>
      </c>
      <c r="AJ42" s="148">
        <f t="shared" si="38"/>
        <v>25.005156358520004</v>
      </c>
      <c r="AK42" s="147">
        <f t="shared" si="39"/>
        <v>75.01546907556002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Sweet poatato: no. local meas</v>
      </c>
      <c r="B43" s="104">
        <f>IF([1]Summ!$H1078="",0,[1]Summ!$H1078)</f>
        <v>250</v>
      </c>
      <c r="C43" s="104">
        <f>IF([1]Summ!$I1078="",0,[1]Summ!$I1078)</f>
        <v>-250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252.57733695474755</v>
      </c>
      <c r="K43" s="40">
        <f t="shared" si="33"/>
        <v>7.2562621542391088E-3</v>
      </c>
      <c r="L43" s="22">
        <f t="shared" si="34"/>
        <v>1.0158767015934751E-2</v>
      </c>
      <c r="M43" s="24">
        <f t="shared" si="35"/>
        <v>7.3310694846529341E-3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63.144334238686888</v>
      </c>
      <c r="AB43" s="156">
        <f>Poor!AB43</f>
        <v>0.25</v>
      </c>
      <c r="AC43" s="147">
        <f t="shared" si="41"/>
        <v>63.144334238686888</v>
      </c>
      <c r="AD43" s="156">
        <f>Poor!AD43</f>
        <v>0.25</v>
      </c>
      <c r="AE43" s="147">
        <f t="shared" si="42"/>
        <v>63.144334238686888</v>
      </c>
      <c r="AF43" s="122">
        <f t="shared" si="29"/>
        <v>0.25</v>
      </c>
      <c r="AG43" s="147">
        <f t="shared" si="36"/>
        <v>63.144334238686888</v>
      </c>
      <c r="AH43" s="123">
        <f t="shared" si="37"/>
        <v>1</v>
      </c>
      <c r="AI43" s="112">
        <f t="shared" si="37"/>
        <v>252.57733695474755</v>
      </c>
      <c r="AJ43" s="148">
        <f t="shared" si="38"/>
        <v>126.28866847737378</v>
      </c>
      <c r="AK43" s="147">
        <f t="shared" si="39"/>
        <v>126.28866847737378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Groundnuts (dry): no. local meas</v>
      </c>
      <c r="B44" s="104">
        <f>IF([1]Summ!$H1079="",0,[1]Summ!$H1079)</f>
        <v>250</v>
      </c>
      <c r="C44" s="104">
        <f>IF([1]Summ!$I1079="",0,[1]Summ!$I1079)</f>
        <v>-250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252.57733695474755</v>
      </c>
      <c r="K44" s="40">
        <f t="shared" si="33"/>
        <v>7.2562621542391088E-3</v>
      </c>
      <c r="L44" s="22">
        <f t="shared" si="34"/>
        <v>1.0158767015934751E-2</v>
      </c>
      <c r="M44" s="24">
        <f t="shared" si="35"/>
        <v>7.3310694846529341E-3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63.144334238686888</v>
      </c>
      <c r="AB44" s="156">
        <f>Poor!AB44</f>
        <v>0.25</v>
      </c>
      <c r="AC44" s="147">
        <f t="shared" si="41"/>
        <v>63.144334238686888</v>
      </c>
      <c r="AD44" s="156">
        <f>Poor!AD44</f>
        <v>0.25</v>
      </c>
      <c r="AE44" s="147">
        <f t="shared" si="42"/>
        <v>63.144334238686888</v>
      </c>
      <c r="AF44" s="122">
        <f t="shared" si="29"/>
        <v>0.25</v>
      </c>
      <c r="AG44" s="147">
        <f t="shared" si="36"/>
        <v>63.144334238686888</v>
      </c>
      <c r="AH44" s="123">
        <f t="shared" si="37"/>
        <v>1</v>
      </c>
      <c r="AI44" s="112">
        <f t="shared" si="37"/>
        <v>252.57733695474755</v>
      </c>
      <c r="AJ44" s="148">
        <f t="shared" si="38"/>
        <v>126.28866847737378</v>
      </c>
      <c r="AK44" s="147">
        <f t="shared" si="39"/>
        <v>126.28866847737378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Irish potato: type</v>
      </c>
      <c r="B45" s="104">
        <f>IF([1]Summ!$H1080="",0,[1]Summ!$H1080)</f>
        <v>772</v>
      </c>
      <c r="C45" s="104">
        <f>IF([1]Summ!$I1080="",0,[1]Summ!$I1080)</f>
        <v>-772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779.95881651626041</v>
      </c>
      <c r="K45" s="40">
        <f t="shared" si="33"/>
        <v>2.2407337532290367E-2</v>
      </c>
      <c r="L45" s="22">
        <f t="shared" si="34"/>
        <v>3.137027254520651E-2</v>
      </c>
      <c r="M45" s="24">
        <f t="shared" si="35"/>
        <v>2.263834256860826E-2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194.9897041290651</v>
      </c>
      <c r="AB45" s="156">
        <f>Poor!AB45</f>
        <v>0.25</v>
      </c>
      <c r="AC45" s="147">
        <f t="shared" si="41"/>
        <v>194.9897041290651</v>
      </c>
      <c r="AD45" s="156">
        <f>Poor!AD45</f>
        <v>0.25</v>
      </c>
      <c r="AE45" s="147">
        <f t="shared" si="42"/>
        <v>194.9897041290651</v>
      </c>
      <c r="AF45" s="122">
        <f t="shared" si="29"/>
        <v>0.25</v>
      </c>
      <c r="AG45" s="147">
        <f t="shared" si="36"/>
        <v>194.9897041290651</v>
      </c>
      <c r="AH45" s="123">
        <f t="shared" si="37"/>
        <v>1</v>
      </c>
      <c r="AI45" s="112">
        <f t="shared" si="37"/>
        <v>779.95881651626041</v>
      </c>
      <c r="AJ45" s="148">
        <f t="shared" si="38"/>
        <v>389.97940825813021</v>
      </c>
      <c r="AK45" s="147">
        <f t="shared" si="39"/>
        <v>389.97940825813021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Yam: type</v>
      </c>
      <c r="B46" s="104">
        <f>IF([1]Summ!$H1081="",0,[1]Summ!$H1081)</f>
        <v>400</v>
      </c>
      <c r="C46" s="104">
        <f>IF([1]Summ!$I1081="",0,[1]Summ!$I1081)</f>
        <v>0</v>
      </c>
      <c r="D46" s="38">
        <f t="shared" si="25"/>
        <v>400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560</v>
      </c>
      <c r="J46" s="38">
        <f t="shared" si="32"/>
        <v>560</v>
      </c>
      <c r="K46" s="40">
        <f t="shared" si="33"/>
        <v>1.1610019446782574E-2</v>
      </c>
      <c r="L46" s="22">
        <f t="shared" si="34"/>
        <v>1.6254027225495602E-2</v>
      </c>
      <c r="M46" s="24">
        <f t="shared" si="35"/>
        <v>1.6254027225495602E-2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140</v>
      </c>
      <c r="AB46" s="156">
        <f>Poor!AB46</f>
        <v>0.25</v>
      </c>
      <c r="AC46" s="147">
        <f t="shared" si="41"/>
        <v>140</v>
      </c>
      <c r="AD46" s="156">
        <f>Poor!AD46</f>
        <v>0.25</v>
      </c>
      <c r="AE46" s="147">
        <f t="shared" si="42"/>
        <v>140</v>
      </c>
      <c r="AF46" s="122">
        <f t="shared" si="29"/>
        <v>0.25</v>
      </c>
      <c r="AG46" s="147">
        <f t="shared" si="36"/>
        <v>140</v>
      </c>
      <c r="AH46" s="123">
        <f t="shared" si="37"/>
        <v>1</v>
      </c>
      <c r="AI46" s="112">
        <f t="shared" si="37"/>
        <v>560</v>
      </c>
      <c r="AJ46" s="148">
        <f t="shared" si="38"/>
        <v>280</v>
      </c>
      <c r="AK46" s="147">
        <f t="shared" si="39"/>
        <v>280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Spinach (cash): kg produced</v>
      </c>
      <c r="B47" s="104">
        <f>IF([1]Summ!$H1082="",0,[1]Summ!$H1082)</f>
        <v>100</v>
      </c>
      <c r="C47" s="104">
        <f>IF([1]Summ!$I1082="",0,[1]Summ!$I1082)</f>
        <v>0</v>
      </c>
      <c r="D47" s="38">
        <f t="shared" si="25"/>
        <v>100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140</v>
      </c>
      <c r="J47" s="38">
        <f t="shared" si="32"/>
        <v>140</v>
      </c>
      <c r="K47" s="40">
        <f t="shared" si="33"/>
        <v>2.9025048616956434E-3</v>
      </c>
      <c r="L47" s="22">
        <f t="shared" si="34"/>
        <v>4.0635068063739005E-3</v>
      </c>
      <c r="M47" s="24">
        <f t="shared" si="35"/>
        <v>4.0635068063739005E-3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35</v>
      </c>
      <c r="AB47" s="156">
        <f>Poor!AB47</f>
        <v>0.25</v>
      </c>
      <c r="AC47" s="147">
        <f t="shared" si="41"/>
        <v>35</v>
      </c>
      <c r="AD47" s="156">
        <f>Poor!AD47</f>
        <v>0.25</v>
      </c>
      <c r="AE47" s="147">
        <f t="shared" si="42"/>
        <v>35</v>
      </c>
      <c r="AF47" s="122">
        <f t="shared" si="29"/>
        <v>0.25</v>
      </c>
      <c r="AG47" s="147">
        <f t="shared" si="36"/>
        <v>35</v>
      </c>
      <c r="AH47" s="123">
        <f t="shared" si="37"/>
        <v>1</v>
      </c>
      <c r="AI47" s="112">
        <f t="shared" si="37"/>
        <v>140</v>
      </c>
      <c r="AJ47" s="148">
        <f t="shared" si="38"/>
        <v>70</v>
      </c>
      <c r="AK47" s="147">
        <f t="shared" si="39"/>
        <v>70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Tomatoes (cash):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Cabbage (cash): kg produced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Agricultural cash income -- see Data2</v>
      </c>
      <c r="B50" s="104">
        <f>IF([1]Summ!$H1085="",0,[1]Summ!$H1085)</f>
        <v>752</v>
      </c>
      <c r="C50" s="104">
        <f>IF([1]Summ!$I1085="",0,[1]Summ!$I1085)</f>
        <v>0</v>
      </c>
      <c r="D50" s="38">
        <f t="shared" si="25"/>
        <v>752</v>
      </c>
      <c r="E50" s="75">
        <f>Poor!E50</f>
        <v>1</v>
      </c>
      <c r="F50" s="75">
        <f>Poor!F50</f>
        <v>1.1100000000000001</v>
      </c>
      <c r="G50" s="75">
        <f>Poor!G50</f>
        <v>1.65</v>
      </c>
      <c r="H50" s="24">
        <f t="shared" si="30"/>
        <v>1.1100000000000001</v>
      </c>
      <c r="I50" s="39">
        <f t="shared" si="31"/>
        <v>834.72</v>
      </c>
      <c r="J50" s="38">
        <f t="shared" si="32"/>
        <v>834.72000000000014</v>
      </c>
      <c r="K50" s="40">
        <f t="shared" si="33"/>
        <v>2.1826836559951237E-2</v>
      </c>
      <c r="L50" s="22">
        <f t="shared" si="34"/>
        <v>2.4227788581545874E-2</v>
      </c>
      <c r="M50" s="24">
        <f t="shared" si="35"/>
        <v>2.4227788581545878E-2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208.68000000000004</v>
      </c>
      <c r="AB50" s="156">
        <f>Poor!AB55</f>
        <v>0.25</v>
      </c>
      <c r="AC50" s="147">
        <f t="shared" si="41"/>
        <v>208.68000000000004</v>
      </c>
      <c r="AD50" s="156">
        <f>Poor!AD55</f>
        <v>0.25</v>
      </c>
      <c r="AE50" s="147">
        <f t="shared" si="42"/>
        <v>208.68000000000004</v>
      </c>
      <c r="AF50" s="122">
        <f t="shared" si="29"/>
        <v>0.25</v>
      </c>
      <c r="AG50" s="147">
        <f t="shared" si="36"/>
        <v>208.68000000000004</v>
      </c>
      <c r="AH50" s="123">
        <f t="shared" si="37"/>
        <v>1</v>
      </c>
      <c r="AI50" s="112">
        <f t="shared" si="37"/>
        <v>834.72000000000014</v>
      </c>
      <c r="AJ50" s="148">
        <f t="shared" si="38"/>
        <v>417.36000000000007</v>
      </c>
      <c r="AK50" s="147">
        <f t="shared" si="39"/>
        <v>417.36000000000007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Labour migration(formal employment): no. people per HH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Formal Employment (conservancies, etc.)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Self-employment -- see Data2</v>
      </c>
      <c r="B53" s="104">
        <f>IF([1]Summ!$H1088="",0,[1]Summ!$H1088)</f>
        <v>429</v>
      </c>
      <c r="C53" s="104">
        <f>IF([1]Summ!$I1088="",0,[1]Summ!$I1088)</f>
        <v>85.799999999999955</v>
      </c>
      <c r="D53" s="38">
        <f t="shared" si="25"/>
        <v>514.79999999999995</v>
      </c>
      <c r="E53" s="75">
        <f>Poor!E53</f>
        <v>0.8</v>
      </c>
      <c r="F53" s="75">
        <f>Poor!F53</f>
        <v>1</v>
      </c>
      <c r="G53" s="75">
        <f>Poor!G53</f>
        <v>1.65</v>
      </c>
      <c r="H53" s="24">
        <f t="shared" si="30"/>
        <v>0.8</v>
      </c>
      <c r="I53" s="39">
        <f t="shared" si="31"/>
        <v>411.84</v>
      </c>
      <c r="J53" s="38">
        <f t="shared" si="32"/>
        <v>362.3059759755032</v>
      </c>
      <c r="K53" s="40">
        <f t="shared" si="33"/>
        <v>1.245174585667431E-2</v>
      </c>
      <c r="L53" s="22">
        <f t="shared" si="34"/>
        <v>9.9613966853394492E-3</v>
      </c>
      <c r="M53" s="24">
        <f t="shared" si="35"/>
        <v>1.0515948566902829E-2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Small business -- see Data2</v>
      </c>
      <c r="B54" s="104">
        <f>IF([1]Summ!$H1089="",0,[1]Summ!$H1089)</f>
        <v>2160</v>
      </c>
      <c r="C54" s="104">
        <f>IF([1]Summ!$I1089="",0,[1]Summ!$I1089)</f>
        <v>0</v>
      </c>
      <c r="D54" s="38">
        <f t="shared" si="25"/>
        <v>2160</v>
      </c>
      <c r="E54" s="75">
        <f>Poor!E54</f>
        <v>0.8</v>
      </c>
      <c r="F54" s="75">
        <f>Poor!F54</f>
        <v>1.18</v>
      </c>
      <c r="G54" s="75">
        <f>Poor!G54</f>
        <v>1.65</v>
      </c>
      <c r="H54" s="24">
        <f t="shared" si="30"/>
        <v>0.94399999999999995</v>
      </c>
      <c r="I54" s="39">
        <f t="shared" si="31"/>
        <v>2039.04</v>
      </c>
      <c r="J54" s="38">
        <f t="shared" si="32"/>
        <v>2039.04</v>
      </c>
      <c r="K54" s="40">
        <f t="shared" si="33"/>
        <v>6.26941050126259E-2</v>
      </c>
      <c r="L54" s="22">
        <f t="shared" si="34"/>
        <v>5.9183235131918845E-2</v>
      </c>
      <c r="M54" s="24">
        <f t="shared" si="35"/>
        <v>5.9183235131918845E-2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Social development -- see Data2</v>
      </c>
      <c r="B55" s="104">
        <f>IF([1]Summ!$H1090="",0,[1]Summ!$H1090)</f>
        <v>22020</v>
      </c>
      <c r="C55" s="104">
        <f>IF([1]Summ!$I1090="",0,[1]Summ!$I1090)</f>
        <v>0</v>
      </c>
      <c r="D55" s="38">
        <f t="shared" si="25"/>
        <v>22020</v>
      </c>
      <c r="E55" s="75">
        <f>Poor!E55</f>
        <v>1</v>
      </c>
      <c r="F55" s="75">
        <f>Poor!F55</f>
        <v>1.18</v>
      </c>
      <c r="G55" s="75">
        <f>Poor!G55</f>
        <v>1.65</v>
      </c>
      <c r="H55" s="24">
        <f t="shared" si="30"/>
        <v>1.18</v>
      </c>
      <c r="I55" s="39">
        <f t="shared" si="31"/>
        <v>25983.599999999999</v>
      </c>
      <c r="J55" s="38">
        <f t="shared" si="32"/>
        <v>25983.600000000002</v>
      </c>
      <c r="K55" s="40">
        <f t="shared" si="33"/>
        <v>0.63913157054538061</v>
      </c>
      <c r="L55" s="22">
        <f t="shared" si="34"/>
        <v>0.75417525324354906</v>
      </c>
      <c r="M55" s="24">
        <f t="shared" si="35"/>
        <v>0.75417525324354928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Public works -- see Data2</v>
      </c>
      <c r="B56" s="104">
        <f>IF([1]Summ!$H1091="",0,[1]Summ!$H1091)</f>
        <v>371</v>
      </c>
      <c r="C56" s="104">
        <f>IF([1]Summ!$I1091="",0,[1]Summ!$I1091)</f>
        <v>0</v>
      </c>
      <c r="D56" s="38">
        <f t="shared" si="25"/>
        <v>371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437.78</v>
      </c>
      <c r="J56" s="38">
        <f t="shared" si="32"/>
        <v>437.78</v>
      </c>
      <c r="K56" s="40">
        <f t="shared" si="33"/>
        <v>1.0768293036890838E-2</v>
      </c>
      <c r="L56" s="22">
        <f t="shared" si="34"/>
        <v>1.2706585783531187E-2</v>
      </c>
      <c r="M56" s="24">
        <f t="shared" si="35"/>
        <v>1.2706585783531187E-2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Other income: e.g. Credit (cotton loans)</v>
      </c>
      <c r="B57" s="104">
        <f>IF([1]Summ!$H1092="",0,[1]Summ!$H1092)</f>
        <v>1600</v>
      </c>
      <c r="C57" s="104">
        <f>IF([1]Summ!$I1092="",0,[1]Summ!$I1092)</f>
        <v>0</v>
      </c>
      <c r="D57" s="38">
        <f t="shared" si="25"/>
        <v>1600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1600</v>
      </c>
      <c r="J57" s="38">
        <f t="shared" si="32"/>
        <v>1600</v>
      </c>
      <c r="K57" s="40">
        <f t="shared" si="33"/>
        <v>4.6440077787130295E-2</v>
      </c>
      <c r="L57" s="22">
        <f t="shared" si="34"/>
        <v>4.6440077787130295E-2</v>
      </c>
      <c r="M57" s="24">
        <f t="shared" si="35"/>
        <v>4.6440077787130295E-2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34453</v>
      </c>
      <c r="C65" s="39">
        <f>SUM(C37:C64)</f>
        <v>1027.3</v>
      </c>
      <c r="D65" s="42">
        <f>SUM(D37:D64)</f>
        <v>35480.300000000003</v>
      </c>
      <c r="E65" s="32"/>
      <c r="F65" s="32"/>
      <c r="G65" s="32"/>
      <c r="H65" s="31"/>
      <c r="I65" s="39">
        <f>SUM(I37:I64)</f>
        <v>40542.479999999996</v>
      </c>
      <c r="J65" s="39">
        <f>SUM(J37:J64)</f>
        <v>39916.275833231106</v>
      </c>
      <c r="K65" s="40">
        <f>SUM(K37:K64)</f>
        <v>1</v>
      </c>
      <c r="L65" s="22">
        <f>SUM(L37:L64)</f>
        <v>1.151561257365106</v>
      </c>
      <c r="M65" s="24">
        <f>SUM(M37:M64)</f>
        <v>1.1585718466673762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4598.4006719545214</v>
      </c>
      <c r="AB65" s="137"/>
      <c r="AC65" s="153">
        <f>SUM(AC37:AC64)</f>
        <v>953.90266393456454</v>
      </c>
      <c r="AD65" s="137"/>
      <c r="AE65" s="153">
        <f>SUM(AE37:AE64)</f>
        <v>754.96868532347889</v>
      </c>
      <c r="AF65" s="137"/>
      <c r="AG65" s="153">
        <f>SUM(AG37:AG64)</f>
        <v>3186.2778360430389</v>
      </c>
      <c r="AH65" s="137"/>
      <c r="AI65" s="153">
        <f>SUM(AI37:AI64)</f>
        <v>9493.5498572556044</v>
      </c>
      <c r="AJ65" s="153">
        <f>SUM(AJ37:AJ64)</f>
        <v>5552.3033358890852</v>
      </c>
      <c r="AK65" s="153">
        <f>SUM(AK37:AK64)</f>
        <v>3941.2465213665182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13579.12894961681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19010.780529463536</v>
      </c>
      <c r="J70" s="51">
        <f t="shared" ref="J70:J77" si="44">J124*I$83</f>
        <v>19010.780529463536</v>
      </c>
      <c r="K70" s="40">
        <f>B70/B$76</f>
        <v>0.39413487793854846</v>
      </c>
      <c r="L70" s="22">
        <f t="shared" ref="L70:L75" si="45">(L124*G$37*F$9/F$7)/B$130</f>
        <v>0.55178882911396787</v>
      </c>
      <c r="M70" s="24">
        <f>J70/B$76</f>
        <v>0.55178882911396787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4752.6951323658841</v>
      </c>
      <c r="AB70" s="156">
        <f>Poor!AB70</f>
        <v>0.25</v>
      </c>
      <c r="AC70" s="147">
        <f>$J70*AB70</f>
        <v>4752.6951323658841</v>
      </c>
      <c r="AD70" s="156">
        <f>Poor!AD70</f>
        <v>0.25</v>
      </c>
      <c r="AE70" s="147">
        <f>$J70*AD70</f>
        <v>4752.6951323658841</v>
      </c>
      <c r="AF70" s="156">
        <f>Poor!AF70</f>
        <v>0.25</v>
      </c>
      <c r="AG70" s="147">
        <f>$J70*AF70</f>
        <v>4752.6951323658841</v>
      </c>
      <c r="AH70" s="155">
        <f>SUM(Z70,AB70,AD70,AF70)</f>
        <v>1</v>
      </c>
      <c r="AI70" s="147">
        <f>SUM(AA70,AC70,AE70,AG70)</f>
        <v>19010.780529463536</v>
      </c>
      <c r="AJ70" s="148">
        <f>(AA70+AC70)</f>
        <v>9505.3902647317682</v>
      </c>
      <c r="AK70" s="147">
        <f>(AE70+AG70)</f>
        <v>9505.3902647317682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16494.826666666668</v>
      </c>
      <c r="J71" s="51">
        <f t="shared" si="44"/>
        <v>16494.826666666668</v>
      </c>
      <c r="K71" s="40">
        <f t="shared" ref="K71:K72" si="47">B71/B$76</f>
        <v>0.40573147960022837</v>
      </c>
      <c r="L71" s="22">
        <f t="shared" si="45"/>
        <v>0.47876314592826941</v>
      </c>
      <c r="M71" s="24">
        <f t="shared" ref="M71:M72" si="48">J71/B$76</f>
        <v>0.47876314592826946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3867.9027500079919</v>
      </c>
      <c r="K72" s="40">
        <f t="shared" si="47"/>
        <v>0.80527094882883932</v>
      </c>
      <c r="L72" s="22">
        <f t="shared" si="45"/>
        <v>0</v>
      </c>
      <c r="M72" s="24">
        <f t="shared" si="48"/>
        <v>0.11226606536464145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7510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0.21797811511334281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797.5619999999999</v>
      </c>
      <c r="AB73" s="156">
        <f>Poor!AB73</f>
        <v>0.09</v>
      </c>
      <c r="AC73" s="147">
        <f>$H$73*$B$73*AB73</f>
        <v>797.5619999999999</v>
      </c>
      <c r="AD73" s="156">
        <f>Poor!AD73</f>
        <v>0.23</v>
      </c>
      <c r="AE73" s="147">
        <f>$H$73*$B$73*AD73</f>
        <v>2038.2139999999999</v>
      </c>
      <c r="AF73" s="156">
        <f>Poor!AF73</f>
        <v>0.59</v>
      </c>
      <c r="AG73" s="147">
        <f>$H$73*$B$73*AF73</f>
        <v>5228.4619999999995</v>
      </c>
      <c r="AH73" s="155">
        <f>SUM(Z73,AB73,AD73,AF73)</f>
        <v>1</v>
      </c>
      <c r="AI73" s="147">
        <f>SUM(AA73,AC73,AE73,AG73)</f>
        <v>8861.7999999999993</v>
      </c>
      <c r="AJ73" s="148">
        <f>(AA73+AC73)</f>
        <v>1595.1239999999998</v>
      </c>
      <c r="AK73" s="147">
        <f>(AE73+AG73)</f>
        <v>7266.6759999999995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4774.9764373232802</v>
      </c>
      <c r="C74" s="39"/>
      <c r="D74" s="38"/>
      <c r="E74" s="32"/>
      <c r="F74" s="32"/>
      <c r="G74" s="32"/>
      <c r="H74" s="31"/>
      <c r="I74" s="39">
        <f>I128*I$83</f>
        <v>21531.69947053647</v>
      </c>
      <c r="J74" s="51">
        <f t="shared" si="44"/>
        <v>542.76588709291582</v>
      </c>
      <c r="K74" s="40">
        <f>B74/B$76</f>
        <v>0.13859392323812963</v>
      </c>
      <c r="L74" s="22">
        <f t="shared" si="45"/>
        <v>0.13720019663543806</v>
      </c>
      <c r="M74" s="24">
        <f>J74/B$76</f>
        <v>1.5753806260497369E-2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-154.29446041136271</v>
      </c>
      <c r="AB74" s="156"/>
      <c r="AC74" s="147">
        <f>AC30*$I$84/4</f>
        <v>-3798.7924684313193</v>
      </c>
      <c r="AD74" s="156"/>
      <c r="AE74" s="147">
        <f>AE30*$I$84/4</f>
        <v>-3997.7264470424057</v>
      </c>
      <c r="AF74" s="156"/>
      <c r="AG74" s="147">
        <f>AG30*$I$84/4</f>
        <v>-1566.4172963228448</v>
      </c>
      <c r="AH74" s="155"/>
      <c r="AI74" s="147">
        <f>SUM(AA74,AC74,AE74,AG74)</f>
        <v>-9517.230672207932</v>
      </c>
      <c r="AJ74" s="148">
        <f>(AA74+AC74)</f>
        <v>-3953.086928842682</v>
      </c>
      <c r="AK74" s="147">
        <f>(AE74+AG74)</f>
        <v>-5564.14374336525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34453</v>
      </c>
      <c r="C76" s="39"/>
      <c r="D76" s="38"/>
      <c r="E76" s="32"/>
      <c r="F76" s="32"/>
      <c r="G76" s="32"/>
      <c r="H76" s="31"/>
      <c r="I76" s="39">
        <f>I130*I$83</f>
        <v>40542.480000000003</v>
      </c>
      <c r="J76" s="51">
        <f t="shared" si="44"/>
        <v>39916.275833231106</v>
      </c>
      <c r="K76" s="40">
        <f>SUM(K70:K75)</f>
        <v>1.9617093447190888</v>
      </c>
      <c r="L76" s="22">
        <f>SUM(L70:L75)</f>
        <v>1.1677521716776753</v>
      </c>
      <c r="M76" s="24">
        <f>SUM(M70:M75)</f>
        <v>1.1585718466673762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4598.4006719545214</v>
      </c>
      <c r="AB76" s="137"/>
      <c r="AC76" s="153">
        <f>AC65</f>
        <v>953.90266393456454</v>
      </c>
      <c r="AD76" s="137"/>
      <c r="AE76" s="153">
        <f>AE65</f>
        <v>754.96868532347889</v>
      </c>
      <c r="AF76" s="137"/>
      <c r="AG76" s="153">
        <f>AG65</f>
        <v>3186.2778360430389</v>
      </c>
      <c r="AH76" s="137"/>
      <c r="AI76" s="153">
        <f>SUM(AA76,AC76,AE76,AG76)</f>
        <v>9493.5498572556044</v>
      </c>
      <c r="AJ76" s="154">
        <f>SUM(AA76,AC76)</f>
        <v>5552.3033358890862</v>
      </c>
      <c r="AK76" s="154">
        <f>SUM(AE76,AG76)</f>
        <v>3941.2465213665178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16494.82666666666</v>
      </c>
      <c r="J77" s="100">
        <f t="shared" si="44"/>
        <v>0</v>
      </c>
      <c r="K77" s="40"/>
      <c r="L77" s="22">
        <f>-(L131*G$37*F$9/F$7)/B$130</f>
        <v>-0.47876314592826918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154.29446041136268</v>
      </c>
      <c r="AB77" s="112"/>
      <c r="AC77" s="111">
        <f>AC31*$I$84/4</f>
        <v>4765.6129166180472</v>
      </c>
      <c r="AD77" s="112"/>
      <c r="AE77" s="111">
        <f>AE31*$I$84/4</f>
        <v>6036.6317239091832</v>
      </c>
      <c r="AF77" s="112"/>
      <c r="AG77" s="111">
        <f>AG31*$I$84/4</f>
        <v>2491.7208250242411</v>
      </c>
      <c r="AH77" s="110"/>
      <c r="AI77" s="154">
        <f>SUM(AA77,AC77,AE77,AG77)</f>
        <v>13448.259925962833</v>
      </c>
      <c r="AJ77" s="153">
        <f>SUM(AA77,AC77)</f>
        <v>4919.9073770294099</v>
      </c>
      <c r="AK77" s="160">
        <f>SUM(AE77,AG77)</f>
        <v>8528.3525489334243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-154.29446041136271</v>
      </c>
      <c r="AB79" s="112"/>
      <c r="AC79" s="112">
        <f>AA79-AA74+AC65-AC70</f>
        <v>-3798.7924684313193</v>
      </c>
      <c r="AD79" s="112"/>
      <c r="AE79" s="112">
        <f>AC79-AC74+AE65-AE70</f>
        <v>-3997.7264470424052</v>
      </c>
      <c r="AF79" s="112"/>
      <c r="AG79" s="112">
        <f>AE79-AE74+AG65-AG70</f>
        <v>-1566.4172963228448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7457.7772555371412</v>
      </c>
      <c r="AB83" s="112"/>
      <c r="AC83" s="165">
        <f>$I$84*AB82/4</f>
        <v>7457.7772555371412</v>
      </c>
      <c r="AD83" s="112"/>
      <c r="AE83" s="165">
        <f>$I$84*AD82/4</f>
        <v>7457.7772555371412</v>
      </c>
      <c r="AF83" s="112"/>
      <c r="AG83" s="165">
        <f>$I$84*AF82/4</f>
        <v>7457.7772555371412</v>
      </c>
      <c r="AH83" s="165">
        <f>SUM(AA83,AC83,AE83,AG83)</f>
        <v>29831.109022148565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0.23647143871105117</v>
      </c>
      <c r="C91" s="75">
        <f t="shared" si="50"/>
        <v>0</v>
      </c>
      <c r="D91" s="24">
        <f t="shared" ref="D91" si="51">(B91+C91)</f>
        <v>0.23647143871105117</v>
      </c>
      <c r="H91" s="24">
        <f>(E37*F37/G37*F$7/F$9)</f>
        <v>0.57212121212121214</v>
      </c>
      <c r="I91" s="22">
        <f t="shared" ref="I91" si="52">(D91*H91)</f>
        <v>0.13529032614741351</v>
      </c>
      <c r="J91" s="24">
        <f>IF(I$32&lt;=1+I$131,I91,L91+J$33*(I91-L91))</f>
        <v>0.13529032614741351</v>
      </c>
      <c r="K91" s="22">
        <f t="shared" ref="K91" si="53">(B91)</f>
        <v>0.23647143871105117</v>
      </c>
      <c r="L91" s="22">
        <f t="shared" ref="L91" si="54">(K91*H91)</f>
        <v>0.13529032614741351</v>
      </c>
      <c r="M91" s="227">
        <f t="shared" si="49"/>
        <v>0.13529032614741351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0.17735357903328838</v>
      </c>
      <c r="C92" s="75">
        <f t="shared" si="50"/>
        <v>0.11823571935552558</v>
      </c>
      <c r="D92" s="24">
        <f t="shared" ref="D92:D118" si="56">(B92+C92)</f>
        <v>0.29558929838881398</v>
      </c>
      <c r="H92" s="24">
        <f t="shared" ref="H92:H118" si="57">(E38*F38/G38*F$7/F$9)</f>
        <v>0.57212121212121214</v>
      </c>
      <c r="I92" s="22">
        <f t="shared" ref="I92:I118" si="58">(D92*H92)</f>
        <v>0.16911290768426693</v>
      </c>
      <c r="J92" s="24">
        <f t="shared" ref="J92:J118" si="59">IF(I$32&lt;=1+I$131,I92,L92+J$33*(I92-L92))</f>
        <v>0.12029680726419126</v>
      </c>
      <c r="K92" s="22">
        <f t="shared" ref="K92:K118" si="60">(B92)</f>
        <v>0.17735357903328838</v>
      </c>
      <c r="L92" s="22">
        <f t="shared" ref="L92:L118" si="61">(K92*H92)</f>
        <v>0.10146774461056014</v>
      </c>
      <c r="M92" s="227">
        <f t="shared" ref="M92:M118" si="62">(J92)</f>
        <v>0.12029680726419126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0.7151515151515152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5.9117859677762792E-2</v>
      </c>
      <c r="C94" s="75">
        <f t="shared" si="50"/>
        <v>-5.9117859677762792E-2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3.945623370817556E-2</v>
      </c>
      <c r="K94" s="22">
        <f t="shared" si="60"/>
        <v>5.9117859677762792E-2</v>
      </c>
      <c r="L94" s="22">
        <f t="shared" si="61"/>
        <v>5.4675062950464259E-2</v>
      </c>
      <c r="M94" s="227">
        <f t="shared" si="62"/>
        <v>3.945623370817556E-2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0.14779464919440699</v>
      </c>
      <c r="C95" s="75">
        <f t="shared" si="50"/>
        <v>0.21430224133189013</v>
      </c>
      <c r="D95" s="24">
        <f t="shared" si="56"/>
        <v>0.36209689052629712</v>
      </c>
      <c r="H95" s="24">
        <f t="shared" si="57"/>
        <v>0.84848484848484851</v>
      </c>
      <c r="I95" s="22">
        <f t="shared" si="58"/>
        <v>0.30723372529504001</v>
      </c>
      <c r="J95" s="24">
        <f t="shared" si="59"/>
        <v>0.17601459943069467</v>
      </c>
      <c r="K95" s="22">
        <f t="shared" si="60"/>
        <v>0.14779464919440699</v>
      </c>
      <c r="L95" s="22">
        <f t="shared" si="61"/>
        <v>0.12540152052858775</v>
      </c>
      <c r="M95" s="227">
        <f t="shared" si="62"/>
        <v>0.17601459943069467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si="50"/>
        <v>1.1705336216197033E-2</v>
      </c>
      <c r="C96" s="75">
        <f t="shared" si="50"/>
        <v>-1.1705336216197033E-2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7.1672791506594124E-3</v>
      </c>
      <c r="K96" s="22">
        <f t="shared" si="60"/>
        <v>1.1705336216197033E-2</v>
      </c>
      <c r="L96" s="22">
        <f t="shared" si="61"/>
        <v>9.9318004258641488E-3</v>
      </c>
      <c r="M96" s="227">
        <f t="shared" si="62"/>
        <v>7.1672791506594124E-3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si="50"/>
        <v>2.9558929838881396E-2</v>
      </c>
      <c r="C97" s="75">
        <f t="shared" si="50"/>
        <v>-2.9558929838881396E-2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1.8099189774392458E-2</v>
      </c>
      <c r="K97" s="22">
        <f t="shared" si="60"/>
        <v>2.9558929838881396E-2</v>
      </c>
      <c r="L97" s="22">
        <f t="shared" si="61"/>
        <v>2.508030410571755E-2</v>
      </c>
      <c r="M97" s="227">
        <f t="shared" si="62"/>
        <v>1.8099189774392458E-2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si="50"/>
        <v>2.9558929838881396E-2</v>
      </c>
      <c r="C98" s="75">
        <f t="shared" si="50"/>
        <v>-2.9558929838881396E-2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1.8099189774392458E-2</v>
      </c>
      <c r="K98" s="22">
        <f t="shared" si="60"/>
        <v>2.9558929838881396E-2</v>
      </c>
      <c r="L98" s="22">
        <f t="shared" si="61"/>
        <v>2.508030410571755E-2</v>
      </c>
      <c r="M98" s="227">
        <f t="shared" si="62"/>
        <v>1.8099189774392458E-2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si="50"/>
        <v>9.1277975342465748E-2</v>
      </c>
      <c r="C99" s="75">
        <f t="shared" si="50"/>
        <v>-9.1277975342465748E-2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5.5890298023323903E-2</v>
      </c>
      <c r="K99" s="22">
        <f t="shared" si="60"/>
        <v>9.1277975342465748E-2</v>
      </c>
      <c r="L99" s="22">
        <f t="shared" si="61"/>
        <v>7.7447979078455784E-2</v>
      </c>
      <c r="M99" s="227">
        <f t="shared" si="62"/>
        <v>5.5890298023323903E-2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si="50"/>
        <v>4.7294287742210235E-2</v>
      </c>
      <c r="C100" s="75">
        <f t="shared" si="50"/>
        <v>0</v>
      </c>
      <c r="D100" s="24">
        <f t="shared" si="56"/>
        <v>4.7294287742210235E-2</v>
      </c>
      <c r="H100" s="24">
        <f t="shared" si="57"/>
        <v>0.84848484848484851</v>
      </c>
      <c r="I100" s="22">
        <f t="shared" si="58"/>
        <v>4.0128486569148081E-2</v>
      </c>
      <c r="J100" s="24">
        <f t="shared" si="59"/>
        <v>4.0128486569148081E-2</v>
      </c>
      <c r="K100" s="22">
        <f t="shared" si="60"/>
        <v>4.7294287742210235E-2</v>
      </c>
      <c r="L100" s="22">
        <f t="shared" si="61"/>
        <v>4.0128486569148081E-2</v>
      </c>
      <c r="M100" s="227">
        <f t="shared" si="62"/>
        <v>4.0128486569148081E-2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si="50"/>
        <v>1.1823571935552559E-2</v>
      </c>
      <c r="C101" s="75">
        <f t="shared" si="50"/>
        <v>0</v>
      </c>
      <c r="D101" s="24">
        <f t="shared" si="56"/>
        <v>1.1823571935552559E-2</v>
      </c>
      <c r="H101" s="24">
        <f t="shared" si="57"/>
        <v>0.84848484848484851</v>
      </c>
      <c r="I101" s="22">
        <f t="shared" si="58"/>
        <v>1.003212164228702E-2</v>
      </c>
      <c r="J101" s="24">
        <f t="shared" si="59"/>
        <v>1.003212164228702E-2</v>
      </c>
      <c r="K101" s="22">
        <f t="shared" si="60"/>
        <v>1.1823571935552559E-2</v>
      </c>
      <c r="L101" s="22">
        <f t="shared" si="61"/>
        <v>1.003212164228702E-2</v>
      </c>
      <c r="M101" s="227">
        <f t="shared" si="62"/>
        <v>1.003212164228702E-2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0.84848484848484851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0.84848484848484851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si="50"/>
        <v>8.8913260955355247E-2</v>
      </c>
      <c r="C104" s="75">
        <f t="shared" si="50"/>
        <v>0</v>
      </c>
      <c r="D104" s="24">
        <f t="shared" si="56"/>
        <v>8.8913260955355247E-2</v>
      </c>
      <c r="H104" s="24">
        <f t="shared" si="57"/>
        <v>0.67272727272727284</v>
      </c>
      <c r="I104" s="22">
        <f t="shared" si="58"/>
        <v>5.9814375551784447E-2</v>
      </c>
      <c r="J104" s="24">
        <f t="shared" si="59"/>
        <v>5.9814375551784447E-2</v>
      </c>
      <c r="K104" s="22">
        <f t="shared" si="60"/>
        <v>8.8913260955355247E-2</v>
      </c>
      <c r="L104" s="22">
        <f t="shared" si="61"/>
        <v>5.9814375551784447E-2</v>
      </c>
      <c r="M104" s="227">
        <f t="shared" si="62"/>
        <v>5.9814375551784447E-2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0.7151515151515152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0.7151515151515152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si="50"/>
        <v>5.0723123603520479E-2</v>
      </c>
      <c r="C107" s="75">
        <f t="shared" si="50"/>
        <v>1.014462472070409E-2</v>
      </c>
      <c r="D107" s="24">
        <f t="shared" si="56"/>
        <v>6.086774832422457E-2</v>
      </c>
      <c r="H107" s="24">
        <f t="shared" si="57"/>
        <v>0.48484848484848486</v>
      </c>
      <c r="I107" s="22">
        <f t="shared" si="58"/>
        <v>2.9511635551139188E-2</v>
      </c>
      <c r="J107" s="24">
        <f t="shared" si="59"/>
        <v>2.5962125876526906E-2</v>
      </c>
      <c r="K107" s="22">
        <f t="shared" si="60"/>
        <v>5.0723123603520479E-2</v>
      </c>
      <c r="L107" s="22">
        <f t="shared" si="61"/>
        <v>2.4593029625949323E-2</v>
      </c>
      <c r="M107" s="227">
        <f t="shared" si="62"/>
        <v>2.5962125876526906E-2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si="50"/>
        <v>0.25538915380793525</v>
      </c>
      <c r="C108" s="75">
        <f t="shared" si="50"/>
        <v>0</v>
      </c>
      <c r="D108" s="24">
        <f t="shared" si="56"/>
        <v>0.25538915380793525</v>
      </c>
      <c r="H108" s="24">
        <f t="shared" si="57"/>
        <v>0.57212121212121214</v>
      </c>
      <c r="I108" s="22">
        <f t="shared" si="58"/>
        <v>0.14611355223920661</v>
      </c>
      <c r="J108" s="24">
        <f t="shared" si="59"/>
        <v>0.14611355223920661</v>
      </c>
      <c r="K108" s="22">
        <f t="shared" si="60"/>
        <v>0.25538915380793525</v>
      </c>
      <c r="L108" s="22">
        <f t="shared" si="61"/>
        <v>0.14611355223920661</v>
      </c>
      <c r="M108" s="227">
        <f t="shared" si="62"/>
        <v>0.14611355223920661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si="50"/>
        <v>2.6035505402086736</v>
      </c>
      <c r="C109" s="75">
        <f t="shared" si="50"/>
        <v>0</v>
      </c>
      <c r="D109" s="24">
        <f t="shared" si="56"/>
        <v>2.6035505402086736</v>
      </c>
      <c r="H109" s="24">
        <f t="shared" si="57"/>
        <v>0.7151515151515152</v>
      </c>
      <c r="I109" s="22">
        <f t="shared" si="58"/>
        <v>1.8619331136037789</v>
      </c>
      <c r="J109" s="24">
        <f t="shared" si="59"/>
        <v>1.8619331136037789</v>
      </c>
      <c r="K109" s="22">
        <f t="shared" si="60"/>
        <v>2.6035505402086736</v>
      </c>
      <c r="L109" s="22">
        <f t="shared" si="61"/>
        <v>1.8619331136037789</v>
      </c>
      <c r="M109" s="227">
        <f t="shared" si="62"/>
        <v>1.8619331136037789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si="50"/>
        <v>4.3865451880899992E-2</v>
      </c>
      <c r="C110" s="75">
        <f t="shared" si="50"/>
        <v>0</v>
      </c>
      <c r="D110" s="24">
        <f t="shared" si="56"/>
        <v>4.3865451880899992E-2</v>
      </c>
      <c r="H110" s="24">
        <f t="shared" si="57"/>
        <v>0.7151515151515152</v>
      </c>
      <c r="I110" s="22">
        <f t="shared" si="58"/>
        <v>3.137044437543151E-2</v>
      </c>
      <c r="J110" s="24">
        <f t="shared" si="59"/>
        <v>3.137044437543151E-2</v>
      </c>
      <c r="K110" s="22">
        <f t="shared" si="60"/>
        <v>4.3865451880899992E-2</v>
      </c>
      <c r="L110" s="22">
        <f t="shared" si="61"/>
        <v>3.137044437543151E-2</v>
      </c>
      <c r="M110" s="227">
        <f t="shared" si="62"/>
        <v>3.137044437543151E-2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si="50"/>
        <v>0.18917715096884094</v>
      </c>
      <c r="C111" s="75">
        <f t="shared" si="50"/>
        <v>0</v>
      </c>
      <c r="D111" s="24">
        <f t="shared" si="56"/>
        <v>0.18917715096884094</v>
      </c>
      <c r="H111" s="24">
        <f t="shared" si="57"/>
        <v>0.60606060606060608</v>
      </c>
      <c r="I111" s="22">
        <f t="shared" si="58"/>
        <v>0.11465281876899451</v>
      </c>
      <c r="J111" s="24">
        <f t="shared" si="59"/>
        <v>0.11465281876899451</v>
      </c>
      <c r="K111" s="22">
        <f t="shared" si="60"/>
        <v>0.18917715096884094</v>
      </c>
      <c r="L111" s="22">
        <f t="shared" si="61"/>
        <v>0.11465281876899451</v>
      </c>
      <c r="M111" s="227">
        <f t="shared" si="62"/>
        <v>0.11465281876899451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4.0735752389559234</v>
      </c>
      <c r="C119" s="22">
        <f>SUM(C91:C118)</f>
        <v>0.12146355449393145</v>
      </c>
      <c r="D119" s="24">
        <f>SUM(D91:D118)</f>
        <v>4.1950387934498545</v>
      </c>
      <c r="E119" s="22"/>
      <c r="F119" s="2"/>
      <c r="G119" s="2"/>
      <c r="H119" s="31"/>
      <c r="I119" s="22">
        <f>SUM(I91:I118)</f>
        <v>2.9051935074284909</v>
      </c>
      <c r="J119" s="24">
        <f>SUM(J91:J118)</f>
        <v>2.8603209619004009</v>
      </c>
      <c r="K119" s="22">
        <f>SUM(K91:K118)</f>
        <v>4.0735752389559234</v>
      </c>
      <c r="L119" s="22">
        <f>SUM(L91:L118)</f>
        <v>2.843012984329361</v>
      </c>
      <c r="M119" s="57">
        <f t="shared" si="49"/>
        <v>2.8603209619004009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1.6055380795793861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2">
        <f>(B124)</f>
        <v>1.6055380795793861</v>
      </c>
      <c r="L124" s="29">
        <f>IF(SUMPRODUCT($B$124:$B124,$H$124:$H124)&lt;L$119,($B124*$H124),L$119)</f>
        <v>1.3622747341885701</v>
      </c>
      <c r="M124" s="57">
        <f t="shared" si="63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1.1819864827745696</v>
      </c>
      <c r="J125" s="237">
        <f>IF(SUMPRODUCT($B$124:$B125,$H$124:$H125)&lt;J$119,($B125*$H125),IF(SUMPRODUCT($B$124:$B124,$H$124:$H124)&lt;J$119,J$119-SUMPRODUCT($B$124:$B124,$H$124:$H124),0))</f>
        <v>1.1819864827745696</v>
      </c>
      <c r="K125" s="22">
        <f t="shared" ref="K125:K126" si="64">(B125)</f>
        <v>1.6527777089644404</v>
      </c>
      <c r="L125" s="29">
        <f>IF(SUMPRODUCT($B$124:$B125,$H$124:$H125)&lt;L$119,($B125*$H125),IF(SUMPRODUCT($B$124:$B124,$H$124:$H124)&lt;L$119,L$119-SUMPRODUCT($B$124:$B124,$H$124:$H124),0))</f>
        <v>1.1819864827745696</v>
      </c>
      <c r="M125" s="57">
        <f t="shared" ref="M125:M126" si="65">(J125)</f>
        <v>1.1819864827745696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0.27716622063297613</v>
      </c>
      <c r="K126" s="22">
        <f t="shared" si="64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65"/>
        <v>0.27716622063297613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0.88795025235999714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0.88795025235999714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0.56457277397260275</v>
      </c>
      <c r="C128" s="2"/>
      <c r="D128" s="31"/>
      <c r="E128" s="2"/>
      <c r="F128" s="2"/>
      <c r="G128" s="2"/>
      <c r="H128" s="24"/>
      <c r="I128" s="29">
        <f>(I30)</f>
        <v>1.5429187732399208</v>
      </c>
      <c r="J128" s="228">
        <f>(J30)</f>
        <v>3.8893524304285387E-2</v>
      </c>
      <c r="K128" s="22">
        <f>(B128)</f>
        <v>0.56457277397260275</v>
      </c>
      <c r="L128" s="22">
        <f>IF(L124=L119,0,(L119-L124)/(B119-B124)*K128)</f>
        <v>0.33872443866303292</v>
      </c>
      <c r="M128" s="57">
        <f t="shared" si="63"/>
        <v>3.8893524304285387E-2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4.0735752389559234</v>
      </c>
      <c r="C130" s="2"/>
      <c r="D130" s="31"/>
      <c r="E130" s="2"/>
      <c r="F130" s="2"/>
      <c r="G130" s="2"/>
      <c r="H130" s="24"/>
      <c r="I130" s="29">
        <f>(I119)</f>
        <v>2.9051935074284909</v>
      </c>
      <c r="J130" s="228">
        <f>(J119)</f>
        <v>2.8603209619004009</v>
      </c>
      <c r="K130" s="22">
        <f>(B130)</f>
        <v>4.0735752389559234</v>
      </c>
      <c r="L130" s="22">
        <f>(L119)</f>
        <v>2.843012984329361</v>
      </c>
      <c r="M130" s="57">
        <f t="shared" si="63"/>
        <v>2.8603209619004009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1.181986482774569</v>
      </c>
      <c r="M131" s="237">
        <f>IF(I131&lt;SUM(M126:M127),0,I131-(SUM(M126:M127)))</f>
        <v>0.90482026214159283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8.5476684654766849E-2</v>
      </c>
      <c r="C6" s="102">
        <f>IF([1]Summ!$K1044="",0,[1]Summ!$K1044)</f>
        <v>0</v>
      </c>
      <c r="D6" s="24">
        <f t="shared" ref="D6:D29" si="0">(B6+C6)</f>
        <v>8.5476684654766849E-2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4.2738342327383425E-2</v>
      </c>
      <c r="J6" s="24">
        <f t="shared" ref="J6:J13" si="3">IF(I$32&lt;=1+I$131,I6,B6*H6+J$33*(I6-B6*H6))</f>
        <v>4.2738342327383425E-2</v>
      </c>
      <c r="K6" s="22">
        <f t="shared" ref="K6:K31" si="4">B6</f>
        <v>8.5476684654766849E-2</v>
      </c>
      <c r="L6" s="22">
        <f t="shared" ref="L6:L29" si="5">IF(K6="","",K6*H6)</f>
        <v>4.2738342327383425E-2</v>
      </c>
      <c r="M6" s="177">
        <f t="shared" ref="M6:M31" si="6">J6</f>
        <v>4.2738342327383425E-2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0.1709533693095337</v>
      </c>
      <c r="Z6" s="156">
        <f>Poor!Z6</f>
        <v>0.17</v>
      </c>
      <c r="AA6" s="121">
        <f>$M6*Z6*4</f>
        <v>2.906207278262073E-2</v>
      </c>
      <c r="AB6" s="156">
        <f>Poor!AB6</f>
        <v>0.17</v>
      </c>
      <c r="AC6" s="121">
        <f t="shared" ref="AC6:AC29" si="7">$M6*AB6*4</f>
        <v>2.906207278262073E-2</v>
      </c>
      <c r="AD6" s="156">
        <f>Poor!AD6</f>
        <v>0.33</v>
      </c>
      <c r="AE6" s="121">
        <f t="shared" ref="AE6:AE29" si="8">$M6*AD6*4</f>
        <v>5.6414611872146123E-2</v>
      </c>
      <c r="AF6" s="122">
        <f>1-SUM(Z6,AB6,AD6)</f>
        <v>0.32999999999999996</v>
      </c>
      <c r="AG6" s="121">
        <f>$M6*AF6*4</f>
        <v>5.6414611872146116E-2</v>
      </c>
      <c r="AH6" s="123">
        <f>SUM(Z6,AB6,AD6,AF6)</f>
        <v>1</v>
      </c>
      <c r="AI6" s="183">
        <f>SUM(AA6,AC6,AE6,AG6)/4</f>
        <v>4.2738342327383425E-2</v>
      </c>
      <c r="AJ6" s="120">
        <f>(AA6+AC6)/2</f>
        <v>2.906207278262073E-2</v>
      </c>
      <c r="AK6" s="119">
        <f>(AE6+AG6)/2</f>
        <v>5.6414611872146123E-2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6166.8441894519465</v>
      </c>
      <c r="S7" s="222">
        <f>IF($B$81=0,0,(SUMIF($N$6:$N$28,$U7,L$6:L$28)+SUMIF($N$91:$N$118,$U7,L$91:L$118))*$I$83*Poor!$B$81/$B$81)</f>
        <v>7121.0994893153065</v>
      </c>
      <c r="T7" s="222">
        <f>IF($B$81=0,0,(SUMIF($N$6:$N$28,$U7,M$6:M$28)+SUMIF($N$91:$N$118,$U7,M$91:M$118))*$I$83*Poor!$B$81/$B$81)</f>
        <v>7453.143366471536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6.942878268991283E-2</v>
      </c>
      <c r="C8" s="102">
        <f>IF([1]Summ!$K1046="",0,[1]Summ!$K1046)</f>
        <v>0</v>
      </c>
      <c r="D8" s="24">
        <f t="shared" si="0"/>
        <v>6.942878268991283E-2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3.4714391344956415E-2</v>
      </c>
      <c r="J8" s="24">
        <f t="shared" si="3"/>
        <v>3.4714391344956415E-2</v>
      </c>
      <c r="K8" s="22">
        <f t="shared" si="4"/>
        <v>6.942878268991283E-2</v>
      </c>
      <c r="L8" s="22">
        <f t="shared" si="5"/>
        <v>3.4714391344956415E-2</v>
      </c>
      <c r="M8" s="224">
        <f t="shared" si="6"/>
        <v>3.4714391344956415E-2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7603.2795975558211</v>
      </c>
      <c r="S8" s="222">
        <f>IF($B$81=0,0,(SUMIF($N$6:$N$28,$U8,L$6:L$28)+SUMIF($N$91:$N$118,$U8,L$91:L$118))*$I$83*Poor!$B$81/$B$81)</f>
        <v>7258.7822222222212</v>
      </c>
      <c r="T8" s="222">
        <f>IF($B$81=0,0,(SUMIF($N$6:$N$28,$U8,M$6:M$28)+SUMIF($N$91:$N$118,$U8,M$91:M$118))*$I$83*Poor!$B$81/$B$81)</f>
        <v>6848.2941303806219</v>
      </c>
      <c r="U8" s="223">
        <v>2</v>
      </c>
      <c r="V8" s="56"/>
      <c r="W8" s="115"/>
      <c r="X8" s="118">
        <f>Poor!X8</f>
        <v>1</v>
      </c>
      <c r="Y8" s="183">
        <f t="shared" si="9"/>
        <v>0.13885756537982566</v>
      </c>
      <c r="Z8" s="125">
        <f>IF($Y8=0,0,AA8/$Y8)</f>
        <v>0.39483215123465715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5.4825431254123619E-2</v>
      </c>
      <c r="AB8" s="125">
        <f>IF($Y8=0,0,AC8/$Y8)</f>
        <v>0.43011816274252418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5.9725160904070547E-2</v>
      </c>
      <c r="AD8" s="125">
        <f>IF($Y8=0,0,AE8/$Y8)</f>
        <v>0.17504968602281865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2.4306973221631493E-2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3.4714391344956415E-2</v>
      </c>
      <c r="AJ8" s="120">
        <f t="shared" si="14"/>
        <v>5.7275296079097079E-2</v>
      </c>
      <c r="AK8" s="119">
        <f t="shared" si="15"/>
        <v>1.2153486610815747E-2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0.05</v>
      </c>
      <c r="C9" s="102">
        <f>IF([1]Summ!$K1047="",0,[1]Summ!$K1047)</f>
        <v>0</v>
      </c>
      <c r="D9" s="24">
        <f t="shared" si="0"/>
        <v>0.05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0.05</v>
      </c>
      <c r="J9" s="24">
        <f t="shared" si="3"/>
        <v>0.05</v>
      </c>
      <c r="K9" s="22">
        <f t="shared" si="4"/>
        <v>0.05</v>
      </c>
      <c r="L9" s="22">
        <f t="shared" si="5"/>
        <v>0.05</v>
      </c>
      <c r="M9" s="224">
        <f t="shared" si="6"/>
        <v>0.05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1940.8624261512305</v>
      </c>
      <c r="S9" s="222">
        <f>IF($B$81=0,0,(SUMIF($N$6:$N$28,$U9,L$6:L$28)+SUMIF($N$91:$N$118,$U9,L$91:L$118))*$I$83*Poor!$B$81/$B$81)</f>
        <v>1080.8663511834786</v>
      </c>
      <c r="T9" s="222">
        <f>IF($B$81=0,0,(SUMIF($N$6:$N$28,$U9,M$6:M$28)+SUMIF($N$91:$N$118,$U9,M$91:M$118))*$I$83*Poor!$B$81/$B$81)</f>
        <v>1080.8663511834786</v>
      </c>
      <c r="U9" s="223">
        <v>3</v>
      </c>
      <c r="V9" s="56"/>
      <c r="W9" s="115"/>
      <c r="X9" s="118">
        <f>Poor!X9</f>
        <v>1</v>
      </c>
      <c r="Y9" s="183">
        <f t="shared" si="9"/>
        <v>0.2</v>
      </c>
      <c r="Z9" s="125">
        <f>IF($Y9=0,0,AA9/$Y9)</f>
        <v>0.39483215123465715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7.8966430246931438E-2</v>
      </c>
      <c r="AB9" s="125">
        <f>IF($Y9=0,0,AC9/$Y9)</f>
        <v>0.43011816274252418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8.6023632548504841E-2</v>
      </c>
      <c r="AD9" s="125">
        <f>IF($Y9=0,0,AE9/$Y9)</f>
        <v>0.17504968602281865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3.5009937204563732E-2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0.05</v>
      </c>
      <c r="AJ9" s="120">
        <f t="shared" si="14"/>
        <v>8.2495031397718133E-2</v>
      </c>
      <c r="AK9" s="119">
        <f t="shared" si="15"/>
        <v>1.7504968602281866E-2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0.16245357534246571</v>
      </c>
      <c r="C10" s="102">
        <f>IF([1]Summ!$K1048="",0,[1]Summ!$K1048)</f>
        <v>6.8871904109589072E-2</v>
      </c>
      <c r="D10" s="24">
        <f t="shared" si="0"/>
        <v>0.23132547945205478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0.25214477260273971</v>
      </c>
      <c r="J10" s="24">
        <f t="shared" si="3"/>
        <v>0.19005296128244192</v>
      </c>
      <c r="K10" s="22">
        <f t="shared" si="4"/>
        <v>0.16245357534246571</v>
      </c>
      <c r="L10" s="22">
        <f t="shared" si="5"/>
        <v>0.17707439712328762</v>
      </c>
      <c r="M10" s="224">
        <f t="shared" si="6"/>
        <v>0.19005296128244192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0.76021184512976769</v>
      </c>
      <c r="Z10" s="125">
        <f>IF($Y10=0,0,AA10/$Y10)</f>
        <v>0.39483215123465715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0.30015607820665419</v>
      </c>
      <c r="AB10" s="125">
        <f>IF($Y10=0,0,AC10/$Y10)</f>
        <v>0.43011816274252423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0.32698092212232005</v>
      </c>
      <c r="AD10" s="125">
        <f>IF($Y10=0,0,AE10/$Y10)</f>
        <v>0.17504968602281862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0.13307484480079346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0.19005296128244192</v>
      </c>
      <c r="AJ10" s="120">
        <f t="shared" si="14"/>
        <v>0.31356850016448712</v>
      </c>
      <c r="AK10" s="119">
        <f t="shared" si="15"/>
        <v>6.6537422400396729E-2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Sorghum: kg produced</v>
      </c>
      <c r="B11" s="101">
        <f>IF([1]Summ!$J1049="",0,[1]Summ!$J1049)</f>
        <v>3.8561488169364881E-2</v>
      </c>
      <c r="C11" s="102">
        <f>IF([1]Summ!$K1049="",0,[1]Summ!$K1049)</f>
        <v>0</v>
      </c>
      <c r="D11" s="24">
        <f t="shared" si="0"/>
        <v>3.8561488169364881E-2</v>
      </c>
      <c r="E11" s="75">
        <f>Middle!E11</f>
        <v>1.0900000000000001</v>
      </c>
      <c r="H11" s="24">
        <f t="shared" si="1"/>
        <v>1.0900000000000001</v>
      </c>
      <c r="I11" s="22">
        <f t="shared" si="2"/>
        <v>4.2032022104607721E-2</v>
      </c>
      <c r="J11" s="24">
        <f t="shared" si="3"/>
        <v>4.2032022104607721E-2</v>
      </c>
      <c r="K11" s="22">
        <f t="shared" si="4"/>
        <v>3.8561488169364881E-2</v>
      </c>
      <c r="L11" s="22">
        <f t="shared" si="5"/>
        <v>4.2032022104607721E-2</v>
      </c>
      <c r="M11" s="224">
        <f t="shared" si="6"/>
        <v>4.2032022104607721E-2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14550.78620592169</v>
      </c>
      <c r="S11" s="222">
        <f>IF($B$81=0,0,(SUMIF($N$6:$N$28,$U11,L$6:L$28)+SUMIF($N$91:$N$118,$U11,L$91:L$118))*$I$83*Poor!$B$81/$B$81)</f>
        <v>9387.5555555555547</v>
      </c>
      <c r="T11" s="222">
        <f>IF($B$81=0,0,(SUMIF($N$6:$N$28,$U11,M$6:M$28)+SUMIF($N$91:$N$118,$U11,M$91:M$118))*$I$83*Poor!$B$81/$B$81)</f>
        <v>9750.2304896644073</v>
      </c>
      <c r="U11" s="223">
        <v>5</v>
      </c>
      <c r="V11" s="56"/>
      <c r="W11" s="115"/>
      <c r="X11" s="118">
        <f>Poor!X11</f>
        <v>1</v>
      </c>
      <c r="Y11" s="183">
        <f t="shared" si="9"/>
        <v>0.16812808841843088</v>
      </c>
      <c r="Z11" s="125">
        <f>IF($Y11=0,0,AA11/$Y11)</f>
        <v>0.39483215123465715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6.6382374833219709E-2</v>
      </c>
      <c r="AB11" s="125">
        <f>IF($Y11=0,0,AC11/$Y11)</f>
        <v>0.43011816274252418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7.231494449594815E-2</v>
      </c>
      <c r="AD11" s="125">
        <f>IF($Y11=0,0,AE11/$Y11)</f>
        <v>0.17504968602281867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2.9430769089263023E-2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4.2032022104607714E-2</v>
      </c>
      <c r="AJ11" s="120">
        <f t="shared" si="14"/>
        <v>6.9348659664583923E-2</v>
      </c>
      <c r="AK11" s="119">
        <f t="shared" si="15"/>
        <v>1.4715384544631512E-2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f>IF([1]Summ!$J1050="",0,[1]Summ!$J1050)</f>
        <v>6.6773290161892901E-2</v>
      </c>
      <c r="C12" s="102">
        <f>IF([1]Summ!$K1050="",0,[1]Summ!$K1050)</f>
        <v>-2.1112143212951434E-2</v>
      </c>
      <c r="D12" s="24">
        <f t="shared" si="0"/>
        <v>4.5661146948941467E-2</v>
      </c>
      <c r="E12" s="75">
        <f>Middle!E12</f>
        <v>1</v>
      </c>
      <c r="H12" s="24">
        <f t="shared" si="1"/>
        <v>1</v>
      </c>
      <c r="I12" s="22">
        <f t="shared" si="2"/>
        <v>4.5661146948941467E-2</v>
      </c>
      <c r="J12" s="24">
        <f t="shared" si="3"/>
        <v>6.3123311012640571E-2</v>
      </c>
      <c r="K12" s="22">
        <f t="shared" si="4"/>
        <v>6.6773290161892901E-2</v>
      </c>
      <c r="L12" s="22">
        <f t="shared" si="5"/>
        <v>6.6773290161892901E-2</v>
      </c>
      <c r="M12" s="224">
        <f t="shared" si="6"/>
        <v>6.3123311012640571E-2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146.66966986477667</v>
      </c>
      <c r="S12" s="222">
        <f>IF($B$81=0,0,(SUMIF($N$6:$N$28,$U12,L$6:L$28)+SUMIF($N$91:$N$118,$U12,L$91:L$118))*$I$83*Poor!$B$81/$B$81)</f>
        <v>163.3606882795865</v>
      </c>
      <c r="T12" s="222">
        <f>IF($B$81=0,0,(SUMIF($N$6:$N$28,$U12,M$6:M$28)+SUMIF($N$91:$N$118,$U12,M$91:M$118))*$I$83*Poor!$B$81/$B$81)</f>
        <v>170.42135355659894</v>
      </c>
      <c r="U12" s="223">
        <v>6</v>
      </c>
      <c r="V12" s="56"/>
      <c r="W12" s="117"/>
      <c r="X12" s="118"/>
      <c r="Y12" s="183">
        <f t="shared" si="9"/>
        <v>0.25249324405056228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0.16917047351387673</v>
      </c>
      <c r="AF12" s="122">
        <f>1-SUM(Z12,AB12,AD12)</f>
        <v>0.32999999999999996</v>
      </c>
      <c r="AG12" s="121">
        <f>$M12*AF12*4</f>
        <v>8.3322770536685548E-2</v>
      </c>
      <c r="AH12" s="123">
        <f t="shared" si="12"/>
        <v>1</v>
      </c>
      <c r="AI12" s="183">
        <f t="shared" si="13"/>
        <v>6.3123311012640571E-2</v>
      </c>
      <c r="AJ12" s="120">
        <f t="shared" si="14"/>
        <v>0</v>
      </c>
      <c r="AK12" s="119">
        <f t="shared" si="15"/>
        <v>0.12624662202528114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Cassava: no. local meas.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Water melon: no. local meas (Bhece)</v>
      </c>
      <c r="B14" s="101">
        <f>IF([1]Summ!$J1052="",0,[1]Summ!$J1052)</f>
        <v>1.9986799501867992E-3</v>
      </c>
      <c r="C14" s="102">
        <f>IF([1]Summ!$K1052="",0,[1]Summ!$K1052)</f>
        <v>9.9933997509339982E-4</v>
      </c>
      <c r="D14" s="24">
        <f t="shared" si="0"/>
        <v>2.998019925280199E-3</v>
      </c>
      <c r="E14" s="75">
        <f>Middle!E14</f>
        <v>1</v>
      </c>
      <c r="F14" s="22"/>
      <c r="H14" s="24">
        <f t="shared" si="1"/>
        <v>1</v>
      </c>
      <c r="I14" s="22">
        <f t="shared" si="2"/>
        <v>2.998019925280199E-3</v>
      </c>
      <c r="J14" s="24">
        <f>IF(I$32&lt;=1+I131,I14,B14*H14+J$33*(I14-B14*H14))</f>
        <v>2.1714511385646624E-3</v>
      </c>
      <c r="K14" s="22">
        <f t="shared" si="4"/>
        <v>1.9986799501867992E-3</v>
      </c>
      <c r="L14" s="22">
        <f t="shared" si="5"/>
        <v>1.9986799501867992E-3</v>
      </c>
      <c r="M14" s="225">
        <f t="shared" si="6"/>
        <v>2.1714511385646624E-3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45772.42792016633</v>
      </c>
      <c r="S14" s="222">
        <f>IF($B$81=0,0,(SUMIF($N$6:$N$28,$U14,L$6:L$28)+SUMIF($N$91:$N$118,$U14,L$91:L$118))*$I$83*Poor!$B$81/$B$81)</f>
        <v>36459.37777777778</v>
      </c>
      <c r="T14" s="222">
        <f>IF($B$81=0,0,(SUMIF($N$6:$N$28,$U14,M$6:M$28)+SUMIF($N$91:$N$118,$U14,M$91:M$118))*$I$83*Poor!$B$81/$B$81)</f>
        <v>36459.37777777778</v>
      </c>
      <c r="U14" s="223">
        <v>8</v>
      </c>
      <c r="V14" s="56"/>
      <c r="W14" s="110"/>
      <c r="X14" s="118"/>
      <c r="Y14" s="183">
        <f>M14*4</f>
        <v>8.6858045542586495E-3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8.6858045542586495E-3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2.1714511385646624E-3</v>
      </c>
      <c r="AJ14" s="120">
        <f t="shared" si="14"/>
        <v>4.3429022771293247E-3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Pumpkin: no. local meas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Sweet poatato: no. local meas</v>
      </c>
      <c r="B16" s="101">
        <f>IF([1]Summ!$J1054="",0,[1]Summ!$J1054)</f>
        <v>3.7951432129514323E-2</v>
      </c>
      <c r="C16" s="102">
        <f>IF([1]Summ!$K1054="",0,[1]Summ!$K1054)</f>
        <v>2.4750933997509342E-2</v>
      </c>
      <c r="D16" s="24">
        <f t="shared" si="0"/>
        <v>6.2702366127023665E-2</v>
      </c>
      <c r="E16" s="75">
        <f>Middle!E16</f>
        <v>1</v>
      </c>
      <c r="F16" s="22"/>
      <c r="H16" s="24">
        <f t="shared" si="1"/>
        <v>1</v>
      </c>
      <c r="I16" s="22">
        <f t="shared" si="2"/>
        <v>6.2702366127023665E-2</v>
      </c>
      <c r="J16" s="24">
        <f>IF(I$32&lt;=1+I131,I16,B16*H16+J$33*(I16-B16*H16))</f>
        <v>4.2230504704202511E-2</v>
      </c>
      <c r="K16" s="22">
        <f t="shared" si="4"/>
        <v>3.7951432129514323E-2</v>
      </c>
      <c r="L16" s="22">
        <f t="shared" si="5"/>
        <v>3.7951432129514323E-2</v>
      </c>
      <c r="M16" s="224">
        <f t="shared" si="6"/>
        <v>4.2230504704202511E-2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0.16892201881681004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0.16892201881681004</v>
      </c>
      <c r="AH16" s="123">
        <f t="shared" si="12"/>
        <v>1</v>
      </c>
      <c r="AI16" s="183">
        <f t="shared" si="13"/>
        <v>4.2230504704202511E-2</v>
      </c>
      <c r="AJ16" s="120">
        <f t="shared" si="14"/>
        <v>0</v>
      </c>
      <c r="AK16" s="119">
        <f t="shared" si="15"/>
        <v>8.4461009408405022E-2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0.10482207347447074</v>
      </c>
      <c r="C17" s="102">
        <f>IF([1]Summ!$K1055="",0,[1]Summ!$K1055)</f>
        <v>5.0314595267745968E-2</v>
      </c>
      <c r="D17" s="24">
        <f t="shared" si="0"/>
        <v>0.15513666874221671</v>
      </c>
      <c r="E17" s="75">
        <f>Middle!E17</f>
        <v>1</v>
      </c>
      <c r="F17" s="22"/>
      <c r="H17" s="24">
        <f t="shared" si="1"/>
        <v>1</v>
      </c>
      <c r="I17" s="22">
        <f t="shared" si="2"/>
        <v>0.15513666874221671</v>
      </c>
      <c r="J17" s="24">
        <f t="shared" ref="J17:J25" si="17">IF(I$32&lt;=1+I131,I17,B17*H17+J$33*(I17-B17*H17))</f>
        <v>0.1135207272197562</v>
      </c>
      <c r="K17" s="22">
        <f t="shared" si="4"/>
        <v>0.10482207347447074</v>
      </c>
      <c r="L17" s="22">
        <f t="shared" si="5"/>
        <v>0.10482207347447074</v>
      </c>
      <c r="M17" s="225">
        <f t="shared" si="6"/>
        <v>0.1135207272197562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0.4540829088790248</v>
      </c>
      <c r="Z17" s="156">
        <f>Poor!Z17</f>
        <v>0.29409999999999997</v>
      </c>
      <c r="AA17" s="121">
        <f t="shared" si="16"/>
        <v>0.13354578350132118</v>
      </c>
      <c r="AB17" s="156">
        <f>Poor!AB17</f>
        <v>0.17649999999999999</v>
      </c>
      <c r="AC17" s="121">
        <f t="shared" si="7"/>
        <v>8.014563341714788E-2</v>
      </c>
      <c r="AD17" s="156">
        <f>Poor!AD17</f>
        <v>0.23530000000000001</v>
      </c>
      <c r="AE17" s="121">
        <f t="shared" si="8"/>
        <v>0.10684570845923454</v>
      </c>
      <c r="AF17" s="122">
        <f t="shared" si="10"/>
        <v>0.29410000000000003</v>
      </c>
      <c r="AG17" s="121">
        <f t="shared" si="11"/>
        <v>0.13354578350132121</v>
      </c>
      <c r="AH17" s="123">
        <f t="shared" si="12"/>
        <v>1</v>
      </c>
      <c r="AI17" s="183">
        <f t="shared" si="13"/>
        <v>0.1135207272197562</v>
      </c>
      <c r="AJ17" s="120">
        <f t="shared" si="14"/>
        <v>0.10684570845923452</v>
      </c>
      <c r="AK17" s="119">
        <f t="shared" si="15"/>
        <v>0.12019574598027788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Irish potato: type</v>
      </c>
      <c r="B18" s="101">
        <f>IF([1]Summ!$J1056="",0,[1]Summ!$J1056)</f>
        <v>7.0603293206032928E-3</v>
      </c>
      <c r="C18" s="102">
        <f>IF([1]Summ!$K1056="",0,[1]Summ!$K1056)</f>
        <v>7.6034315760343165E-3</v>
      </c>
      <c r="D18" s="24">
        <f t="shared" ref="D18:D25" si="18">(B18+C18)</f>
        <v>1.4663760896637609E-2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1.4663760896637609E-2</v>
      </c>
      <c r="J18" s="24">
        <f t="shared" si="17"/>
        <v>8.3748508466919922E-3</v>
      </c>
      <c r="K18" s="22">
        <f t="shared" ref="K18:K25" si="21">B18</f>
        <v>7.0603293206032928E-3</v>
      </c>
      <c r="L18" s="22">
        <f t="shared" ref="L18:L25" si="22">IF(K18="","",K18*H18)</f>
        <v>7.0603293206032928E-3</v>
      </c>
      <c r="M18" s="225">
        <f t="shared" ref="M18:M25" si="23">J18</f>
        <v>8.3748508466919922E-3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1325.855509415914</v>
      </c>
      <c r="S18" s="222">
        <f>IF($B$81=0,0,(SUMIF($N$6:$N$28,$U18,L$6:L$28)+SUMIF($N$91:$N$118,$U18,L$91:L$118))*$I$83*Poor!$B$81/$B$81)</f>
        <v>1476.7379566419895</v>
      </c>
      <c r="T18" s="222">
        <f>IF($B$81=0,0,(SUMIF($N$6:$N$28,$U18,M$6:M$28)+SUMIF($N$91:$N$118,$U18,M$91:M$118))*$I$83*Poor!$B$81/$B$81)</f>
        <v>1476.7379566419895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Yam: type</v>
      </c>
      <c r="B19" s="101">
        <f>IF([1]Summ!$J1057="",0,[1]Summ!$J1057)</f>
        <v>2.2571606475716065E-2</v>
      </c>
      <c r="C19" s="102">
        <f>IF([1]Summ!$K1057="",0,[1]Summ!$K1057)</f>
        <v>0</v>
      </c>
      <c r="D19" s="24">
        <f t="shared" si="18"/>
        <v>2.2571606475716065E-2</v>
      </c>
      <c r="E19" s="75">
        <f>Middle!E19</f>
        <v>1</v>
      </c>
      <c r="F19" s="22"/>
      <c r="H19" s="24">
        <f t="shared" si="19"/>
        <v>1</v>
      </c>
      <c r="I19" s="22">
        <f t="shared" si="20"/>
        <v>2.2571606475716065E-2</v>
      </c>
      <c r="J19" s="24">
        <f t="shared" si="17"/>
        <v>2.2571606475716065E-2</v>
      </c>
      <c r="K19" s="22">
        <f t="shared" si="21"/>
        <v>2.2571606475716065E-2</v>
      </c>
      <c r="L19" s="22">
        <f t="shared" si="22"/>
        <v>2.2571606475716065E-2</v>
      </c>
      <c r="M19" s="225">
        <f t="shared" si="23"/>
        <v>2.2571606475716065E-2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991.20525849870728</v>
      </c>
      <c r="S19" s="222">
        <f>IF($B$81=0,0,(SUMIF($N$6:$N$28,$U19,L$6:L$28)+SUMIF($N$91:$N$118,$U19,L$91:L$118))*$I$83*Poor!$B$81/$B$81)</f>
        <v>1104.0044843898638</v>
      </c>
      <c r="T19" s="222">
        <f>IF($B$81=0,0,(SUMIF($N$6:$N$28,$U19,M$6:M$28)+SUMIF($N$91:$N$118,$U19,M$91:M$118))*$I$83*Poor!$B$81/$B$81)</f>
        <v>1104.0044843898638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1.1706102117061022E-2</v>
      </c>
      <c r="C20" s="102">
        <f>IF([1]Summ!$K1058="",0,[1]Summ!$K1058)</f>
        <v>2.9265255292652559E-3</v>
      </c>
      <c r="D20" s="24">
        <f t="shared" si="18"/>
        <v>1.4632627646326278E-2</v>
      </c>
      <c r="E20" s="75">
        <f>Middle!E20</f>
        <v>1</v>
      </c>
      <c r="F20" s="22"/>
      <c r="H20" s="24">
        <f t="shared" si="19"/>
        <v>1</v>
      </c>
      <c r="I20" s="22">
        <f t="shared" si="20"/>
        <v>1.4632627646326278E-2</v>
      </c>
      <c r="J20" s="24">
        <f t="shared" si="17"/>
        <v>1.2212055352307172E-2</v>
      </c>
      <c r="K20" s="22">
        <f t="shared" si="21"/>
        <v>1.1706102117061022E-2</v>
      </c>
      <c r="L20" s="22">
        <f t="shared" si="22"/>
        <v>1.1706102117061022E-2</v>
      </c>
      <c r="M20" s="225">
        <f t="shared" si="23"/>
        <v>1.2212055352307172E-2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8114.2031313022126</v>
      </c>
      <c r="S20" s="222">
        <f>IF($B$81=0,0,(SUMIF($N$6:$N$28,$U20,L$6:L$28)+SUMIF($N$91:$N$118,$U20,L$91:L$118))*$I$83*Poor!$B$81/$B$81)</f>
        <v>6463.2533333333331</v>
      </c>
      <c r="T20" s="222">
        <f>IF($B$81=0,0,(SUMIF($N$6:$N$28,$U20,M$6:M$28)+SUMIF($N$91:$N$118,$U20,M$91:M$118))*$I$83*Poor!$B$81/$B$81)</f>
        <v>6463.2533333333331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Labour: Land clearing, construction, herding, slaughtering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Weeding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Gifts/remittances: cereal</v>
      </c>
      <c r="B23" s="101">
        <f>IF([1]Summ!$J1061="",0,[1]Summ!$J1061)</f>
        <v>5.3477723536737236E-2</v>
      </c>
      <c r="C23" s="102">
        <f>IF([1]Summ!$K1061="",0,[1]Summ!$K1061)</f>
        <v>0</v>
      </c>
      <c r="D23" s="24">
        <f t="shared" si="18"/>
        <v>5.3477723536737236E-2</v>
      </c>
      <c r="E23" s="75">
        <f>Middle!E23</f>
        <v>1</v>
      </c>
      <c r="F23" s="22"/>
      <c r="H23" s="24">
        <f t="shared" si="19"/>
        <v>1</v>
      </c>
      <c r="I23" s="22">
        <f t="shared" si="20"/>
        <v>5.3477723536737236E-2</v>
      </c>
      <c r="J23" s="24">
        <f t="shared" si="17"/>
        <v>5.3477723536737236E-2</v>
      </c>
      <c r="K23" s="22">
        <f t="shared" si="21"/>
        <v>5.3477723536737236E-2</v>
      </c>
      <c r="L23" s="22">
        <f t="shared" si="22"/>
        <v>5.3477723536737236E-2</v>
      </c>
      <c r="M23" s="225">
        <f t="shared" si="23"/>
        <v>5.3477723536737236E-2</v>
      </c>
      <c r="N23" s="229">
        <v>13</v>
      </c>
      <c r="O23" s="2"/>
      <c r="P23" s="22"/>
      <c r="Q23" s="171" t="s">
        <v>100</v>
      </c>
      <c r="R23" s="179">
        <f>SUM(R7:R22)</f>
        <v>86612.133908328629</v>
      </c>
      <c r="S23" s="179">
        <f>SUM(S7:S22)</f>
        <v>70515.037858699114</v>
      </c>
      <c r="T23" s="179">
        <f>SUM(T7:T22)</f>
        <v>70806.32924339961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Gifts/remittances: Other</v>
      </c>
      <c r="B24" s="101">
        <f>IF([1]Summ!$J1062="",0,[1]Summ!$J1062)</f>
        <v>2.5633042756330427E-2</v>
      </c>
      <c r="C24" s="102">
        <f>IF([1]Summ!$K1062="",0,[1]Summ!$K1062)</f>
        <v>0</v>
      </c>
      <c r="D24" s="24">
        <f t="shared" si="18"/>
        <v>2.5633042756330427E-2</v>
      </c>
      <c r="E24" s="75">
        <f>Middle!E24</f>
        <v>1</v>
      </c>
      <c r="F24" s="22"/>
      <c r="H24" s="24">
        <f t="shared" si="19"/>
        <v>1</v>
      </c>
      <c r="I24" s="22">
        <f t="shared" si="20"/>
        <v>2.5633042756330427E-2</v>
      </c>
      <c r="J24" s="24">
        <f t="shared" si="17"/>
        <v>2.5633042756330427E-2</v>
      </c>
      <c r="K24" s="22">
        <f t="shared" si="21"/>
        <v>2.5633042756330427E-2</v>
      </c>
      <c r="L24" s="22">
        <f t="shared" si="22"/>
        <v>2.5633042756330427E-2</v>
      </c>
      <c r="M24" s="225">
        <f t="shared" si="23"/>
        <v>2.5633042756330427E-2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29831.109022148568</v>
      </c>
      <c r="S24" s="41">
        <f>IF($B$81=0,0,(SUM(($B$70*$H$70))+((1-$D$29)*$I$83))*Poor!$B$81/$B$81)</f>
        <v>29831.109022148568</v>
      </c>
      <c r="T24" s="41">
        <f>IF($B$81=0,0,(SUM(($B$70*$H$70))+((1-$D$29)*$I$83))*Poor!$B$81/$B$81)</f>
        <v>29831.109022148568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0.10582010582010581</v>
      </c>
      <c r="C26" s="102">
        <f>IF([1]Summ!$K1064="",0,[1]Summ!$K1064)</f>
        <v>0</v>
      </c>
      <c r="D26" s="24">
        <f t="shared" si="0"/>
        <v>0.10582010582010581</v>
      </c>
      <c r="E26" s="75">
        <f>Middle!E26</f>
        <v>1</v>
      </c>
      <c r="F26" s="22"/>
      <c r="H26" s="24">
        <f t="shared" si="1"/>
        <v>1</v>
      </c>
      <c r="I26" s="22">
        <f t="shared" si="2"/>
        <v>0.10582010582010581</v>
      </c>
      <c r="J26" s="24">
        <f>IF(I$32&lt;=1+I131,I26,B26*H26+J$33*(I26-B26*H26))</f>
        <v>0.10582010582010581</v>
      </c>
      <c r="K26" s="22">
        <f t="shared" si="4"/>
        <v>0.10582010582010581</v>
      </c>
      <c r="L26" s="22">
        <f t="shared" si="5"/>
        <v>0.10582010582010581</v>
      </c>
      <c r="M26" s="224">
        <f t="shared" si="6"/>
        <v>0.10582010582010581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79063.855688815238</v>
      </c>
      <c r="S26" s="41">
        <f>IF($B$81=0,0,(SUM(($B$70*$H$70),($B$71*$H$71),($B$72*$H$72))+((1-$D$29)*$I$83))*Poor!$B$81/$B$81)</f>
        <v>79063.855688815238</v>
      </c>
      <c r="T26" s="41">
        <f>IF($B$81=0,0,(SUM(($B$70*$H$70),($B$71*$H$71),($B$72*$H$72))+((1-$D$29)*$I$83))*Poor!$B$81/$B$81)</f>
        <v>79063.855688815238</v>
      </c>
      <c r="U26" s="56"/>
      <c r="V26" s="56"/>
      <c r="W26" s="110"/>
      <c r="X26" s="118"/>
      <c r="Y26" s="183">
        <f t="shared" si="9"/>
        <v>0.42328042328042326</v>
      </c>
      <c r="Z26" s="156">
        <f>Poor!Z26</f>
        <v>0.25</v>
      </c>
      <c r="AA26" s="121">
        <f t="shared" si="16"/>
        <v>0.10582010582010581</v>
      </c>
      <c r="AB26" s="156">
        <f>Poor!AB26</f>
        <v>0.25</v>
      </c>
      <c r="AC26" s="121">
        <f t="shared" si="7"/>
        <v>0.10582010582010581</v>
      </c>
      <c r="AD26" s="156">
        <f>Poor!AD26</f>
        <v>0.25</v>
      </c>
      <c r="AE26" s="121">
        <f t="shared" si="8"/>
        <v>0.10582010582010581</v>
      </c>
      <c r="AF26" s="122">
        <f t="shared" si="10"/>
        <v>0.25</v>
      </c>
      <c r="AG26" s="121">
        <f t="shared" si="11"/>
        <v>0.10582010582010581</v>
      </c>
      <c r="AH26" s="123">
        <f t="shared" si="12"/>
        <v>1</v>
      </c>
      <c r="AI26" s="183">
        <f t="shared" si="13"/>
        <v>0.10582010582010581</v>
      </c>
      <c r="AJ26" s="120">
        <f t="shared" si="14"/>
        <v>0.10582010582010581</v>
      </c>
      <c r="AK26" s="119">
        <f t="shared" si="15"/>
        <v>0.10582010582010581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2.7003904109589038E-2</v>
      </c>
      <c r="C27" s="102">
        <f>IF([1]Summ!$K1065="",0,[1]Summ!$K1065)</f>
        <v>-2.7003904109589038E-2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2.2335326127987214E-2</v>
      </c>
      <c r="K27" s="22">
        <f t="shared" si="4"/>
        <v>2.7003904109589038E-2</v>
      </c>
      <c r="L27" s="22">
        <f t="shared" si="5"/>
        <v>2.7003904109589038E-2</v>
      </c>
      <c r="M27" s="226">
        <f t="shared" si="6"/>
        <v>2.2335326127987214E-2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8.9341304511948855E-2</v>
      </c>
      <c r="Z27" s="156">
        <f>Poor!Z27</f>
        <v>0.25</v>
      </c>
      <c r="AA27" s="121">
        <f t="shared" si="16"/>
        <v>2.2335326127987214E-2</v>
      </c>
      <c r="AB27" s="156">
        <f>Poor!AB27</f>
        <v>0.25</v>
      </c>
      <c r="AC27" s="121">
        <f t="shared" si="7"/>
        <v>2.2335326127987214E-2</v>
      </c>
      <c r="AD27" s="156">
        <f>Poor!AD27</f>
        <v>0.25</v>
      </c>
      <c r="AE27" s="121">
        <f t="shared" si="8"/>
        <v>2.2335326127987214E-2</v>
      </c>
      <c r="AF27" s="122">
        <f t="shared" si="10"/>
        <v>0.25</v>
      </c>
      <c r="AG27" s="121">
        <f t="shared" si="11"/>
        <v>2.2335326127987214E-2</v>
      </c>
      <c r="AH27" s="123">
        <f t="shared" si="12"/>
        <v>1</v>
      </c>
      <c r="AI27" s="183">
        <f t="shared" si="13"/>
        <v>2.2335326127987214E-2</v>
      </c>
      <c r="AJ27" s="120">
        <f t="shared" si="14"/>
        <v>2.2335326127987214E-2</v>
      </c>
      <c r="AK27" s="119">
        <f t="shared" si="15"/>
        <v>2.2335326127987214E-2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0.20561839999999998</v>
      </c>
      <c r="C29" s="102">
        <f>IF([1]Summ!$K1067="",0,[1]Summ!$K1067)</f>
        <v>1.9018373941997086E-2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0.20890639722703608</v>
      </c>
      <c r="K29" s="22">
        <f t="shared" si="4"/>
        <v>0.20561839999999998</v>
      </c>
      <c r="L29" s="22">
        <f t="shared" si="5"/>
        <v>0.20561839999999998</v>
      </c>
      <c r="M29" s="175">
        <f t="shared" si="6"/>
        <v>0.20890639722703608</v>
      </c>
      <c r="N29" s="229"/>
      <c r="P29" s="22"/>
      <c r="V29" s="56"/>
      <c r="W29" s="110"/>
      <c r="X29" s="118"/>
      <c r="Y29" s="183">
        <f t="shared" si="9"/>
        <v>0.83562558890814431</v>
      </c>
      <c r="Z29" s="156">
        <f>Poor!Z29</f>
        <v>0.25</v>
      </c>
      <c r="AA29" s="121">
        <f t="shared" si="16"/>
        <v>0.20890639722703608</v>
      </c>
      <c r="AB29" s="156">
        <f>Poor!AB29</f>
        <v>0.25</v>
      </c>
      <c r="AC29" s="121">
        <f t="shared" si="7"/>
        <v>0.20890639722703608</v>
      </c>
      <c r="AD29" s="156">
        <f>Poor!AD29</f>
        <v>0.25</v>
      </c>
      <c r="AE29" s="121">
        <f t="shared" si="8"/>
        <v>0.20890639722703608</v>
      </c>
      <c r="AF29" s="122">
        <f t="shared" si="10"/>
        <v>0.25</v>
      </c>
      <c r="AG29" s="121">
        <f t="shared" si="11"/>
        <v>0.20890639722703608</v>
      </c>
      <c r="AH29" s="123">
        <f t="shared" si="12"/>
        <v>1</v>
      </c>
      <c r="AI29" s="183">
        <f t="shared" si="13"/>
        <v>0.20890639722703608</v>
      </c>
      <c r="AJ29" s="120">
        <f t="shared" si="14"/>
        <v>0.20890639722703608</v>
      </c>
      <c r="AK29" s="119">
        <f t="shared" si="15"/>
        <v>0.20890639722703608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0.60560871481942702</v>
      </c>
      <c r="C30" s="65"/>
      <c r="D30" s="24">
        <f>(D119-B124)</f>
        <v>4.531894189935838</v>
      </c>
      <c r="E30" s="75">
        <f>Middle!E30</f>
        <v>1</v>
      </c>
      <c r="H30" s="96">
        <f>(E30*F$7/F$9)</f>
        <v>1</v>
      </c>
      <c r="I30" s="29">
        <f>IF(E30&gt;=1,I119-I124,MIN(I119-I124,B30*H30))</f>
        <v>2.8865013975082401</v>
      </c>
      <c r="J30" s="231">
        <f>IF(I$32&lt;=1,I30,1-SUM(J6:J29))</f>
        <v>-3.991481927746543E-2</v>
      </c>
      <c r="K30" s="22">
        <f t="shared" si="4"/>
        <v>0.60560871481942702</v>
      </c>
      <c r="L30" s="22">
        <f>IF(L124=L119,0,IF(K30="",0,(L119-L124)/(B119-B124)*K30))</f>
        <v>0.39433225235994634</v>
      </c>
      <c r="M30" s="175">
        <f t="shared" si="6"/>
        <v>-3.991481927746543E-2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-0.15965927710986172</v>
      </c>
      <c r="Z30" s="122">
        <f>IF($Y30=0,0,AA30/($Y$30))</f>
        <v>-6.9537019377910055E-16</v>
      </c>
      <c r="AA30" s="187">
        <f>IF(AA79*4/$I$83+SUM(AA6:AA29)&lt;1,AA79*4/$I$83,1-SUM(AA6:AA29))</f>
        <v>1.1102230246251565E-16</v>
      </c>
      <c r="AB30" s="122">
        <f>IF($Y30=0,0,AC30/($Y$30))</f>
        <v>-1.3907403875582011E-15</v>
      </c>
      <c r="AC30" s="187">
        <f>IF(AC79*4/$I$83+SUM(AC6:AC29)&lt;1,AC79*4/$I$83,1-SUM(AC6:AC29))</f>
        <v>2.2204460492503131E-16</v>
      </c>
      <c r="AD30" s="122">
        <f>IF($Y30=0,0,AE30/($Y$30))</f>
        <v>-0.68072995588333807</v>
      </c>
      <c r="AE30" s="187">
        <f>IF(AE79*4/$I$83+SUM(AE6:AE29)&lt;1,AE79*4/$I$83,1-SUM(AE6:AE29))</f>
        <v>0.10868485266336181</v>
      </c>
      <c r="AF30" s="122">
        <f>IF($Y30=0,0,AG30/($Y$30))</f>
        <v>-1.3825252756594997</v>
      </c>
      <c r="AG30" s="187">
        <f>IF(AG79*4/$I$83+SUM(AG6:AG29)&lt;1,AG79*4/$I$83,1-SUM(AG6:AG29))</f>
        <v>0.22073298609790803</v>
      </c>
      <c r="AH30" s="123">
        <f t="shared" si="12"/>
        <v>-2.0632552315428399</v>
      </c>
      <c r="AI30" s="183">
        <f t="shared" si="13"/>
        <v>8.2354459690317544E-2</v>
      </c>
      <c r="AJ30" s="120">
        <f t="shared" si="14"/>
        <v>1.6653345369377348E-16</v>
      </c>
      <c r="AK30" s="119">
        <f t="shared" si="15"/>
        <v>0.16470891938063492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-0.41132809511238899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1.6819659355281447</v>
      </c>
      <c r="C32" s="29">
        <f>SUM(C6:C31)</f>
        <v>0.12636905707469395</v>
      </c>
      <c r="D32" s="24">
        <f>SUM(D6:D30)</f>
        <v>5.7346204677192496</v>
      </c>
      <c r="E32" s="2"/>
      <c r="F32" s="2"/>
      <c r="H32" s="17"/>
      <c r="I32" s="22">
        <f>SUM(I6:I30)</f>
        <v>4.0360647687052396</v>
      </c>
      <c r="J32" s="17"/>
      <c r="L32" s="22">
        <f>SUM(L6:L30)</f>
        <v>1.411328095112389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8548.8178301161242</v>
      </c>
      <c r="T32" s="234">
        <f t="shared" si="24"/>
        <v>8257.5264454156277</v>
      </c>
      <c r="V32" s="56"/>
      <c r="W32" s="110"/>
      <c r="X32" s="118"/>
      <c r="Y32" s="115">
        <f>SUM(Y6:Y31)</f>
        <v>3.5109228841288682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0.17288529697985489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8000</v>
      </c>
      <c r="C37" s="104">
        <f>IF([1]Summ!$K1072="",0,[1]Summ!$K1072)</f>
        <v>2000</v>
      </c>
      <c r="D37" s="38">
        <f t="shared" ref="D37:D64" si="25">B37+C37</f>
        <v>10000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9440</v>
      </c>
      <c r="J37" s="38">
        <f>J91*I$83</f>
        <v>7878.4074406979662</v>
      </c>
      <c r="K37" s="40">
        <f t="shared" ref="K37:K52" si="28">(B37/B$65)</f>
        <v>0.13853773421535689</v>
      </c>
      <c r="L37" s="22">
        <f t="shared" ref="L37:L52" si="29">(K37*H37)</f>
        <v>0.13077962109929689</v>
      </c>
      <c r="M37" s="24">
        <f t="shared" ref="M37:M52" si="30">J37/B$65</f>
        <v>0.13643208950746313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7878.4074406979662</v>
      </c>
      <c r="AH37" s="123">
        <f>SUM(Z37,AB37,AD37,AF37)</f>
        <v>1</v>
      </c>
      <c r="AI37" s="112">
        <f>SUM(AA37,AC37,AE37,AG37)</f>
        <v>7878.4074406979662</v>
      </c>
      <c r="AJ37" s="148">
        <f>(AA37+AC37)</f>
        <v>0</v>
      </c>
      <c r="AK37" s="147">
        <f>(AE37+AG37)</f>
        <v>7878.4074406979662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2500</v>
      </c>
      <c r="C38" s="104">
        <f>IF([1]Summ!$K1073="",0,[1]Summ!$K1073)</f>
        <v>500</v>
      </c>
      <c r="D38" s="38">
        <f t="shared" si="25"/>
        <v>3000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2832</v>
      </c>
      <c r="J38" s="38">
        <f t="shared" ref="J38:J64" si="33">J92*I$83</f>
        <v>2441.6018601744909</v>
      </c>
      <c r="K38" s="40">
        <f t="shared" si="28"/>
        <v>4.3293041942299035E-2</v>
      </c>
      <c r="L38" s="22">
        <f t="shared" si="29"/>
        <v>4.086863159353029E-2</v>
      </c>
      <c r="M38" s="24">
        <f t="shared" si="30"/>
        <v>4.228174869557183E-2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2441.6018601744909</v>
      </c>
      <c r="AH38" s="123">
        <f t="shared" ref="AH38:AI58" si="35">SUM(Z38,AB38,AD38,AF38)</f>
        <v>1</v>
      </c>
      <c r="AI38" s="112">
        <f t="shared" si="35"/>
        <v>2441.6018601744909</v>
      </c>
      <c r="AJ38" s="148">
        <f t="shared" ref="AJ38:AJ64" si="36">(AA38+AC38)</f>
        <v>0</v>
      </c>
      <c r="AK38" s="147">
        <f t="shared" ref="AK38:AK64" si="37">(AE38+AG38)</f>
        <v>2441.6018601744909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550</v>
      </c>
      <c r="C39" s="104">
        <f>IF([1]Summ!$K1074="",0,[1]Summ!$K1074)</f>
        <v>0</v>
      </c>
      <c r="D39" s="38">
        <f t="shared" si="25"/>
        <v>550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649</v>
      </c>
      <c r="J39" s="38">
        <f t="shared" si="33"/>
        <v>649</v>
      </c>
      <c r="K39" s="40">
        <f t="shared" si="28"/>
        <v>9.5244692273057877E-3</v>
      </c>
      <c r="L39" s="22">
        <f t="shared" si="29"/>
        <v>1.1238873688220829E-2</v>
      </c>
      <c r="M39" s="24">
        <f t="shared" si="30"/>
        <v>1.1238873688220829E-2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0.39483215123465715</v>
      </c>
      <c r="AA39" s="147">
        <f>$J39*Z39</f>
        <v>256.2460661512925</v>
      </c>
      <c r="AB39" s="122">
        <f>AB8</f>
        <v>0.43011816274252418</v>
      </c>
      <c r="AC39" s="147">
        <f>$J39*AB39</f>
        <v>279.14668761989822</v>
      </c>
      <c r="AD39" s="122">
        <f>AD8</f>
        <v>0.17504968602281865</v>
      </c>
      <c r="AE39" s="147">
        <f>$J39*AD39</f>
        <v>113.6072462288093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649</v>
      </c>
      <c r="AJ39" s="148">
        <f t="shared" si="36"/>
        <v>535.39275377119066</v>
      </c>
      <c r="AK39" s="147">
        <f t="shared" si="37"/>
        <v>113.6072462288093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655</v>
      </c>
      <c r="C40" s="104">
        <f>IF([1]Summ!$K1075="",0,[1]Summ!$K1075)</f>
        <v>-655</v>
      </c>
      <c r="D40" s="38">
        <f t="shared" si="25"/>
        <v>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0</v>
      </c>
      <c r="J40" s="38">
        <f t="shared" si="33"/>
        <v>826.72595910972552</v>
      </c>
      <c r="K40" s="40">
        <f t="shared" si="28"/>
        <v>1.1342776988882346E-2</v>
      </c>
      <c r="L40" s="22">
        <f t="shared" si="29"/>
        <v>1.7309077685034462E-2</v>
      </c>
      <c r="M40" s="24">
        <f t="shared" si="30"/>
        <v>1.4316592649009897E-2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0.39483215123465715</v>
      </c>
      <c r="AA40" s="147">
        <f>$J40*Z40</f>
        <v>326.41798891682811</v>
      </c>
      <c r="AB40" s="122">
        <f>AB9</f>
        <v>0.43011816274252418</v>
      </c>
      <c r="AC40" s="147">
        <f>$J40*AB40</f>
        <v>355.58985062382629</v>
      </c>
      <c r="AD40" s="122">
        <f>AD9</f>
        <v>0.17504968602281865</v>
      </c>
      <c r="AE40" s="147">
        <f>$J40*AD40</f>
        <v>144.71811956907106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826.72595910972552</v>
      </c>
      <c r="AJ40" s="148">
        <f t="shared" si="36"/>
        <v>682.00783954065446</v>
      </c>
      <c r="AK40" s="147">
        <f t="shared" si="37"/>
        <v>144.71811956907106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1250</v>
      </c>
      <c r="C41" s="104">
        <f>IF([1]Summ!$K1076="",0,[1]Summ!$K1076)</f>
        <v>1075</v>
      </c>
      <c r="D41" s="38">
        <f t="shared" si="25"/>
        <v>2325</v>
      </c>
      <c r="E41" s="75">
        <f>Middle!E41</f>
        <v>1</v>
      </c>
      <c r="F41" s="75">
        <f>Middle!F41</f>
        <v>1.4</v>
      </c>
      <c r="G41" s="22">
        <f t="shared" si="32"/>
        <v>1.65</v>
      </c>
      <c r="H41" s="24">
        <f t="shared" si="26"/>
        <v>1.4</v>
      </c>
      <c r="I41" s="39">
        <f t="shared" si="27"/>
        <v>3255</v>
      </c>
      <c r="J41" s="38">
        <f t="shared" si="33"/>
        <v>2010.1923719546817</v>
      </c>
      <c r="K41" s="40">
        <f t="shared" si="28"/>
        <v>2.1646520971149517E-2</v>
      </c>
      <c r="L41" s="22">
        <f t="shared" si="29"/>
        <v>3.0305129359609322E-2</v>
      </c>
      <c r="M41" s="24">
        <f t="shared" si="30"/>
        <v>3.4810937068449448E-2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0.39483215123465715</v>
      </c>
      <c r="AA41" s="147">
        <f>$J41*Z41</f>
        <v>793.68857861436504</v>
      </c>
      <c r="AB41" s="122">
        <f>AB11</f>
        <v>0.43011816274252418</v>
      </c>
      <c r="AC41" s="147">
        <f>$J41*AB41</f>
        <v>864.62024978418447</v>
      </c>
      <c r="AD41" s="122">
        <f>AD11</f>
        <v>0.17504968602281867</v>
      </c>
      <c r="AE41" s="147">
        <f>$J41*AD41</f>
        <v>351.88354355613217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2010.1923719546817</v>
      </c>
      <c r="AJ41" s="148">
        <f t="shared" si="36"/>
        <v>1658.3088283985494</v>
      </c>
      <c r="AK41" s="147">
        <f t="shared" si="37"/>
        <v>351.88354355613217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Water melon: no. local meas (Bhece)</v>
      </c>
      <c r="B42" s="104">
        <f>IF([1]Summ!$J1077="",0,[1]Summ!$J1077)</f>
        <v>99</v>
      </c>
      <c r="C42" s="104">
        <f>IF([1]Summ!$K1077="",0,[1]Summ!$K1077)</f>
        <v>-99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>
        <f t="shared" si="33"/>
        <v>114.63809783859212</v>
      </c>
      <c r="K42" s="40">
        <f t="shared" si="28"/>
        <v>1.7144044609150417E-3</v>
      </c>
      <c r="L42" s="22">
        <f t="shared" si="29"/>
        <v>2.4001662452810581E-3</v>
      </c>
      <c r="M42" s="24">
        <f t="shared" si="30"/>
        <v>1.9852127911646196E-3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28.659524459648029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57.319048919296058</v>
      </c>
      <c r="AF42" s="122">
        <f t="shared" si="31"/>
        <v>0.25</v>
      </c>
      <c r="AG42" s="147">
        <f t="shared" si="34"/>
        <v>28.659524459648029</v>
      </c>
      <c r="AH42" s="123">
        <f t="shared" si="35"/>
        <v>1</v>
      </c>
      <c r="AI42" s="112">
        <f t="shared" si="35"/>
        <v>114.63809783859212</v>
      </c>
      <c r="AJ42" s="148">
        <f t="shared" si="36"/>
        <v>28.659524459648029</v>
      </c>
      <c r="AK42" s="147">
        <f t="shared" si="37"/>
        <v>85.978573378944091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Sweet poatato: no. local meas</v>
      </c>
      <c r="B43" s="104">
        <f>IF([1]Summ!$J1078="",0,[1]Summ!$J1078)</f>
        <v>750</v>
      </c>
      <c r="C43" s="104">
        <f>IF([1]Summ!$K1078="",0,[1]Summ!$K1078)</f>
        <v>-750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868.47043817115241</v>
      </c>
      <c r="K43" s="40">
        <f t="shared" si="28"/>
        <v>1.298791258268971E-2</v>
      </c>
      <c r="L43" s="22">
        <f t="shared" si="29"/>
        <v>1.8183077615765594E-2</v>
      </c>
      <c r="M43" s="24">
        <f t="shared" si="30"/>
        <v>1.5039490842156208E-2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217.1176095427881</v>
      </c>
      <c r="AB43" s="156">
        <f>Poor!AB43</f>
        <v>0.25</v>
      </c>
      <c r="AC43" s="147">
        <f t="shared" si="39"/>
        <v>217.1176095427881</v>
      </c>
      <c r="AD43" s="156">
        <f>Poor!AD43</f>
        <v>0.25</v>
      </c>
      <c r="AE43" s="147">
        <f t="shared" si="40"/>
        <v>217.1176095427881</v>
      </c>
      <c r="AF43" s="122">
        <f t="shared" si="31"/>
        <v>0.25</v>
      </c>
      <c r="AG43" s="147">
        <f t="shared" si="34"/>
        <v>217.1176095427881</v>
      </c>
      <c r="AH43" s="123">
        <f t="shared" si="35"/>
        <v>1</v>
      </c>
      <c r="AI43" s="112">
        <f t="shared" si="35"/>
        <v>868.47043817115241</v>
      </c>
      <c r="AJ43" s="148">
        <f t="shared" si="36"/>
        <v>434.2352190855762</v>
      </c>
      <c r="AK43" s="147">
        <f t="shared" si="37"/>
        <v>434.2352190855762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Groundnuts (dry): no. local meas</v>
      </c>
      <c r="B44" s="104">
        <f>IF([1]Summ!$J1079="",0,[1]Summ!$J1079)</f>
        <v>1140</v>
      </c>
      <c r="C44" s="104">
        <f>IF([1]Summ!$K1079="",0,[1]Summ!$K1079)</f>
        <v>-1140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1320.0750660201516</v>
      </c>
      <c r="K44" s="40">
        <f t="shared" si="28"/>
        <v>1.974162712568836E-2</v>
      </c>
      <c r="L44" s="22">
        <f t="shared" si="29"/>
        <v>2.7638277975963702E-2</v>
      </c>
      <c r="M44" s="24">
        <f t="shared" si="30"/>
        <v>2.2860026080077436E-2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330.01876650503789</v>
      </c>
      <c r="AB44" s="156">
        <f>Poor!AB44</f>
        <v>0.25</v>
      </c>
      <c r="AC44" s="147">
        <f t="shared" si="39"/>
        <v>330.01876650503789</v>
      </c>
      <c r="AD44" s="156">
        <f>Poor!AD44</f>
        <v>0.25</v>
      </c>
      <c r="AE44" s="147">
        <f t="shared" si="40"/>
        <v>330.01876650503789</v>
      </c>
      <c r="AF44" s="122">
        <f t="shared" si="31"/>
        <v>0.25</v>
      </c>
      <c r="AG44" s="147">
        <f t="shared" si="34"/>
        <v>330.01876650503789</v>
      </c>
      <c r="AH44" s="123">
        <f t="shared" si="35"/>
        <v>1</v>
      </c>
      <c r="AI44" s="112">
        <f t="shared" si="35"/>
        <v>1320.0750660201516</v>
      </c>
      <c r="AJ44" s="148">
        <f t="shared" si="36"/>
        <v>660.03753301007578</v>
      </c>
      <c r="AK44" s="147">
        <f t="shared" si="37"/>
        <v>660.03753301007578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Irish potato: type</v>
      </c>
      <c r="B45" s="104">
        <f>IF([1]Summ!$J1080="",0,[1]Summ!$J1080)</f>
        <v>280</v>
      </c>
      <c r="C45" s="104">
        <f>IF([1]Summ!$K1080="",0,[1]Summ!$K1080)</f>
        <v>-280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324.22896358389687</v>
      </c>
      <c r="K45" s="40">
        <f t="shared" si="28"/>
        <v>4.8488206975374915E-3</v>
      </c>
      <c r="L45" s="22">
        <f t="shared" si="29"/>
        <v>6.7883489765524878E-3</v>
      </c>
      <c r="M45" s="24">
        <f t="shared" si="30"/>
        <v>5.614743247738317E-3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81.057240895974218</v>
      </c>
      <c r="AB45" s="156">
        <f>Poor!AB45</f>
        <v>0.25</v>
      </c>
      <c r="AC45" s="147">
        <f t="shared" si="39"/>
        <v>81.057240895974218</v>
      </c>
      <c r="AD45" s="156">
        <f>Poor!AD45</f>
        <v>0.25</v>
      </c>
      <c r="AE45" s="147">
        <f t="shared" si="40"/>
        <v>81.057240895974218</v>
      </c>
      <c r="AF45" s="122">
        <f t="shared" si="31"/>
        <v>0.25</v>
      </c>
      <c r="AG45" s="147">
        <f t="shared" si="34"/>
        <v>81.057240895974218</v>
      </c>
      <c r="AH45" s="123">
        <f t="shared" si="35"/>
        <v>1</v>
      </c>
      <c r="AI45" s="112">
        <f t="shared" si="35"/>
        <v>324.22896358389687</v>
      </c>
      <c r="AJ45" s="148">
        <f t="shared" si="36"/>
        <v>162.11448179194844</v>
      </c>
      <c r="AK45" s="147">
        <f t="shared" si="37"/>
        <v>162.11448179194844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Yam: type</v>
      </c>
      <c r="B46" s="104">
        <f>IF([1]Summ!$J1081="",0,[1]Summ!$J1081)</f>
        <v>500</v>
      </c>
      <c r="C46" s="104">
        <f>IF([1]Summ!$K1081="",0,[1]Summ!$K1081)</f>
        <v>0</v>
      </c>
      <c r="D46" s="38">
        <f t="shared" si="25"/>
        <v>500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700</v>
      </c>
      <c r="J46" s="38">
        <f t="shared" si="33"/>
        <v>700</v>
      </c>
      <c r="K46" s="40">
        <f t="shared" si="28"/>
        <v>8.6586083884598059E-3</v>
      </c>
      <c r="L46" s="22">
        <f t="shared" si="29"/>
        <v>1.2122051743843728E-2</v>
      </c>
      <c r="M46" s="24">
        <f t="shared" si="30"/>
        <v>1.212205174384373E-2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175</v>
      </c>
      <c r="AB46" s="156">
        <f>Poor!AB46</f>
        <v>0.25</v>
      </c>
      <c r="AC46" s="147">
        <f t="shared" si="39"/>
        <v>175</v>
      </c>
      <c r="AD46" s="156">
        <f>Poor!AD46</f>
        <v>0.25</v>
      </c>
      <c r="AE46" s="147">
        <f t="shared" si="40"/>
        <v>175</v>
      </c>
      <c r="AF46" s="122">
        <f t="shared" si="31"/>
        <v>0.25</v>
      </c>
      <c r="AG46" s="147">
        <f t="shared" si="34"/>
        <v>175</v>
      </c>
      <c r="AH46" s="123">
        <f t="shared" si="35"/>
        <v>1</v>
      </c>
      <c r="AI46" s="112">
        <f t="shared" si="35"/>
        <v>700</v>
      </c>
      <c r="AJ46" s="148">
        <f t="shared" si="36"/>
        <v>350</v>
      </c>
      <c r="AK46" s="147">
        <f t="shared" si="37"/>
        <v>350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Spinach (cash): kg produced</v>
      </c>
      <c r="B47" s="104">
        <f>IF([1]Summ!$J1082="",0,[1]Summ!$J1082)</f>
        <v>300</v>
      </c>
      <c r="C47" s="104">
        <f>IF([1]Summ!$K1082="",0,[1]Summ!$K1082)</f>
        <v>0</v>
      </c>
      <c r="D47" s="38">
        <f t="shared" si="25"/>
        <v>300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420</v>
      </c>
      <c r="J47" s="38">
        <f t="shared" si="33"/>
        <v>420</v>
      </c>
      <c r="K47" s="40">
        <f t="shared" si="28"/>
        <v>5.1951650330758839E-3</v>
      </c>
      <c r="L47" s="22">
        <f t="shared" si="29"/>
        <v>7.2732310463062373E-3</v>
      </c>
      <c r="M47" s="24">
        <f t="shared" si="30"/>
        <v>7.2732310463062373E-3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105</v>
      </c>
      <c r="AB47" s="156">
        <f>Poor!AB47</f>
        <v>0.25</v>
      </c>
      <c r="AC47" s="147">
        <f t="shared" si="39"/>
        <v>105</v>
      </c>
      <c r="AD47" s="156">
        <f>Poor!AD47</f>
        <v>0.25</v>
      </c>
      <c r="AE47" s="147">
        <f t="shared" si="40"/>
        <v>105</v>
      </c>
      <c r="AF47" s="122">
        <f t="shared" si="31"/>
        <v>0.25</v>
      </c>
      <c r="AG47" s="147">
        <f t="shared" si="34"/>
        <v>105</v>
      </c>
      <c r="AH47" s="123">
        <f t="shared" si="35"/>
        <v>1</v>
      </c>
      <c r="AI47" s="112">
        <f t="shared" si="35"/>
        <v>420</v>
      </c>
      <c r="AJ47" s="148">
        <f t="shared" si="36"/>
        <v>210</v>
      </c>
      <c r="AK47" s="147">
        <f t="shared" si="37"/>
        <v>210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Tomatoes (cash): kg produced</v>
      </c>
      <c r="B48" s="104">
        <f>IF([1]Summ!$J1083="",0,[1]Summ!$J1083)</f>
        <v>500</v>
      </c>
      <c r="C48" s="104">
        <f>IF([1]Summ!$K1083="",0,[1]Summ!$K1083)</f>
        <v>0</v>
      </c>
      <c r="D48" s="38">
        <f t="shared" si="25"/>
        <v>500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700</v>
      </c>
      <c r="J48" s="38">
        <f t="shared" si="33"/>
        <v>700</v>
      </c>
      <c r="K48" s="40">
        <f t="shared" si="28"/>
        <v>8.6586083884598059E-3</v>
      </c>
      <c r="L48" s="22">
        <f t="shared" si="29"/>
        <v>1.2122051743843728E-2</v>
      </c>
      <c r="M48" s="24">
        <f t="shared" si="30"/>
        <v>1.212205174384373E-2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175</v>
      </c>
      <c r="AB48" s="156">
        <f>Poor!AB48</f>
        <v>0.25</v>
      </c>
      <c r="AC48" s="147">
        <f t="shared" si="39"/>
        <v>175</v>
      </c>
      <c r="AD48" s="156">
        <f>Poor!AD48</f>
        <v>0.25</v>
      </c>
      <c r="AE48" s="147">
        <f t="shared" si="40"/>
        <v>175</v>
      </c>
      <c r="AF48" s="122">
        <f t="shared" si="31"/>
        <v>0.25</v>
      </c>
      <c r="AG48" s="147">
        <f t="shared" si="34"/>
        <v>175</v>
      </c>
      <c r="AH48" s="123">
        <f t="shared" si="35"/>
        <v>1</v>
      </c>
      <c r="AI48" s="112">
        <f t="shared" si="35"/>
        <v>700</v>
      </c>
      <c r="AJ48" s="148">
        <f t="shared" si="36"/>
        <v>350</v>
      </c>
      <c r="AK48" s="147">
        <f t="shared" si="37"/>
        <v>350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Cabbage (cash): kg produced</v>
      </c>
      <c r="B49" s="104">
        <f>IF([1]Summ!$J1084="",0,[1]Summ!$J1084)</f>
        <v>300</v>
      </c>
      <c r="C49" s="104">
        <f>IF([1]Summ!$K1084="",0,[1]Summ!$K1084)</f>
        <v>0</v>
      </c>
      <c r="D49" s="38">
        <f t="shared" si="25"/>
        <v>300</v>
      </c>
      <c r="E49" s="75">
        <f>Middle!E49</f>
        <v>1</v>
      </c>
      <c r="F49" s="75">
        <f>Middle!F49</f>
        <v>1.4</v>
      </c>
      <c r="G49" s="22">
        <f t="shared" si="32"/>
        <v>1.65</v>
      </c>
      <c r="H49" s="24">
        <f t="shared" si="26"/>
        <v>1.4</v>
      </c>
      <c r="I49" s="39">
        <f t="shared" si="27"/>
        <v>420</v>
      </c>
      <c r="J49" s="38">
        <f t="shared" si="33"/>
        <v>420</v>
      </c>
      <c r="K49" s="40">
        <f t="shared" si="28"/>
        <v>5.1951650330758839E-3</v>
      </c>
      <c r="L49" s="22">
        <f t="shared" si="29"/>
        <v>7.2732310463062373E-3</v>
      </c>
      <c r="M49" s="24">
        <f t="shared" si="30"/>
        <v>7.2732310463062373E-3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105</v>
      </c>
      <c r="AB49" s="156">
        <f>Poor!AB49</f>
        <v>0.25</v>
      </c>
      <c r="AC49" s="147">
        <f t="shared" si="39"/>
        <v>105</v>
      </c>
      <c r="AD49" s="156">
        <f>Poor!AD49</f>
        <v>0.25</v>
      </c>
      <c r="AE49" s="147">
        <f t="shared" si="40"/>
        <v>105</v>
      </c>
      <c r="AF49" s="122">
        <f t="shared" si="31"/>
        <v>0.25</v>
      </c>
      <c r="AG49" s="147">
        <f t="shared" si="34"/>
        <v>105</v>
      </c>
      <c r="AH49" s="123">
        <f t="shared" si="35"/>
        <v>1</v>
      </c>
      <c r="AI49" s="112">
        <f t="shared" si="35"/>
        <v>420</v>
      </c>
      <c r="AJ49" s="148">
        <f t="shared" si="36"/>
        <v>210</v>
      </c>
      <c r="AK49" s="147">
        <f t="shared" si="37"/>
        <v>210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Agricultural cash income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1.1100000000000001</v>
      </c>
      <c r="G50" s="22">
        <f t="shared" si="32"/>
        <v>1.65</v>
      </c>
      <c r="H50" s="24">
        <f t="shared" si="26"/>
        <v>1.1100000000000001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Labour migration(formal employment): no. people per HH</v>
      </c>
      <c r="B51" s="104">
        <f>IF([1]Summ!$J1086="",0,[1]Summ!$J1086)</f>
        <v>11000</v>
      </c>
      <c r="C51" s="104">
        <f>IF([1]Summ!$K1086="",0,[1]Summ!$K1086)</f>
        <v>0</v>
      </c>
      <c r="D51" s="38">
        <f t="shared" si="25"/>
        <v>11000</v>
      </c>
      <c r="E51" s="75">
        <f>Middle!E51</f>
        <v>1</v>
      </c>
      <c r="F51" s="75">
        <f>Middle!F51</f>
        <v>1.18</v>
      </c>
      <c r="G51" s="22">
        <f t="shared" si="32"/>
        <v>1.65</v>
      </c>
      <c r="H51" s="24">
        <f t="shared" si="26"/>
        <v>1.18</v>
      </c>
      <c r="I51" s="39">
        <f t="shared" si="27"/>
        <v>12980</v>
      </c>
      <c r="J51" s="38">
        <f t="shared" si="33"/>
        <v>12980</v>
      </c>
      <c r="K51" s="40">
        <f t="shared" si="28"/>
        <v>0.19048938454611575</v>
      </c>
      <c r="L51" s="22">
        <f t="shared" si="29"/>
        <v>0.22477747376441656</v>
      </c>
      <c r="M51" s="24">
        <f t="shared" si="30"/>
        <v>0.22477747376441659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3245</v>
      </c>
      <c r="AB51" s="156">
        <f>Poor!AB56</f>
        <v>0.25</v>
      </c>
      <c r="AC51" s="147">
        <f t="shared" si="39"/>
        <v>3245</v>
      </c>
      <c r="AD51" s="156">
        <f>Poor!AD56</f>
        <v>0.25</v>
      </c>
      <c r="AE51" s="147">
        <f t="shared" si="40"/>
        <v>3245</v>
      </c>
      <c r="AF51" s="122">
        <f t="shared" si="31"/>
        <v>0.25</v>
      </c>
      <c r="AG51" s="147">
        <f t="shared" si="34"/>
        <v>3245</v>
      </c>
      <c r="AH51" s="123">
        <f t="shared" si="35"/>
        <v>1</v>
      </c>
      <c r="AI51" s="112">
        <f t="shared" si="35"/>
        <v>12980</v>
      </c>
      <c r="AJ51" s="148">
        <f t="shared" si="36"/>
        <v>6490</v>
      </c>
      <c r="AK51" s="147">
        <f t="shared" si="37"/>
        <v>6490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Formal Employment (conservancies, etc.)</v>
      </c>
      <c r="B52" s="104">
        <f>IF([1]Summ!$J1087="",0,[1]Summ!$J1087)</f>
        <v>23760</v>
      </c>
      <c r="C52" s="104">
        <f>IF([1]Summ!$K1087="",0,[1]Summ!$K1087)</f>
        <v>0</v>
      </c>
      <c r="D52" s="38">
        <f t="shared" si="25"/>
        <v>23760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28036.799999999999</v>
      </c>
      <c r="J52" s="38">
        <f t="shared" si="33"/>
        <v>28036.799999999999</v>
      </c>
      <c r="K52" s="40">
        <f t="shared" si="28"/>
        <v>0.41145707061961001</v>
      </c>
      <c r="L52" s="22">
        <f t="shared" si="29"/>
        <v>0.48551934333113977</v>
      </c>
      <c r="M52" s="24">
        <f t="shared" si="30"/>
        <v>0.48551934333113983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7009.2</v>
      </c>
      <c r="AB52" s="156">
        <f>Poor!AB57</f>
        <v>0.25</v>
      </c>
      <c r="AC52" s="147">
        <f t="shared" si="39"/>
        <v>7009.2</v>
      </c>
      <c r="AD52" s="156">
        <f>Poor!AD57</f>
        <v>0.25</v>
      </c>
      <c r="AE52" s="147">
        <f t="shared" si="40"/>
        <v>7009.2</v>
      </c>
      <c r="AF52" s="122">
        <f t="shared" si="31"/>
        <v>0.25</v>
      </c>
      <c r="AG52" s="147">
        <f t="shared" si="34"/>
        <v>7009.2</v>
      </c>
      <c r="AH52" s="123">
        <f t="shared" si="35"/>
        <v>1</v>
      </c>
      <c r="AI52" s="112">
        <f t="shared" si="35"/>
        <v>28036.799999999999</v>
      </c>
      <c r="AJ52" s="148">
        <f t="shared" si="36"/>
        <v>14018.4</v>
      </c>
      <c r="AK52" s="147">
        <f t="shared" si="37"/>
        <v>14018.4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Self-employment -- see Data2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0.8</v>
      </c>
      <c r="F53" s="75">
        <f>Middle!F53</f>
        <v>1</v>
      </c>
      <c r="G53" s="22">
        <f t="shared" si="32"/>
        <v>1.65</v>
      </c>
      <c r="H53" s="24">
        <f t="shared" ref="H53:H64" si="41">(E53*F53)</f>
        <v>0.8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Small business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0.8</v>
      </c>
      <c r="F54" s="75">
        <f>Middle!F54</f>
        <v>1.18</v>
      </c>
      <c r="G54" s="22">
        <f t="shared" si="32"/>
        <v>1.65</v>
      </c>
      <c r="H54" s="24">
        <f t="shared" si="41"/>
        <v>0.94399999999999995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Social development -- see Data2</v>
      </c>
      <c r="B55" s="104">
        <f>IF([1]Summ!$J1090="",0,[1]Summ!$J1090)</f>
        <v>6162</v>
      </c>
      <c r="C55" s="104">
        <f>IF([1]Summ!$K1090="",0,[1]Summ!$K1090)</f>
        <v>0</v>
      </c>
      <c r="D55" s="38">
        <f t="shared" si="25"/>
        <v>6162</v>
      </c>
      <c r="E55" s="75">
        <f>Middle!E55</f>
        <v>1</v>
      </c>
      <c r="F55" s="75">
        <f>Middle!F55</f>
        <v>1.18</v>
      </c>
      <c r="G55" s="22">
        <f t="shared" si="32"/>
        <v>1.65</v>
      </c>
      <c r="H55" s="24">
        <f t="shared" si="41"/>
        <v>1.18</v>
      </c>
      <c r="I55" s="39">
        <f t="shared" si="42"/>
        <v>7271.16</v>
      </c>
      <c r="J55" s="38">
        <f t="shared" si="33"/>
        <v>7271.16</v>
      </c>
      <c r="K55" s="40">
        <f t="shared" si="43"/>
        <v>0.10670868977937865</v>
      </c>
      <c r="L55" s="22">
        <f t="shared" si="44"/>
        <v>0.12591625393966679</v>
      </c>
      <c r="M55" s="24">
        <f t="shared" si="45"/>
        <v>0.12591625393966682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Public works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1.18</v>
      </c>
      <c r="G56" s="22">
        <f t="shared" si="32"/>
        <v>1.65</v>
      </c>
      <c r="H56" s="24">
        <f t="shared" si="41"/>
        <v>1.18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Other income: e.g. Credit (cotton loans)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57746</v>
      </c>
      <c r="C65" s="39">
        <f>SUM(C37:C64)</f>
        <v>651</v>
      </c>
      <c r="D65" s="42">
        <f>SUM(D37:D64)</f>
        <v>58397</v>
      </c>
      <c r="E65" s="32"/>
      <c r="F65" s="32"/>
      <c r="G65" s="32"/>
      <c r="H65" s="31"/>
      <c r="I65" s="39">
        <f>SUM(I37:I64)</f>
        <v>66703.960000000006</v>
      </c>
      <c r="J65" s="39">
        <f>SUM(J37:J64)</f>
        <v>66961.300197550663</v>
      </c>
      <c r="K65" s="40">
        <f>SUM(K37:K64)</f>
        <v>1</v>
      </c>
      <c r="L65" s="22">
        <f>SUM(L37:L64)</f>
        <v>1.1605148408547776</v>
      </c>
      <c r="M65" s="24">
        <f>SUM(M37:M64)</f>
        <v>1.1595833511853748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12847.405775085934</v>
      </c>
      <c r="AB65" s="137"/>
      <c r="AC65" s="153">
        <f>SUM(AC37:AC64)</f>
        <v>12941.75040497171</v>
      </c>
      <c r="AD65" s="137"/>
      <c r="AE65" s="153">
        <f>SUM(AE37:AE64)</f>
        <v>12109.921575217108</v>
      </c>
      <c r="AF65" s="137"/>
      <c r="AG65" s="153">
        <f>SUM(AG37:AG64)</f>
        <v>21791.062442275907</v>
      </c>
      <c r="AH65" s="137"/>
      <c r="AI65" s="153">
        <f>SUM(AI37:AI64)</f>
        <v>59690.14019755066</v>
      </c>
      <c r="AJ65" s="153">
        <f>SUM(AJ37:AJ64)</f>
        <v>25789.156180057646</v>
      </c>
      <c r="AK65" s="153">
        <f>SUM(AK37:AK64)</f>
        <v>33900.984017493014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15276.520068318912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21387.128095646476</v>
      </c>
      <c r="J70" s="51">
        <f>J124*I$83</f>
        <v>21387.128095646476</v>
      </c>
      <c r="K70" s="40">
        <f>B70/B$76</f>
        <v>0.2645468096200414</v>
      </c>
      <c r="L70" s="22">
        <f>(L124*G$37*F$9/F$7)/B$130</f>
        <v>0.37036553346805801</v>
      </c>
      <c r="M70" s="24">
        <f>J70/B$76</f>
        <v>0.37036553346805801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5346.782023911619</v>
      </c>
      <c r="AB70" s="156">
        <f>Poor!AB70</f>
        <v>0.25</v>
      </c>
      <c r="AC70" s="147">
        <f>$J70*AB70</f>
        <v>5346.782023911619</v>
      </c>
      <c r="AD70" s="156">
        <f>Poor!AD70</f>
        <v>0.25</v>
      </c>
      <c r="AE70" s="147">
        <f>$J70*AD70</f>
        <v>5346.782023911619</v>
      </c>
      <c r="AF70" s="156">
        <f>Poor!AF70</f>
        <v>0.25</v>
      </c>
      <c r="AG70" s="147">
        <f>$J70*AF70</f>
        <v>5346.782023911619</v>
      </c>
      <c r="AH70" s="155">
        <f>SUM(Z70,AB70,AD70,AF70)</f>
        <v>1</v>
      </c>
      <c r="AI70" s="147">
        <f>SUM(AA70,AC70,AE70,AG70)</f>
        <v>21387.128095646476</v>
      </c>
      <c r="AJ70" s="148">
        <f>(AA70+AC70)</f>
        <v>10693.564047823238</v>
      </c>
      <c r="AK70" s="147">
        <f>(AE70+AG70)</f>
        <v>10693.564047823238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15726.000000000002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18556.680000000004</v>
      </c>
      <c r="J71" s="51">
        <f t="shared" ref="J71:J72" si="49">J125*I$83</f>
        <v>18556.680000000004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27644.1376172159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11510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>
        <f>B73/B$76</f>
        <v>0.19932116510234474</v>
      </c>
      <c r="L73" s="22">
        <f>(L127*G$37*F$9/F$7)/B$130</f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1222.3619999999999</v>
      </c>
      <c r="AB73" s="156">
        <f>Poor!AB73</f>
        <v>0.09</v>
      </c>
      <c r="AC73" s="147">
        <f>$H$73*$B$73*AB73</f>
        <v>1222.3619999999999</v>
      </c>
      <c r="AD73" s="156">
        <f>Poor!AD73</f>
        <v>0.23</v>
      </c>
      <c r="AE73" s="147">
        <f>$H$73*$B$73*AD73</f>
        <v>3123.8139999999999</v>
      </c>
      <c r="AF73" s="156">
        <f>Poor!AF73</f>
        <v>0.59</v>
      </c>
      <c r="AG73" s="147">
        <f>$H$73*$B$73*AF73</f>
        <v>8013.2619999999988</v>
      </c>
      <c r="AH73" s="155">
        <f>SUM(Z73,AB73,AD73,AF73)</f>
        <v>1</v>
      </c>
      <c r="AI73" s="147">
        <f>SUM(AA73,AC73,AE73,AG73)</f>
        <v>13581.8</v>
      </c>
      <c r="AJ73" s="148">
        <f>(AA73+AC73)</f>
        <v>2444.7239999999997</v>
      </c>
      <c r="AK73" s="147">
        <f>(AE73+AG73)</f>
        <v>11137.075999999999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5762.3010024847899</v>
      </c>
      <c r="C74" s="39"/>
      <c r="D74" s="38"/>
      <c r="E74" s="32"/>
      <c r="F74" s="32"/>
      <c r="G74" s="32"/>
      <c r="H74" s="31"/>
      <c r="I74" s="39">
        <f>I128*I$83</f>
        <v>45316.831904353516</v>
      </c>
      <c r="J74" s="51">
        <f>J128*I$83</f>
        <v>-626.64551531171969</v>
      </c>
      <c r="K74" s="40">
        <f>B74/B$76</f>
        <v>9.9787015593890305E-2</v>
      </c>
      <c r="L74" s="22">
        <f>(L128*G$37*F$9/F$7)/B$130</f>
        <v>0.10720823879622518</v>
      </c>
      <c r="M74" s="24">
        <f>J74/B$76</f>
        <v>-1.0851756230937549E-2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4.3575061341311484E-13</v>
      </c>
      <c r="AB74" s="156"/>
      <c r="AC74" s="147">
        <f>AC30*$I$83/4</f>
        <v>8.7150122682622968E-13</v>
      </c>
      <c r="AD74" s="156"/>
      <c r="AE74" s="147">
        <f>AE30*$I$83/4</f>
        <v>426.57637399263859</v>
      </c>
      <c r="AF74" s="156"/>
      <c r="AG74" s="147">
        <f>AG30*$I$83/4</f>
        <v>866.35326379712455</v>
      </c>
      <c r="AH74" s="155"/>
      <c r="AI74" s="147">
        <f>SUM(AA74,AC74,AE74,AG74)</f>
        <v>1292.9296377897645</v>
      </c>
      <c r="AJ74" s="148">
        <f>(AA74+AC74)</f>
        <v>1.3072518402393445E-12</v>
      </c>
      <c r="AK74" s="147">
        <f>(AE74+AG74)</f>
        <v>1292.9296377897631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-1.3944019629219675E-11</v>
      </c>
      <c r="K75" s="40">
        <f>B75/B$76</f>
        <v>0</v>
      </c>
      <c r="L75" s="22">
        <f>(L129*G$37*F$9/F$7)/B$130</f>
        <v>0</v>
      </c>
      <c r="M75" s="24">
        <f>J75/B$76</f>
        <v>-2.4147161066081938E-16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23078.550905741493</v>
      </c>
      <c r="AB75" s="158"/>
      <c r="AC75" s="149">
        <f>AA75+AC65-SUM(AC70,AC74)</f>
        <v>30673.51928680158</v>
      </c>
      <c r="AD75" s="158"/>
      <c r="AE75" s="149">
        <f>AC75+AE65-SUM(AE70,AE74)</f>
        <v>37010.082464114428</v>
      </c>
      <c r="AF75" s="158"/>
      <c r="AG75" s="149">
        <f>IF(SUM(AG6:AG29)+((AG65-AG70-$J$75)*4/I$83)&lt;1,0,AG65-AG70-$J$75-(1-SUM(AG6:AG29))*I$83/4)</f>
        <v>15577.927154567178</v>
      </c>
      <c r="AH75" s="134"/>
      <c r="AI75" s="149">
        <f>AI76-SUM(AI70,AI74)</f>
        <v>37010.082464114421</v>
      </c>
      <c r="AJ75" s="151">
        <f>AJ76-SUM(AJ70,AJ74)</f>
        <v>15095.592132234406</v>
      </c>
      <c r="AK75" s="149">
        <f>AJ75+AK76-SUM(AK70,AK74)</f>
        <v>37010.082464114421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57746</v>
      </c>
      <c r="C76" s="39"/>
      <c r="D76" s="38"/>
      <c r="E76" s="32"/>
      <c r="F76" s="32"/>
      <c r="G76" s="32"/>
      <c r="H76" s="31"/>
      <c r="I76" s="39">
        <f>I130*I$83</f>
        <v>66703.959999999992</v>
      </c>
      <c r="J76" s="51">
        <f>J130*I$83</f>
        <v>66961.300197550649</v>
      </c>
      <c r="K76" s="40">
        <f>SUM(K70:K75)</f>
        <v>0.56365499031627642</v>
      </c>
      <c r="L76" s="22">
        <f>SUM(L70:L75)</f>
        <v>0.47757377226428321</v>
      </c>
      <c r="M76" s="24">
        <f>SUM(M70:M75)</f>
        <v>0.35951377723712025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12847.405775085934</v>
      </c>
      <c r="AB76" s="137"/>
      <c r="AC76" s="153">
        <f>AC65</f>
        <v>12941.75040497171</v>
      </c>
      <c r="AD76" s="137"/>
      <c r="AE76" s="153">
        <f>AE65</f>
        <v>12109.921575217108</v>
      </c>
      <c r="AF76" s="137"/>
      <c r="AG76" s="153">
        <f>AG65</f>
        <v>21791.062442275907</v>
      </c>
      <c r="AH76" s="137"/>
      <c r="AI76" s="153">
        <f>SUM(AA76,AC76,AE76,AG76)</f>
        <v>59690.14019755066</v>
      </c>
      <c r="AJ76" s="154">
        <f>SUM(AA76,AC76)</f>
        <v>25789.156180057646</v>
      </c>
      <c r="AK76" s="154">
        <f>SUM(AE76,AG76)</f>
        <v>33900.984017493014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18556.680000000008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15577.927154567178</v>
      </c>
      <c r="AB78" s="112"/>
      <c r="AC78" s="112">
        <f>IF(AA75&lt;0,0,AA75)</f>
        <v>23078.550905741493</v>
      </c>
      <c r="AD78" s="112"/>
      <c r="AE78" s="112">
        <f>AC75</f>
        <v>30673.51928680158</v>
      </c>
      <c r="AF78" s="112"/>
      <c r="AG78" s="112">
        <f>AE75</f>
        <v>37010.082464114428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23078.550905741493</v>
      </c>
      <c r="AB79" s="112"/>
      <c r="AC79" s="112">
        <f>AA79-AA74+AC65-AC70</f>
        <v>30673.51928680158</v>
      </c>
      <c r="AD79" s="112"/>
      <c r="AE79" s="112">
        <f>AC79-AC74+AE65-AE70</f>
        <v>37436.658838107069</v>
      </c>
      <c r="AF79" s="112"/>
      <c r="AG79" s="112">
        <f>AE79-AE74+AG65-AG70</f>
        <v>53454.362882478716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9514.8911524546384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15699.570401550152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3924.8926003875381</v>
      </c>
      <c r="AB83" s="112"/>
      <c r="AC83" s="165">
        <f>$I$83*AB82/4</f>
        <v>3924.8926003875381</v>
      </c>
      <c r="AD83" s="112"/>
      <c r="AE83" s="165">
        <f>$I$83*AD82/4</f>
        <v>3924.8926003875381</v>
      </c>
      <c r="AF83" s="112"/>
      <c r="AG83" s="165">
        <f>$I$83*AF82/4</f>
        <v>3924.8926003875381</v>
      </c>
      <c r="AH83" s="165">
        <f>SUM(AA83,AC83,AE83,AG83)</f>
        <v>15699.570401550152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22654.016767876888</v>
      </c>
      <c r="C84" s="46"/>
      <c r="D84" s="235"/>
      <c r="E84" s="64"/>
      <c r="F84" s="64"/>
      <c r="G84" s="64"/>
      <c r="H84" s="236">
        <f>IF(B84=0,0,I84/B84)</f>
        <v>1.4814148852182716</v>
      </c>
      <c r="I84" s="234">
        <f>(B70*H70)+((1-(D29*H29))*I83)</f>
        <v>33559.997649917139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0.84078733763929303</v>
      </c>
      <c r="C91" s="75">
        <f>(C37/$B$83)</f>
        <v>0.21019683440982326</v>
      </c>
      <c r="D91" s="24">
        <f t="shared" ref="D91" si="51">(B91+C91)</f>
        <v>1.0509841720491162</v>
      </c>
      <c r="H91" s="24">
        <f>(E37*F37/G37*F$7/F$9)</f>
        <v>0.57212121212121214</v>
      </c>
      <c r="I91" s="22">
        <f t="shared" ref="I91" si="52">(D91*H91)</f>
        <v>0.60129033843294888</v>
      </c>
      <c r="J91" s="24">
        <f>IF(I$32&lt;=1+I$131,I91,L91+J$33*(I91-L91))</f>
        <v>0.50182312249257877</v>
      </c>
      <c r="K91" s="22">
        <f t="shared" ref="K91" si="53">(B91)</f>
        <v>0.84078733763929303</v>
      </c>
      <c r="L91" s="22">
        <f t="shared" ref="L91" si="54">(K91*H91)</f>
        <v>0.48103227074635918</v>
      </c>
      <c r="M91" s="227">
        <f t="shared" si="50"/>
        <v>0.50182312249257877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0.26274604301227905</v>
      </c>
      <c r="C92" s="75">
        <f t="shared" si="56"/>
        <v>5.2549208602455814E-2</v>
      </c>
      <c r="D92" s="24">
        <f t="shared" ref="D92:D118" si="57">(B92+C92)</f>
        <v>0.31529525161473487</v>
      </c>
      <c r="H92" s="24">
        <f t="shared" ref="H92:H118" si="58">(E38*F38/G38*F$7/F$9)</f>
        <v>0.57212121212121214</v>
      </c>
      <c r="I92" s="22">
        <f t="shared" ref="I92:I118" si="59">(D92*H92)</f>
        <v>0.18038710152988469</v>
      </c>
      <c r="J92" s="24">
        <f t="shared" ref="J92:J118" si="60">IF(I$32&lt;=1+I$131,I92,L92+J$33*(I92-L92))</f>
        <v>0.1555202975447921</v>
      </c>
      <c r="K92" s="22">
        <f t="shared" ref="K92:K118" si="61">(B92)</f>
        <v>0.26274604301227905</v>
      </c>
      <c r="L92" s="22">
        <f t="shared" ref="L92:L118" si="62">(K92*H92)</f>
        <v>0.15032258460823722</v>
      </c>
      <c r="M92" s="227">
        <f t="shared" ref="M92:M118" si="63">(J92)</f>
        <v>0.1555202975447921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5.7804129462701394E-2</v>
      </c>
      <c r="C93" s="75">
        <f t="shared" si="64"/>
        <v>0</v>
      </c>
      <c r="D93" s="24">
        <f t="shared" si="57"/>
        <v>5.7804129462701394E-2</v>
      </c>
      <c r="H93" s="24">
        <f t="shared" si="58"/>
        <v>0.7151515151515152</v>
      </c>
      <c r="I93" s="22">
        <f t="shared" si="59"/>
        <v>4.1338710767265245E-2</v>
      </c>
      <c r="J93" s="24">
        <f t="shared" si="60"/>
        <v>4.1338710767265245E-2</v>
      </c>
      <c r="K93" s="22">
        <f t="shared" si="61"/>
        <v>5.7804129462701394E-2</v>
      </c>
      <c r="L93" s="22">
        <f t="shared" si="62"/>
        <v>4.1338710767265245E-2</v>
      </c>
      <c r="M93" s="227">
        <f t="shared" si="63"/>
        <v>4.1338710767265245E-2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6.883946326921711E-2</v>
      </c>
      <c r="C94" s="75">
        <f t="shared" si="65"/>
        <v>-6.883946326921711E-2</v>
      </c>
      <c r="D94" s="24">
        <f t="shared" si="57"/>
        <v>0</v>
      </c>
      <c r="H94" s="24">
        <f t="shared" si="58"/>
        <v>0.92484848484848492</v>
      </c>
      <c r="I94" s="22">
        <f t="shared" si="59"/>
        <v>0</v>
      </c>
      <c r="J94" s="24">
        <f t="shared" si="60"/>
        <v>5.2659145311905846E-2</v>
      </c>
      <c r="K94" s="22">
        <f t="shared" si="61"/>
        <v>6.883946326921711E-2</v>
      </c>
      <c r="L94" s="22">
        <f t="shared" si="62"/>
        <v>6.3666073302318368E-2</v>
      </c>
      <c r="M94" s="227">
        <f t="shared" si="63"/>
        <v>5.2659145311905846E-2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0.13137302150613953</v>
      </c>
      <c r="C95" s="75">
        <f t="shared" si="66"/>
        <v>0.11298079849528</v>
      </c>
      <c r="D95" s="24">
        <f t="shared" si="57"/>
        <v>0.24435382000141953</v>
      </c>
      <c r="H95" s="24">
        <f t="shared" si="58"/>
        <v>0.84848484848484851</v>
      </c>
      <c r="I95" s="22">
        <f t="shared" si="59"/>
        <v>0.2073305139405984</v>
      </c>
      <c r="J95" s="24">
        <f t="shared" si="60"/>
        <v>0.12804123428474184</v>
      </c>
      <c r="K95" s="22">
        <f t="shared" si="61"/>
        <v>0.13137302150613953</v>
      </c>
      <c r="L95" s="22">
        <f t="shared" si="62"/>
        <v>0.11146801824763354</v>
      </c>
      <c r="M95" s="227">
        <f t="shared" si="63"/>
        <v>0.12804123428474184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ref="B96:C96" si="67">(B42/$B$83)</f>
        <v>1.0404743303286251E-2</v>
      </c>
      <c r="C96" s="75">
        <f t="shared" si="67"/>
        <v>-1.0404743303286251E-2</v>
      </c>
      <c r="D96" s="24">
        <f t="shared" si="57"/>
        <v>0</v>
      </c>
      <c r="H96" s="24">
        <f t="shared" si="58"/>
        <v>0.84848484848484851</v>
      </c>
      <c r="I96" s="22">
        <f t="shared" si="59"/>
        <v>0</v>
      </c>
      <c r="J96" s="24">
        <f t="shared" si="60"/>
        <v>7.3019894752835348E-3</v>
      </c>
      <c r="K96" s="22">
        <f t="shared" si="61"/>
        <v>1.0404743303286251E-2</v>
      </c>
      <c r="L96" s="22">
        <f t="shared" si="62"/>
        <v>8.8282670452125775E-3</v>
      </c>
      <c r="M96" s="227">
        <f t="shared" si="63"/>
        <v>7.3019894752835348E-3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ref="B97:C97" si="68">(B43/$B$83)</f>
        <v>7.8823812903683718E-2</v>
      </c>
      <c r="C97" s="75">
        <f t="shared" si="68"/>
        <v>-7.8823812903683718E-2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5.5318102085481324E-2</v>
      </c>
      <c r="K97" s="22">
        <f t="shared" si="61"/>
        <v>7.8823812903683718E-2</v>
      </c>
      <c r="L97" s="22">
        <f t="shared" si="62"/>
        <v>6.688081094858013E-2</v>
      </c>
      <c r="M97" s="227">
        <f t="shared" si="63"/>
        <v>5.5318102085481324E-2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ref="B98:C98" si="69">(B44/$B$83)</f>
        <v>0.11981219561359925</v>
      </c>
      <c r="C98" s="75">
        <f t="shared" si="69"/>
        <v>-0.11981219561359925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8.4083515169931608E-2</v>
      </c>
      <c r="K98" s="22">
        <f t="shared" si="61"/>
        <v>0.11981219561359925</v>
      </c>
      <c r="L98" s="22">
        <f t="shared" si="62"/>
        <v>0.10165883264184179</v>
      </c>
      <c r="M98" s="227">
        <f t="shared" si="63"/>
        <v>8.4083515169931608E-2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ref="B99:C99" si="70">(B45/$B$83)</f>
        <v>2.9427556817375255E-2</v>
      </c>
      <c r="C99" s="75">
        <f t="shared" si="70"/>
        <v>-2.9427556817375255E-2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2.0652091445246362E-2</v>
      </c>
      <c r="K99" s="22">
        <f t="shared" si="61"/>
        <v>2.9427556817375255E-2</v>
      </c>
      <c r="L99" s="22">
        <f t="shared" si="62"/>
        <v>2.4968836087469914E-2</v>
      </c>
      <c r="M99" s="227">
        <f t="shared" si="63"/>
        <v>2.0652091445246362E-2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ref="B100:C100" si="71">(B46/$B$83)</f>
        <v>5.2549208602455814E-2</v>
      </c>
      <c r="C100" s="75">
        <f t="shared" si="71"/>
        <v>0</v>
      </c>
      <c r="D100" s="24">
        <f t="shared" si="57"/>
        <v>5.2549208602455814E-2</v>
      </c>
      <c r="H100" s="24">
        <f t="shared" si="58"/>
        <v>0.84848484848484851</v>
      </c>
      <c r="I100" s="22">
        <f t="shared" si="59"/>
        <v>4.4587207299053418E-2</v>
      </c>
      <c r="J100" s="24">
        <f t="shared" si="60"/>
        <v>4.4587207299053418E-2</v>
      </c>
      <c r="K100" s="22">
        <f t="shared" si="61"/>
        <v>5.2549208602455814E-2</v>
      </c>
      <c r="L100" s="22">
        <f t="shared" si="62"/>
        <v>4.4587207299053418E-2</v>
      </c>
      <c r="M100" s="227">
        <f t="shared" si="63"/>
        <v>4.4587207299053418E-2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ref="B101:C101" si="72">(B47/$B$83)</f>
        <v>3.152952516147349E-2</v>
      </c>
      <c r="C101" s="75">
        <f t="shared" si="72"/>
        <v>0</v>
      </c>
      <c r="D101" s="24">
        <f t="shared" si="57"/>
        <v>3.152952516147349E-2</v>
      </c>
      <c r="H101" s="24">
        <f t="shared" si="58"/>
        <v>0.84848484848484851</v>
      </c>
      <c r="I101" s="22">
        <f t="shared" si="59"/>
        <v>2.6752324379432053E-2</v>
      </c>
      <c r="J101" s="24">
        <f t="shared" si="60"/>
        <v>2.6752324379432053E-2</v>
      </c>
      <c r="K101" s="22">
        <f t="shared" si="61"/>
        <v>3.152952516147349E-2</v>
      </c>
      <c r="L101" s="22">
        <f t="shared" si="62"/>
        <v>2.6752324379432053E-2</v>
      </c>
      <c r="M101" s="227">
        <f t="shared" si="63"/>
        <v>2.6752324379432053E-2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ref="B102:C102" si="73">(B48/$B$83)</f>
        <v>5.2549208602455814E-2</v>
      </c>
      <c r="C102" s="75">
        <f t="shared" si="73"/>
        <v>0</v>
      </c>
      <c r="D102" s="24">
        <f t="shared" si="57"/>
        <v>5.2549208602455814E-2</v>
      </c>
      <c r="H102" s="24">
        <f t="shared" si="58"/>
        <v>0.84848484848484851</v>
      </c>
      <c r="I102" s="22">
        <f t="shared" si="59"/>
        <v>4.4587207299053418E-2</v>
      </c>
      <c r="J102" s="24">
        <f t="shared" si="60"/>
        <v>4.4587207299053418E-2</v>
      </c>
      <c r="K102" s="22">
        <f t="shared" si="61"/>
        <v>5.2549208602455814E-2</v>
      </c>
      <c r="L102" s="22">
        <f t="shared" si="62"/>
        <v>4.4587207299053418E-2</v>
      </c>
      <c r="M102" s="227">
        <f t="shared" si="63"/>
        <v>4.4587207299053418E-2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ref="B103:C103" si="74">(B49/$B$83)</f>
        <v>3.152952516147349E-2</v>
      </c>
      <c r="C103" s="75">
        <f t="shared" si="74"/>
        <v>0</v>
      </c>
      <c r="D103" s="24">
        <f t="shared" si="57"/>
        <v>3.152952516147349E-2</v>
      </c>
      <c r="H103" s="24">
        <f t="shared" si="58"/>
        <v>0.84848484848484851</v>
      </c>
      <c r="I103" s="22">
        <f t="shared" si="59"/>
        <v>2.6752324379432053E-2</v>
      </c>
      <c r="J103" s="24">
        <f t="shared" si="60"/>
        <v>2.6752324379432053E-2</v>
      </c>
      <c r="K103" s="22">
        <f t="shared" si="61"/>
        <v>3.152952516147349E-2</v>
      </c>
      <c r="L103" s="22">
        <f t="shared" si="62"/>
        <v>2.6752324379432053E-2</v>
      </c>
      <c r="M103" s="227">
        <f t="shared" si="63"/>
        <v>2.6752324379432053E-2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0.67272727272727284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ref="B105:C105" si="76">(B51/$B$83)</f>
        <v>1.1560825892540278</v>
      </c>
      <c r="C105" s="75">
        <f t="shared" si="76"/>
        <v>0</v>
      </c>
      <c r="D105" s="24">
        <f t="shared" si="57"/>
        <v>1.1560825892540278</v>
      </c>
      <c r="H105" s="24">
        <f t="shared" si="58"/>
        <v>0.7151515151515152</v>
      </c>
      <c r="I105" s="22">
        <f t="shared" si="59"/>
        <v>0.82677421534530482</v>
      </c>
      <c r="J105" s="24">
        <f t="shared" si="60"/>
        <v>0.82677421534530482</v>
      </c>
      <c r="K105" s="22">
        <f t="shared" si="61"/>
        <v>1.1560825892540278</v>
      </c>
      <c r="L105" s="22">
        <f t="shared" si="62"/>
        <v>0.82677421534530482</v>
      </c>
      <c r="M105" s="227">
        <f t="shared" si="63"/>
        <v>0.82677421534530482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ref="B106:C106" si="77">(B52/$B$83)</f>
        <v>2.4971383927887003</v>
      </c>
      <c r="C106" s="75">
        <f t="shared" si="77"/>
        <v>0</v>
      </c>
      <c r="D106" s="24">
        <f t="shared" si="57"/>
        <v>2.4971383927887003</v>
      </c>
      <c r="H106" s="24">
        <f t="shared" si="58"/>
        <v>0.7151515151515152</v>
      </c>
      <c r="I106" s="22">
        <f t="shared" si="59"/>
        <v>1.7858323051458584</v>
      </c>
      <c r="J106" s="24">
        <f t="shared" si="60"/>
        <v>1.7858323051458584</v>
      </c>
      <c r="K106" s="22">
        <f t="shared" si="61"/>
        <v>2.4971383927887003</v>
      </c>
      <c r="L106" s="22">
        <f t="shared" si="62"/>
        <v>1.7858323051458584</v>
      </c>
      <c r="M106" s="227">
        <f t="shared" si="63"/>
        <v>1.7858323051458584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0.48484848484848486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0.57212121212121214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ref="B109:C109" si="80">(B55/$B$83)</f>
        <v>0.64761644681666541</v>
      </c>
      <c r="C109" s="75">
        <f t="shared" si="80"/>
        <v>0</v>
      </c>
      <c r="D109" s="24">
        <f t="shared" si="57"/>
        <v>0.64761644681666541</v>
      </c>
      <c r="H109" s="24">
        <f t="shared" si="58"/>
        <v>0.7151515151515152</v>
      </c>
      <c r="I109" s="22">
        <f t="shared" si="59"/>
        <v>0.46314388317797894</v>
      </c>
      <c r="J109" s="24">
        <f t="shared" si="60"/>
        <v>0.46314388317797894</v>
      </c>
      <c r="K109" s="22">
        <f t="shared" si="61"/>
        <v>0.64761644681666541</v>
      </c>
      <c r="L109" s="22">
        <f t="shared" si="62"/>
        <v>0.46314388317797894</v>
      </c>
      <c r="M109" s="227">
        <f t="shared" si="63"/>
        <v>0.46314388317797894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0.7151515151515152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6.0690131999148269</v>
      </c>
      <c r="C119" s="22">
        <f>SUM(C91:C118)</f>
        <v>6.8419069600397425E-2</v>
      </c>
      <c r="D119" s="24">
        <f>SUM(D91:D118)</f>
        <v>6.1374322695152239</v>
      </c>
      <c r="E119" s="22"/>
      <c r="F119" s="2"/>
      <c r="G119" s="2"/>
      <c r="H119" s="31"/>
      <c r="I119" s="22">
        <f>SUM(I91:I118)</f>
        <v>4.2487761316968102</v>
      </c>
      <c r="J119" s="24">
        <f>SUM(J91:J118)</f>
        <v>4.2651676756033394</v>
      </c>
      <c r="K119" s="22">
        <f>SUM(K91:K118)</f>
        <v>6.0690131999148269</v>
      </c>
      <c r="L119" s="22">
        <f>SUM(L91:L118)</f>
        <v>4.2685938714210314</v>
      </c>
      <c r="M119" s="57">
        <f t="shared" si="50"/>
        <v>4.2651676756033394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1.6055380795793861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2">
        <f>(B124)</f>
        <v>1.6055380795793861</v>
      </c>
      <c r="L124" s="29">
        <f>IF(SUMPRODUCT($B$124:$B124,$H$124:$H124)&lt;L$119,($B124*$H124),L$119)</f>
        <v>1.3622747341885701</v>
      </c>
      <c r="M124" s="57">
        <f t="shared" si="90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1.6527777089644404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1.1819864827745696</v>
      </c>
      <c r="J125" s="237">
        <f>IF(SUMPRODUCT($B$124:$B125,$H$124:$H125)&lt;J$119,($B125*$H125),IF(SUMPRODUCT($B$124:$B124,$H$124:$H124)&lt;J$119,J$119-SUMPRODUCT($B$124:$B124,$H$124:$H124),0))</f>
        <v>1.1819864827745696</v>
      </c>
      <c r="K125" s="22">
        <f t="shared" ref="K125:K126" si="91">(B125)</f>
        <v>1.6527777089644404</v>
      </c>
      <c r="L125" s="29">
        <f>IF(SUMPRODUCT($B$124:$B125,$H$124:$H125)&lt;L$119,($B125*$H125),IF(SUMPRODUCT($B$124:$B124,$H$124:$H124)&lt;L$119,L$119-SUMPRODUCT($B$124:$B124,$H$124:$H124),0))</f>
        <v>1.1819864827745696</v>
      </c>
      <c r="M125" s="57">
        <f t="shared" ref="M125:M126" si="92">(J125)</f>
        <v>1.1819864827745696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3.2803317977997017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1.7608212779176657</v>
      </c>
      <c r="K126" s="22">
        <f t="shared" si="91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1.3300004020979457</v>
      </c>
      <c r="M126" s="57">
        <f t="shared" si="92"/>
        <v>1.7608212779176657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1.2096827820285327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1.2096827820285327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0.60560871481942702</v>
      </c>
      <c r="C128" s="2"/>
      <c r="D128" s="31"/>
      <c r="E128" s="2"/>
      <c r="F128" s="2"/>
      <c r="G128" s="2"/>
      <c r="H128" s="24"/>
      <c r="I128" s="29">
        <f>(I30)</f>
        <v>2.8865013975082401</v>
      </c>
      <c r="J128" s="228">
        <f>(J30)</f>
        <v>-3.991481927746543E-2</v>
      </c>
      <c r="K128" s="22">
        <f>(B128)</f>
        <v>0.60560871481942702</v>
      </c>
      <c r="L128" s="22">
        <f>IF(L124=L119,0,(L119-L124)/(B119-B124)*K128)</f>
        <v>0.39433225235994634</v>
      </c>
      <c r="M128" s="57">
        <f t="shared" si="90"/>
        <v>-3.991481927746543E-2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-8.8817841970012523E-16</v>
      </c>
      <c r="K129" s="29">
        <f>(B129)</f>
        <v>0</v>
      </c>
      <c r="L129" s="60">
        <f>IF(SUM(L124:L128)&gt;L130,0,L130-SUM(L124:L128))</f>
        <v>0</v>
      </c>
      <c r="M129" s="57">
        <f t="shared" si="90"/>
        <v>-8.8817841970012523E-16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6.0690131999148269</v>
      </c>
      <c r="C130" s="2"/>
      <c r="D130" s="31"/>
      <c r="E130" s="2"/>
      <c r="F130" s="2"/>
      <c r="G130" s="2"/>
      <c r="H130" s="24"/>
      <c r="I130" s="29">
        <f>(I119)</f>
        <v>4.2487761316968102</v>
      </c>
      <c r="J130" s="228">
        <f>(J119)</f>
        <v>4.2651676756033394</v>
      </c>
      <c r="K130" s="22">
        <f>(B130)</f>
        <v>6.0690131999148269</v>
      </c>
      <c r="L130" s="22">
        <f>(L119)</f>
        <v>4.2685938714210314</v>
      </c>
      <c r="M130" s="57">
        <f t="shared" si="90"/>
        <v>4.2651676756033394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1.1819864827745699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>ZACNI: 59106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57" workbookViewId="0">
      <selection activeCell="X78" sqref="X7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ZACNI: 59106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3956.4575360895724</v>
      </c>
      <c r="C72" s="109">
        <f>Poor!R7</f>
        <v>4381.2423919338971</v>
      </c>
      <c r="D72" s="109">
        <f>Middle!R7</f>
        <v>6097.8637282341842</v>
      </c>
      <c r="E72" s="109">
        <f>Rich!R7</f>
        <v>6166.8441894519465</v>
      </c>
      <c r="F72" s="109">
        <f>V.Poor!T7</f>
        <v>4692.0757291024256</v>
      </c>
      <c r="G72" s="109">
        <f>Poor!T7</f>
        <v>5666.5104965280852</v>
      </c>
      <c r="H72" s="109">
        <f>Middle!T7</f>
        <v>7431.6791744304073</v>
      </c>
      <c r="I72" s="109">
        <f>Rich!T7</f>
        <v>7453.143366471536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1238.4628440424749</v>
      </c>
      <c r="D73" s="109">
        <f>Middle!R8</f>
        <v>5364.203299375361</v>
      </c>
      <c r="E73" s="109">
        <f>Rich!R8</f>
        <v>7603.2795975558211</v>
      </c>
      <c r="F73" s="109">
        <f>V.Poor!T8</f>
        <v>0</v>
      </c>
      <c r="G73" s="109">
        <f>Poor!T8</f>
        <v>210</v>
      </c>
      <c r="H73" s="109">
        <f>Middle!T8</f>
        <v>5092.0670174992647</v>
      </c>
      <c r="I73" s="109">
        <f>Rich!T8</f>
        <v>6848.2941303806219</v>
      </c>
    </row>
    <row r="74" spans="1:9">
      <c r="A74" t="str">
        <f>V.Poor!Q9</f>
        <v>Animal products consumed</v>
      </c>
      <c r="B74" s="109">
        <f>V.Poor!R9</f>
        <v>279.81896093684895</v>
      </c>
      <c r="C74" s="109">
        <f>Poor!R9</f>
        <v>432.45354682181602</v>
      </c>
      <c r="D74" s="109">
        <f>Middle!R9</f>
        <v>745.16676507581951</v>
      </c>
      <c r="E74" s="109">
        <f>Rich!R9</f>
        <v>1940.8624261512305</v>
      </c>
      <c r="F74" s="109">
        <f>V.Poor!T9</f>
        <v>155.8311888697452</v>
      </c>
      <c r="G74" s="109">
        <f>Poor!T9</f>
        <v>240.83339494420642</v>
      </c>
      <c r="H74" s="109">
        <f>Middle!T9</f>
        <v>414.98339683347524</v>
      </c>
      <c r="I74" s="109">
        <f>Rich!T9</f>
        <v>1080.8663511834786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740.70744260913568</v>
      </c>
      <c r="D76" s="109">
        <f>Middle!R11</f>
        <v>5184.9520982639497</v>
      </c>
      <c r="E76" s="109">
        <f>Rich!R11</f>
        <v>14550.78620592169</v>
      </c>
      <c r="F76" s="109">
        <f>V.Poor!T11</f>
        <v>0</v>
      </c>
      <c r="G76" s="109">
        <f>Poor!T11</f>
        <v>471.99999999999994</v>
      </c>
      <c r="H76" s="109">
        <f>Middle!T11</f>
        <v>3566.7628397563381</v>
      </c>
      <c r="I76" s="109">
        <f>Rich!T11</f>
        <v>9750.2304896644073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146.66966986477667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170.42135355659894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2591.4414323271239</v>
      </c>
      <c r="D78" s="109">
        <f>Middle!R13</f>
        <v>1114.0239936841401</v>
      </c>
      <c r="E78" s="109">
        <f>Rich!R13</f>
        <v>0</v>
      </c>
      <c r="F78" s="109">
        <f>V.Poor!T13</f>
        <v>0</v>
      </c>
      <c r="G78" s="109">
        <f>Poor!T13</f>
        <v>2287.4876437323283</v>
      </c>
      <c r="H78" s="109">
        <f>Middle!T13</f>
        <v>834.72000000000014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45772.42792016633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36459.37777777778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549.60492241597865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437.78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635.52698575863838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362.3059759755032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3199.8561520714661</v>
      </c>
      <c r="E82" s="109">
        <f>Rich!R17</f>
        <v>0</v>
      </c>
      <c r="F82" s="109">
        <f>V.Poor!T17</f>
        <v>0</v>
      </c>
      <c r="G82" s="109">
        <f>Poor!T17</f>
        <v>0</v>
      </c>
      <c r="H82" s="109">
        <f>Middle!T17</f>
        <v>2039.04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1491.5874480929031</v>
      </c>
      <c r="C83" s="109">
        <f>Poor!R18</f>
        <v>1491.5874480929031</v>
      </c>
      <c r="D83" s="109">
        <f>Middle!R18</f>
        <v>1491.5874480929031</v>
      </c>
      <c r="E83" s="109">
        <f>Rich!R18</f>
        <v>1325.855509415914</v>
      </c>
      <c r="F83" s="109">
        <f>V.Poor!T18</f>
        <v>1661.3302012222382</v>
      </c>
      <c r="G83" s="109">
        <f>Poor!T18</f>
        <v>1661.3302012222382</v>
      </c>
      <c r="H83" s="109">
        <f>Middle!T18</f>
        <v>1661.3302012222382</v>
      </c>
      <c r="I83" s="109">
        <f>Rich!T18</f>
        <v>1476.7379566419895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510.75297941960423</v>
      </c>
      <c r="E84" s="109">
        <f>Rich!R19</f>
        <v>991.20525849870728</v>
      </c>
      <c r="F84" s="109">
        <f>V.Poor!T19</f>
        <v>0</v>
      </c>
      <c r="G84" s="109">
        <f>Poor!T19</f>
        <v>0</v>
      </c>
      <c r="H84" s="109">
        <f>Middle!T19</f>
        <v>568.87670324588203</v>
      </c>
      <c r="I84" s="109">
        <f>Rich!T19</f>
        <v>1104.0044843898638</v>
      </c>
    </row>
    <row r="85" spans="1:9">
      <c r="A85" t="str">
        <f>V.Poor!Q20</f>
        <v>Cash transfer - official</v>
      </c>
      <c r="B85" s="109">
        <f>V.Poor!R20</f>
        <v>32620.755772506334</v>
      </c>
      <c r="C85" s="109">
        <f>Poor!R20</f>
        <v>32620.755772506334</v>
      </c>
      <c r="D85" s="109">
        <f>Middle!R20</f>
        <v>32620.755772506334</v>
      </c>
      <c r="E85" s="109">
        <f>Rich!R20</f>
        <v>8114.2031313022126</v>
      </c>
      <c r="F85" s="109">
        <f>V.Poor!T20</f>
        <v>25983.600000000002</v>
      </c>
      <c r="G85" s="109">
        <f>Poor!T20</f>
        <v>25983.600000000002</v>
      </c>
      <c r="H85" s="109">
        <f>Middle!T20</f>
        <v>25983.600000000002</v>
      </c>
      <c r="I85" s="109">
        <f>Rich!T20</f>
        <v>6463.2533333333331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2370.2638163492343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1600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38348.619717625661</v>
      </c>
      <c r="C88" s="109">
        <f>Poor!R23</f>
        <v>43496.650878333683</v>
      </c>
      <c r="D88" s="109">
        <f>Middle!R23</f>
        <v>59884.557961247614</v>
      </c>
      <c r="E88" s="109">
        <f>Rich!R23</f>
        <v>86612.133908328629</v>
      </c>
      <c r="F88" s="109">
        <f>V.Poor!T23</f>
        <v>32492.83711919441</v>
      </c>
      <c r="G88" s="109">
        <f>Poor!T23</f>
        <v>36521.761736426859</v>
      </c>
      <c r="H88" s="109">
        <f>Middle!T23</f>
        <v>49993.14530896311</v>
      </c>
      <c r="I88" s="109">
        <f>Rich!T23</f>
        <v>70806.32924339961</v>
      </c>
    </row>
    <row r="89" spans="1:9">
      <c r="A89" t="str">
        <f>V.Poor!Q24</f>
        <v>Food Poverty line</v>
      </c>
      <c r="B89" s="109">
        <f>V.Poor!R24</f>
        <v>29831.109022148565</v>
      </c>
      <c r="C89" s="109">
        <f>Poor!R24</f>
        <v>29831.109022148565</v>
      </c>
      <c r="D89" s="109">
        <f>Middle!R24</f>
        <v>29831.109022148565</v>
      </c>
      <c r="E89" s="109">
        <f>Rich!R24</f>
        <v>29831.109022148568</v>
      </c>
      <c r="F89" s="109">
        <f>V.Poor!T24</f>
        <v>29831.109022148565</v>
      </c>
      <c r="G89" s="109">
        <f>Poor!T24</f>
        <v>29831.109022148565</v>
      </c>
      <c r="H89" s="109">
        <f>Middle!T24</f>
        <v>29831.109022148565</v>
      </c>
      <c r="I89" s="109">
        <f>Rich!T24</f>
        <v>29831.109022148568</v>
      </c>
    </row>
    <row r="90" spans="1:9">
      <c r="A90" s="108" t="str">
        <f>V.Poor!Q25</f>
        <v>Lower Bound Poverty line</v>
      </c>
      <c r="B90" s="109">
        <f>V.Poor!R25</f>
        <v>46325.935688815232</v>
      </c>
      <c r="C90" s="109">
        <f>Poor!R25</f>
        <v>46325.935688815232</v>
      </c>
      <c r="D90" s="109">
        <f>Middle!R25</f>
        <v>46325.935688815232</v>
      </c>
      <c r="E90" s="109">
        <f>Rich!R25</f>
        <v>46325.935688815232</v>
      </c>
      <c r="F90" s="109">
        <f>V.Poor!T25</f>
        <v>46325.935688815232</v>
      </c>
      <c r="G90" s="109">
        <f>Poor!T25</f>
        <v>46325.935688815232</v>
      </c>
      <c r="H90" s="109">
        <f>Middle!T25</f>
        <v>46325.935688815232</v>
      </c>
      <c r="I90" s="109">
        <f>Rich!T25</f>
        <v>46325.935688815232</v>
      </c>
    </row>
    <row r="91" spans="1:9">
      <c r="A91" s="108" t="str">
        <f>V.Poor!Q26</f>
        <v>Upper Bound Poverty line</v>
      </c>
      <c r="B91" s="109">
        <f>V.Poor!R26</f>
        <v>79063.855688815223</v>
      </c>
      <c r="C91" s="109">
        <f>Poor!R26</f>
        <v>79063.855688815223</v>
      </c>
      <c r="D91" s="109">
        <f>Middle!R26</f>
        <v>79063.855688815223</v>
      </c>
      <c r="E91" s="109">
        <f>Rich!R26</f>
        <v>79063.855688815238</v>
      </c>
      <c r="F91" s="109">
        <f>V.Poor!T26</f>
        <v>79063.855688815223</v>
      </c>
      <c r="G91" s="109">
        <f>Poor!T26</f>
        <v>79063.855688815223</v>
      </c>
      <c r="H91" s="109">
        <f>Middle!T26</f>
        <v>79063.855688815223</v>
      </c>
      <c r="I91" s="109">
        <f>Rich!T26</f>
        <v>79063.855688815238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29831.109022148565</v>
      </c>
      <c r="G93" s="109">
        <f>Poor!T24</f>
        <v>29831.109022148565</v>
      </c>
      <c r="H93" s="109">
        <f>Middle!T24</f>
        <v>29831.109022148565</v>
      </c>
      <c r="I93" s="109">
        <f>Rich!T24</f>
        <v>29831.109022148568</v>
      </c>
    </row>
    <row r="94" spans="1:9">
      <c r="A94" t="str">
        <f>V.Poor!Q25</f>
        <v>Lower Bound Poverty line</v>
      </c>
      <c r="F94" s="109">
        <f>V.Poor!T25</f>
        <v>46325.935688815232</v>
      </c>
      <c r="G94" s="109">
        <f>Poor!T25</f>
        <v>46325.935688815232</v>
      </c>
      <c r="H94" s="109">
        <f>Middle!T25</f>
        <v>46325.935688815232</v>
      </c>
      <c r="I94" s="109">
        <f>Rich!T25</f>
        <v>46325.935688815232</v>
      </c>
    </row>
    <row r="95" spans="1:9">
      <c r="A95" t="str">
        <f>V.Poor!Q26</f>
        <v>Upper Bound Poverty line</v>
      </c>
      <c r="F95" s="109">
        <f>V.Poor!T26</f>
        <v>79063.855688815223</v>
      </c>
      <c r="G95" s="109">
        <f>Poor!T26</f>
        <v>79063.855688815223</v>
      </c>
      <c r="H95" s="109">
        <f>Middle!T26</f>
        <v>79063.855688815223</v>
      </c>
      <c r="I95" s="109">
        <f>Rich!T26</f>
        <v>79063.855688815238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7977.3159711895714</v>
      </c>
      <c r="C99" s="239">
        <f t="shared" si="0"/>
        <v>2829.2848104815494</v>
      </c>
      <c r="D99" s="239">
        <f t="shared" si="0"/>
        <v>0</v>
      </c>
      <c r="E99" s="239">
        <f t="shared" si="0"/>
        <v>0</v>
      </c>
      <c r="F99" s="239">
        <f t="shared" si="0"/>
        <v>13833.098569620823</v>
      </c>
      <c r="G99" s="239">
        <f t="shared" si="0"/>
        <v>9804.1739523883734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40715.235971189562</v>
      </c>
      <c r="C100" s="239">
        <f t="shared" si="0"/>
        <v>35567.20481048154</v>
      </c>
      <c r="D100" s="239">
        <f t="shared" si="0"/>
        <v>19179.297727567609</v>
      </c>
      <c r="E100" s="239">
        <f t="shared" si="0"/>
        <v>0</v>
      </c>
      <c r="F100" s="239">
        <f t="shared" si="0"/>
        <v>46571.018569620814</v>
      </c>
      <c r="G100" s="239">
        <f t="shared" si="0"/>
        <v>42542.093952388364</v>
      </c>
      <c r="H100" s="239">
        <f t="shared" si="0"/>
        <v>29070.710379852113</v>
      </c>
      <c r="I100" s="239">
        <f t="shared" si="0"/>
        <v>8257.5264454156277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>ZACNI: 59106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0.3</v>
      </c>
      <c r="D2" s="202">
        <f>[1]WB!$CK$11</f>
        <v>0.15</v>
      </c>
      <c r="E2" s="202">
        <f>[1]WB!$CK$12</f>
        <v>0.05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3956.4575360895724</v>
      </c>
      <c r="C3" s="203">
        <f>Income!C72</f>
        <v>4381.2423919338971</v>
      </c>
      <c r="D3" s="203">
        <f>Income!D72</f>
        <v>6097.8637282341842</v>
      </c>
      <c r="E3" s="203">
        <f>Income!E72</f>
        <v>6166.8441894519465</v>
      </c>
      <c r="F3" s="204">
        <f>IF(F$2&lt;=($B$2+$C$2+$D$2),IF(F$2&lt;=($B$2+$C$2),IF(F$2&lt;=$B$2,$B3,$C3),$D3),$E3)</f>
        <v>3956.4575360895724</v>
      </c>
      <c r="G3" s="204">
        <f t="shared" ref="G3:AW7" si="0">IF(G$2&lt;=($B$2+$C$2+$D$2),IF(G$2&lt;=($B$2+$C$2),IF(G$2&lt;=$B$2,$B3,$C3),$D3),$E3)</f>
        <v>3956.4575360895724</v>
      </c>
      <c r="H3" s="204">
        <f t="shared" si="0"/>
        <v>3956.4575360895724</v>
      </c>
      <c r="I3" s="204">
        <f t="shared" si="0"/>
        <v>3956.4575360895724</v>
      </c>
      <c r="J3" s="204">
        <f t="shared" si="0"/>
        <v>3956.4575360895724</v>
      </c>
      <c r="K3" s="204">
        <f t="shared" si="0"/>
        <v>3956.4575360895724</v>
      </c>
      <c r="L3" s="204">
        <f t="shared" si="0"/>
        <v>3956.4575360895724</v>
      </c>
      <c r="M3" s="204">
        <f t="shared" si="0"/>
        <v>3956.4575360895724</v>
      </c>
      <c r="N3" s="204">
        <f t="shared" si="0"/>
        <v>3956.4575360895724</v>
      </c>
      <c r="O3" s="204">
        <f t="shared" si="0"/>
        <v>3956.4575360895724</v>
      </c>
      <c r="P3" s="204">
        <f t="shared" si="0"/>
        <v>3956.4575360895724</v>
      </c>
      <c r="Q3" s="204">
        <f t="shared" si="0"/>
        <v>3956.4575360895724</v>
      </c>
      <c r="R3" s="204">
        <f t="shared" si="0"/>
        <v>3956.4575360895724</v>
      </c>
      <c r="S3" s="204">
        <f t="shared" si="0"/>
        <v>3956.4575360895724</v>
      </c>
      <c r="T3" s="204">
        <f t="shared" si="0"/>
        <v>3956.4575360895724</v>
      </c>
      <c r="U3" s="204">
        <f t="shared" si="0"/>
        <v>3956.4575360895724</v>
      </c>
      <c r="V3" s="204">
        <f t="shared" si="0"/>
        <v>3956.4575360895724</v>
      </c>
      <c r="W3" s="204">
        <f t="shared" si="0"/>
        <v>3956.4575360895724</v>
      </c>
      <c r="X3" s="204">
        <f t="shared" si="0"/>
        <v>3956.4575360895724</v>
      </c>
      <c r="Y3" s="204">
        <f t="shared" si="0"/>
        <v>3956.4575360895724</v>
      </c>
      <c r="Z3" s="204">
        <f t="shared" si="0"/>
        <v>3956.4575360895724</v>
      </c>
      <c r="AA3" s="204">
        <f t="shared" si="0"/>
        <v>3956.4575360895724</v>
      </c>
      <c r="AB3" s="204">
        <f t="shared" si="0"/>
        <v>3956.4575360895724</v>
      </c>
      <c r="AC3" s="204">
        <f t="shared" si="0"/>
        <v>3956.4575360895724</v>
      </c>
      <c r="AD3" s="204">
        <f t="shared" si="0"/>
        <v>3956.4575360895724</v>
      </c>
      <c r="AE3" s="204">
        <f t="shared" si="0"/>
        <v>3956.4575360895724</v>
      </c>
      <c r="AF3" s="204">
        <f t="shared" si="0"/>
        <v>3956.4575360895724</v>
      </c>
      <c r="AG3" s="204">
        <f t="shared" si="0"/>
        <v>3956.4575360895724</v>
      </c>
      <c r="AH3" s="204">
        <f t="shared" si="0"/>
        <v>3956.4575360895724</v>
      </c>
      <c r="AI3" s="204">
        <f t="shared" si="0"/>
        <v>3956.4575360895724</v>
      </c>
      <c r="AJ3" s="204">
        <f t="shared" si="0"/>
        <v>3956.4575360895724</v>
      </c>
      <c r="AK3" s="204">
        <f t="shared" si="0"/>
        <v>3956.4575360895724</v>
      </c>
      <c r="AL3" s="204">
        <f t="shared" si="0"/>
        <v>3956.4575360895724</v>
      </c>
      <c r="AM3" s="204">
        <f t="shared" si="0"/>
        <v>3956.4575360895724</v>
      </c>
      <c r="AN3" s="204">
        <f t="shared" si="0"/>
        <v>3956.4575360895724</v>
      </c>
      <c r="AO3" s="204">
        <f t="shared" si="0"/>
        <v>3956.4575360895724</v>
      </c>
      <c r="AP3" s="204">
        <f t="shared" si="0"/>
        <v>3956.4575360895724</v>
      </c>
      <c r="AQ3" s="204">
        <f t="shared" si="0"/>
        <v>3956.4575360895724</v>
      </c>
      <c r="AR3" s="204">
        <f t="shared" si="0"/>
        <v>3956.4575360895724</v>
      </c>
      <c r="AS3" s="204">
        <f t="shared" si="0"/>
        <v>3956.4575360895724</v>
      </c>
      <c r="AT3" s="204">
        <f t="shared" si="0"/>
        <v>3956.4575360895724</v>
      </c>
      <c r="AU3" s="204">
        <f t="shared" si="0"/>
        <v>3956.4575360895724</v>
      </c>
      <c r="AV3" s="204">
        <f t="shared" si="0"/>
        <v>3956.4575360895724</v>
      </c>
      <c r="AW3" s="204">
        <f t="shared" si="0"/>
        <v>3956.4575360895724</v>
      </c>
      <c r="AX3" s="204">
        <f t="shared" ref="AX3:BZ10" si="1">IF(AX$2&lt;=($B$2+$C$2+$D$2),IF(AX$2&lt;=($B$2+$C$2),IF(AX$2&lt;=$B$2,$B3,$C3),$D3),$E3)</f>
        <v>3956.4575360895724</v>
      </c>
      <c r="AY3" s="204">
        <f t="shared" si="1"/>
        <v>3956.4575360895724</v>
      </c>
      <c r="AZ3" s="204">
        <f t="shared" si="1"/>
        <v>3956.4575360895724</v>
      </c>
      <c r="BA3" s="204">
        <f t="shared" si="1"/>
        <v>3956.4575360895724</v>
      </c>
      <c r="BB3" s="204">
        <f t="shared" si="1"/>
        <v>3956.4575360895724</v>
      </c>
      <c r="BC3" s="204">
        <f t="shared" si="1"/>
        <v>3956.4575360895724</v>
      </c>
      <c r="BD3" s="204">
        <f t="shared" si="1"/>
        <v>4381.2423919338971</v>
      </c>
      <c r="BE3" s="204">
        <f t="shared" si="1"/>
        <v>4381.2423919338971</v>
      </c>
      <c r="BF3" s="204">
        <f t="shared" si="1"/>
        <v>4381.2423919338971</v>
      </c>
      <c r="BG3" s="204">
        <f t="shared" si="1"/>
        <v>4381.2423919338971</v>
      </c>
      <c r="BH3" s="204">
        <f t="shared" si="1"/>
        <v>4381.2423919338971</v>
      </c>
      <c r="BI3" s="204">
        <f t="shared" si="1"/>
        <v>4381.2423919338971</v>
      </c>
      <c r="BJ3" s="204">
        <f t="shared" si="1"/>
        <v>4381.2423919338971</v>
      </c>
      <c r="BK3" s="204">
        <f t="shared" si="1"/>
        <v>4381.2423919338971</v>
      </c>
      <c r="BL3" s="204">
        <f t="shared" si="1"/>
        <v>4381.2423919338971</v>
      </c>
      <c r="BM3" s="204">
        <f t="shared" si="1"/>
        <v>4381.2423919338971</v>
      </c>
      <c r="BN3" s="204">
        <f t="shared" si="1"/>
        <v>4381.2423919338971</v>
      </c>
      <c r="BO3" s="204">
        <f t="shared" si="1"/>
        <v>4381.2423919338971</v>
      </c>
      <c r="BP3" s="204">
        <f t="shared" si="1"/>
        <v>4381.2423919338971</v>
      </c>
      <c r="BQ3" s="204">
        <f t="shared" si="1"/>
        <v>4381.2423919338971</v>
      </c>
      <c r="BR3" s="204">
        <f t="shared" si="1"/>
        <v>4381.2423919338971</v>
      </c>
      <c r="BS3" s="204">
        <f t="shared" si="1"/>
        <v>4381.2423919338971</v>
      </c>
      <c r="BT3" s="204">
        <f t="shared" si="1"/>
        <v>4381.2423919338971</v>
      </c>
      <c r="BU3" s="204">
        <f t="shared" si="1"/>
        <v>4381.2423919338971</v>
      </c>
      <c r="BV3" s="204">
        <f t="shared" si="1"/>
        <v>4381.2423919338971</v>
      </c>
      <c r="BW3" s="204">
        <f t="shared" si="1"/>
        <v>4381.2423919338971</v>
      </c>
      <c r="BX3" s="204">
        <f t="shared" si="1"/>
        <v>4381.2423919338971</v>
      </c>
      <c r="BY3" s="204">
        <f t="shared" si="1"/>
        <v>4381.2423919338971</v>
      </c>
      <c r="BZ3" s="204">
        <f t="shared" si="1"/>
        <v>4381.2423919338971</v>
      </c>
      <c r="CA3" s="204">
        <f t="shared" ref="CA3:CR15" si="2">IF(CA$2&lt;=($B$2+$C$2+$D$2),IF(CA$2&lt;=($B$2+$C$2),IF(CA$2&lt;=$B$2,$B3,$C3),$D3),$E3)</f>
        <v>4381.2423919338971</v>
      </c>
      <c r="CB3" s="204">
        <f t="shared" si="2"/>
        <v>4381.2423919338971</v>
      </c>
      <c r="CC3" s="204">
        <f t="shared" si="2"/>
        <v>4381.2423919338971</v>
      </c>
      <c r="CD3" s="204">
        <f t="shared" si="2"/>
        <v>4381.2423919338971</v>
      </c>
      <c r="CE3" s="204">
        <f t="shared" si="2"/>
        <v>4381.2423919338971</v>
      </c>
      <c r="CF3" s="204">
        <f t="shared" si="2"/>
        <v>4381.2423919338971</v>
      </c>
      <c r="CG3" s="204">
        <f t="shared" si="2"/>
        <v>4381.2423919338971</v>
      </c>
      <c r="CH3" s="204">
        <f t="shared" si="2"/>
        <v>6097.8637282341842</v>
      </c>
      <c r="CI3" s="204">
        <f t="shared" si="2"/>
        <v>6097.8637282341842</v>
      </c>
      <c r="CJ3" s="204">
        <f t="shared" si="2"/>
        <v>6097.8637282341842</v>
      </c>
      <c r="CK3" s="204">
        <f t="shared" si="2"/>
        <v>6097.8637282341842</v>
      </c>
      <c r="CL3" s="204">
        <f t="shared" si="2"/>
        <v>6097.8637282341842</v>
      </c>
      <c r="CM3" s="204">
        <f t="shared" si="2"/>
        <v>6097.8637282341842</v>
      </c>
      <c r="CN3" s="204">
        <f t="shared" si="2"/>
        <v>6097.8637282341842</v>
      </c>
      <c r="CO3" s="204">
        <f t="shared" si="2"/>
        <v>6097.8637282341842</v>
      </c>
      <c r="CP3" s="204">
        <f t="shared" si="2"/>
        <v>6097.8637282341842</v>
      </c>
      <c r="CQ3" s="204">
        <f t="shared" si="2"/>
        <v>6097.8637282341842</v>
      </c>
      <c r="CR3" s="204">
        <f t="shared" si="2"/>
        <v>6097.8637282341842</v>
      </c>
      <c r="CS3" s="204">
        <f t="shared" ref="CS3:DA15" si="3">IF(CS$2&lt;=($B$2+$C$2+$D$2),IF(CS$2&lt;=($B$2+$C$2),IF(CS$2&lt;=$B$2,$B3,$C3),$D3),$E3)</f>
        <v>6097.8637282341842</v>
      </c>
      <c r="CT3" s="204">
        <f t="shared" si="3"/>
        <v>6097.8637282341842</v>
      </c>
      <c r="CU3" s="204">
        <f t="shared" si="3"/>
        <v>6097.8637282341842</v>
      </c>
      <c r="CV3" s="204">
        <f t="shared" si="3"/>
        <v>6097.8637282341842</v>
      </c>
      <c r="CW3" s="204">
        <f t="shared" si="3"/>
        <v>6166.8441894519465</v>
      </c>
      <c r="CX3" s="204">
        <f t="shared" si="3"/>
        <v>6166.8441894519465</v>
      </c>
      <c r="CY3" s="204">
        <f t="shared" si="3"/>
        <v>6166.8441894519465</v>
      </c>
      <c r="CZ3" s="204">
        <f t="shared" si="3"/>
        <v>6166.8441894519465</v>
      </c>
      <c r="DA3" s="204">
        <f t="shared" si="3"/>
        <v>6166.8441894519465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1238.4628440424749</v>
      </c>
      <c r="D4" s="203">
        <f>Income!D73</f>
        <v>5364.203299375361</v>
      </c>
      <c r="E4" s="203">
        <f>Income!E73</f>
        <v>7603.2795975558211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1238.4628440424749</v>
      </c>
      <c r="BE4" s="204">
        <f t="shared" si="1"/>
        <v>1238.4628440424749</v>
      </c>
      <c r="BF4" s="204">
        <f t="shared" si="1"/>
        <v>1238.4628440424749</v>
      </c>
      <c r="BG4" s="204">
        <f t="shared" si="1"/>
        <v>1238.4628440424749</v>
      </c>
      <c r="BH4" s="204">
        <f t="shared" si="1"/>
        <v>1238.4628440424749</v>
      </c>
      <c r="BI4" s="204">
        <f t="shared" si="1"/>
        <v>1238.4628440424749</v>
      </c>
      <c r="BJ4" s="204">
        <f t="shared" si="1"/>
        <v>1238.4628440424749</v>
      </c>
      <c r="BK4" s="204">
        <f t="shared" si="1"/>
        <v>1238.4628440424749</v>
      </c>
      <c r="BL4" s="204">
        <f t="shared" si="1"/>
        <v>1238.4628440424749</v>
      </c>
      <c r="BM4" s="204">
        <f t="shared" si="1"/>
        <v>1238.4628440424749</v>
      </c>
      <c r="BN4" s="204">
        <f t="shared" si="1"/>
        <v>1238.4628440424749</v>
      </c>
      <c r="BO4" s="204">
        <f t="shared" si="1"/>
        <v>1238.4628440424749</v>
      </c>
      <c r="BP4" s="204">
        <f t="shared" si="1"/>
        <v>1238.4628440424749</v>
      </c>
      <c r="BQ4" s="204">
        <f t="shared" si="1"/>
        <v>1238.4628440424749</v>
      </c>
      <c r="BR4" s="204">
        <f t="shared" si="1"/>
        <v>1238.4628440424749</v>
      </c>
      <c r="BS4" s="204">
        <f t="shared" si="1"/>
        <v>1238.4628440424749</v>
      </c>
      <c r="BT4" s="204">
        <f t="shared" si="1"/>
        <v>1238.4628440424749</v>
      </c>
      <c r="BU4" s="204">
        <f t="shared" si="1"/>
        <v>1238.4628440424749</v>
      </c>
      <c r="BV4" s="204">
        <f t="shared" si="1"/>
        <v>1238.4628440424749</v>
      </c>
      <c r="BW4" s="204">
        <f t="shared" si="1"/>
        <v>1238.4628440424749</v>
      </c>
      <c r="BX4" s="204">
        <f t="shared" si="1"/>
        <v>1238.4628440424749</v>
      </c>
      <c r="BY4" s="204">
        <f t="shared" si="1"/>
        <v>1238.4628440424749</v>
      </c>
      <c r="BZ4" s="204">
        <f t="shared" si="1"/>
        <v>1238.4628440424749</v>
      </c>
      <c r="CA4" s="204">
        <f t="shared" si="2"/>
        <v>1238.4628440424749</v>
      </c>
      <c r="CB4" s="204">
        <f t="shared" si="2"/>
        <v>1238.4628440424749</v>
      </c>
      <c r="CC4" s="204">
        <f t="shared" si="2"/>
        <v>1238.4628440424749</v>
      </c>
      <c r="CD4" s="204">
        <f t="shared" si="2"/>
        <v>1238.4628440424749</v>
      </c>
      <c r="CE4" s="204">
        <f t="shared" si="2"/>
        <v>1238.4628440424749</v>
      </c>
      <c r="CF4" s="204">
        <f t="shared" si="2"/>
        <v>1238.4628440424749</v>
      </c>
      <c r="CG4" s="204">
        <f t="shared" si="2"/>
        <v>1238.4628440424749</v>
      </c>
      <c r="CH4" s="204">
        <f t="shared" si="2"/>
        <v>5364.203299375361</v>
      </c>
      <c r="CI4" s="204">
        <f t="shared" si="2"/>
        <v>5364.203299375361</v>
      </c>
      <c r="CJ4" s="204">
        <f t="shared" si="2"/>
        <v>5364.203299375361</v>
      </c>
      <c r="CK4" s="204">
        <f t="shared" si="2"/>
        <v>5364.203299375361</v>
      </c>
      <c r="CL4" s="204">
        <f t="shared" si="2"/>
        <v>5364.203299375361</v>
      </c>
      <c r="CM4" s="204">
        <f t="shared" si="2"/>
        <v>5364.203299375361</v>
      </c>
      <c r="CN4" s="204">
        <f t="shared" si="2"/>
        <v>5364.203299375361</v>
      </c>
      <c r="CO4" s="204">
        <f t="shared" si="2"/>
        <v>5364.203299375361</v>
      </c>
      <c r="CP4" s="204">
        <f t="shared" si="2"/>
        <v>5364.203299375361</v>
      </c>
      <c r="CQ4" s="204">
        <f t="shared" si="2"/>
        <v>5364.203299375361</v>
      </c>
      <c r="CR4" s="204">
        <f t="shared" si="2"/>
        <v>5364.203299375361</v>
      </c>
      <c r="CS4" s="204">
        <f t="shared" si="3"/>
        <v>5364.203299375361</v>
      </c>
      <c r="CT4" s="204">
        <f t="shared" si="3"/>
        <v>5364.203299375361</v>
      </c>
      <c r="CU4" s="204">
        <f t="shared" si="3"/>
        <v>5364.203299375361</v>
      </c>
      <c r="CV4" s="204">
        <f t="shared" si="3"/>
        <v>5364.203299375361</v>
      </c>
      <c r="CW4" s="204">
        <f t="shared" si="3"/>
        <v>7603.2795975558211</v>
      </c>
      <c r="CX4" s="204">
        <f t="shared" si="3"/>
        <v>7603.2795975558211</v>
      </c>
      <c r="CY4" s="204">
        <f t="shared" si="3"/>
        <v>7603.2795975558211</v>
      </c>
      <c r="CZ4" s="204">
        <f t="shared" si="3"/>
        <v>7603.2795975558211</v>
      </c>
      <c r="DA4" s="204">
        <f t="shared" si="3"/>
        <v>7603.2795975558211</v>
      </c>
      <c r="DB4" s="204"/>
    </row>
    <row r="5" spans="1:106">
      <c r="A5" s="201" t="str">
        <f>Income!A74</f>
        <v>Animal products consumed</v>
      </c>
      <c r="B5" s="203">
        <f>Income!B74</f>
        <v>279.81896093684895</v>
      </c>
      <c r="C5" s="203">
        <f>Income!C74</f>
        <v>432.45354682181602</v>
      </c>
      <c r="D5" s="203">
        <f>Income!D74</f>
        <v>745.16676507581951</v>
      </c>
      <c r="E5" s="203">
        <f>Income!E74</f>
        <v>1940.8624261512305</v>
      </c>
      <c r="F5" s="204">
        <f t="shared" si="4"/>
        <v>279.81896093684895</v>
      </c>
      <c r="G5" s="204">
        <f t="shared" si="0"/>
        <v>279.81896093684895</v>
      </c>
      <c r="H5" s="204">
        <f t="shared" si="0"/>
        <v>279.81896093684895</v>
      </c>
      <c r="I5" s="204">
        <f t="shared" si="0"/>
        <v>279.81896093684895</v>
      </c>
      <c r="J5" s="204">
        <f t="shared" si="0"/>
        <v>279.81896093684895</v>
      </c>
      <c r="K5" s="204">
        <f t="shared" si="0"/>
        <v>279.81896093684895</v>
      </c>
      <c r="L5" s="204">
        <f t="shared" si="0"/>
        <v>279.81896093684895</v>
      </c>
      <c r="M5" s="204">
        <f t="shared" si="0"/>
        <v>279.81896093684895</v>
      </c>
      <c r="N5" s="204">
        <f t="shared" si="0"/>
        <v>279.81896093684895</v>
      </c>
      <c r="O5" s="204">
        <f t="shared" si="0"/>
        <v>279.81896093684895</v>
      </c>
      <c r="P5" s="204">
        <f t="shared" si="0"/>
        <v>279.81896093684895</v>
      </c>
      <c r="Q5" s="204">
        <f t="shared" si="0"/>
        <v>279.81896093684895</v>
      </c>
      <c r="R5" s="204">
        <f t="shared" si="0"/>
        <v>279.81896093684895</v>
      </c>
      <c r="S5" s="204">
        <f t="shared" si="0"/>
        <v>279.81896093684895</v>
      </c>
      <c r="T5" s="204">
        <f t="shared" si="0"/>
        <v>279.81896093684895</v>
      </c>
      <c r="U5" s="204">
        <f t="shared" si="0"/>
        <v>279.81896093684895</v>
      </c>
      <c r="V5" s="204">
        <f t="shared" si="0"/>
        <v>279.81896093684895</v>
      </c>
      <c r="W5" s="204">
        <f t="shared" si="0"/>
        <v>279.81896093684895</v>
      </c>
      <c r="X5" s="204">
        <f t="shared" si="0"/>
        <v>279.81896093684895</v>
      </c>
      <c r="Y5" s="204">
        <f t="shared" si="0"/>
        <v>279.81896093684895</v>
      </c>
      <c r="Z5" s="204">
        <f t="shared" si="0"/>
        <v>279.81896093684895</v>
      </c>
      <c r="AA5" s="204">
        <f t="shared" si="0"/>
        <v>279.81896093684895</v>
      </c>
      <c r="AB5" s="204">
        <f t="shared" si="0"/>
        <v>279.81896093684895</v>
      </c>
      <c r="AC5" s="204">
        <f t="shared" si="0"/>
        <v>279.81896093684895</v>
      </c>
      <c r="AD5" s="204">
        <f t="shared" si="0"/>
        <v>279.81896093684895</v>
      </c>
      <c r="AE5" s="204">
        <f t="shared" si="0"/>
        <v>279.81896093684895</v>
      </c>
      <c r="AF5" s="204">
        <f t="shared" si="0"/>
        <v>279.81896093684895</v>
      </c>
      <c r="AG5" s="204">
        <f t="shared" si="0"/>
        <v>279.81896093684895</v>
      </c>
      <c r="AH5" s="204">
        <f t="shared" si="0"/>
        <v>279.81896093684895</v>
      </c>
      <c r="AI5" s="204">
        <f t="shared" si="0"/>
        <v>279.81896093684895</v>
      </c>
      <c r="AJ5" s="204">
        <f t="shared" si="0"/>
        <v>279.81896093684895</v>
      </c>
      <c r="AK5" s="204">
        <f t="shared" si="0"/>
        <v>279.81896093684895</v>
      </c>
      <c r="AL5" s="204">
        <f t="shared" si="0"/>
        <v>279.81896093684895</v>
      </c>
      <c r="AM5" s="204">
        <f t="shared" si="0"/>
        <v>279.81896093684895</v>
      </c>
      <c r="AN5" s="204">
        <f t="shared" si="0"/>
        <v>279.81896093684895</v>
      </c>
      <c r="AO5" s="204">
        <f t="shared" si="0"/>
        <v>279.81896093684895</v>
      </c>
      <c r="AP5" s="204">
        <f t="shared" si="0"/>
        <v>279.81896093684895</v>
      </c>
      <c r="AQ5" s="204">
        <f t="shared" si="0"/>
        <v>279.81896093684895</v>
      </c>
      <c r="AR5" s="204">
        <f t="shared" si="0"/>
        <v>279.81896093684895</v>
      </c>
      <c r="AS5" s="204">
        <f t="shared" si="0"/>
        <v>279.81896093684895</v>
      </c>
      <c r="AT5" s="204">
        <f t="shared" si="0"/>
        <v>279.81896093684895</v>
      </c>
      <c r="AU5" s="204">
        <f t="shared" si="0"/>
        <v>279.81896093684895</v>
      </c>
      <c r="AV5" s="204">
        <f t="shared" si="0"/>
        <v>279.81896093684895</v>
      </c>
      <c r="AW5" s="204">
        <f t="shared" si="0"/>
        <v>279.81896093684895</v>
      </c>
      <c r="AX5" s="204">
        <f t="shared" si="1"/>
        <v>279.81896093684895</v>
      </c>
      <c r="AY5" s="204">
        <f t="shared" si="1"/>
        <v>279.81896093684895</v>
      </c>
      <c r="AZ5" s="204">
        <f t="shared" si="1"/>
        <v>279.81896093684895</v>
      </c>
      <c r="BA5" s="204">
        <f t="shared" si="1"/>
        <v>279.81896093684895</v>
      </c>
      <c r="BB5" s="204">
        <f t="shared" si="1"/>
        <v>279.81896093684895</v>
      </c>
      <c r="BC5" s="204">
        <f t="shared" si="1"/>
        <v>279.81896093684895</v>
      </c>
      <c r="BD5" s="204">
        <f t="shared" si="1"/>
        <v>432.45354682181602</v>
      </c>
      <c r="BE5" s="204">
        <f t="shared" si="1"/>
        <v>432.45354682181602</v>
      </c>
      <c r="BF5" s="204">
        <f t="shared" si="1"/>
        <v>432.45354682181602</v>
      </c>
      <c r="BG5" s="204">
        <f t="shared" si="1"/>
        <v>432.45354682181602</v>
      </c>
      <c r="BH5" s="204">
        <f t="shared" si="1"/>
        <v>432.45354682181602</v>
      </c>
      <c r="BI5" s="204">
        <f t="shared" si="1"/>
        <v>432.45354682181602</v>
      </c>
      <c r="BJ5" s="204">
        <f t="shared" si="1"/>
        <v>432.45354682181602</v>
      </c>
      <c r="BK5" s="204">
        <f t="shared" si="1"/>
        <v>432.45354682181602</v>
      </c>
      <c r="BL5" s="204">
        <f t="shared" si="1"/>
        <v>432.45354682181602</v>
      </c>
      <c r="BM5" s="204">
        <f t="shared" si="1"/>
        <v>432.45354682181602</v>
      </c>
      <c r="BN5" s="204">
        <f t="shared" si="1"/>
        <v>432.45354682181602</v>
      </c>
      <c r="BO5" s="204">
        <f t="shared" si="1"/>
        <v>432.45354682181602</v>
      </c>
      <c r="BP5" s="204">
        <f t="shared" si="1"/>
        <v>432.45354682181602</v>
      </c>
      <c r="BQ5" s="204">
        <f t="shared" si="1"/>
        <v>432.45354682181602</v>
      </c>
      <c r="BR5" s="204">
        <f t="shared" si="1"/>
        <v>432.45354682181602</v>
      </c>
      <c r="BS5" s="204">
        <f t="shared" si="1"/>
        <v>432.45354682181602</v>
      </c>
      <c r="BT5" s="204">
        <f t="shared" si="1"/>
        <v>432.45354682181602</v>
      </c>
      <c r="BU5" s="204">
        <f t="shared" si="1"/>
        <v>432.45354682181602</v>
      </c>
      <c r="BV5" s="204">
        <f t="shared" si="1"/>
        <v>432.45354682181602</v>
      </c>
      <c r="BW5" s="204">
        <f t="shared" si="1"/>
        <v>432.45354682181602</v>
      </c>
      <c r="BX5" s="204">
        <f t="shared" si="1"/>
        <v>432.45354682181602</v>
      </c>
      <c r="BY5" s="204">
        <f t="shared" si="1"/>
        <v>432.45354682181602</v>
      </c>
      <c r="BZ5" s="204">
        <f t="shared" si="1"/>
        <v>432.45354682181602</v>
      </c>
      <c r="CA5" s="204">
        <f t="shared" si="2"/>
        <v>432.45354682181602</v>
      </c>
      <c r="CB5" s="204">
        <f t="shared" si="2"/>
        <v>432.45354682181602</v>
      </c>
      <c r="CC5" s="204">
        <f t="shared" si="2"/>
        <v>432.45354682181602</v>
      </c>
      <c r="CD5" s="204">
        <f t="shared" si="2"/>
        <v>432.45354682181602</v>
      </c>
      <c r="CE5" s="204">
        <f t="shared" si="2"/>
        <v>432.45354682181602</v>
      </c>
      <c r="CF5" s="204">
        <f t="shared" si="2"/>
        <v>432.45354682181602</v>
      </c>
      <c r="CG5" s="204">
        <f t="shared" si="2"/>
        <v>432.45354682181602</v>
      </c>
      <c r="CH5" s="204">
        <f t="shared" si="2"/>
        <v>745.16676507581951</v>
      </c>
      <c r="CI5" s="204">
        <f t="shared" si="2"/>
        <v>745.16676507581951</v>
      </c>
      <c r="CJ5" s="204">
        <f t="shared" si="2"/>
        <v>745.16676507581951</v>
      </c>
      <c r="CK5" s="204">
        <f t="shared" si="2"/>
        <v>745.16676507581951</v>
      </c>
      <c r="CL5" s="204">
        <f t="shared" si="2"/>
        <v>745.16676507581951</v>
      </c>
      <c r="CM5" s="204">
        <f t="shared" si="2"/>
        <v>745.16676507581951</v>
      </c>
      <c r="CN5" s="204">
        <f t="shared" si="2"/>
        <v>745.16676507581951</v>
      </c>
      <c r="CO5" s="204">
        <f t="shared" si="2"/>
        <v>745.16676507581951</v>
      </c>
      <c r="CP5" s="204">
        <f t="shared" si="2"/>
        <v>745.16676507581951</v>
      </c>
      <c r="CQ5" s="204">
        <f t="shared" si="2"/>
        <v>745.16676507581951</v>
      </c>
      <c r="CR5" s="204">
        <f t="shared" si="2"/>
        <v>745.16676507581951</v>
      </c>
      <c r="CS5" s="204">
        <f t="shared" si="3"/>
        <v>745.16676507581951</v>
      </c>
      <c r="CT5" s="204">
        <f t="shared" si="3"/>
        <v>745.16676507581951</v>
      </c>
      <c r="CU5" s="204">
        <f t="shared" si="3"/>
        <v>745.16676507581951</v>
      </c>
      <c r="CV5" s="204">
        <f t="shared" si="3"/>
        <v>745.16676507581951</v>
      </c>
      <c r="CW5" s="204">
        <f t="shared" si="3"/>
        <v>1940.8624261512305</v>
      </c>
      <c r="CX5" s="204">
        <f t="shared" si="3"/>
        <v>1940.8624261512305</v>
      </c>
      <c r="CY5" s="204">
        <f t="shared" si="3"/>
        <v>1940.8624261512305</v>
      </c>
      <c r="CZ5" s="204">
        <f t="shared" si="3"/>
        <v>1940.8624261512305</v>
      </c>
      <c r="DA5" s="204">
        <f t="shared" si="3"/>
        <v>1940.8624261512305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740.70744260913568</v>
      </c>
      <c r="D7" s="203">
        <f>Income!D76</f>
        <v>5184.9520982639497</v>
      </c>
      <c r="E7" s="203">
        <f>Income!E76</f>
        <v>14550.78620592169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740.70744260913568</v>
      </c>
      <c r="BE7" s="204">
        <f t="shared" si="5"/>
        <v>740.70744260913568</v>
      </c>
      <c r="BF7" s="204">
        <f t="shared" si="5"/>
        <v>740.70744260913568</v>
      </c>
      <c r="BG7" s="204">
        <f t="shared" si="5"/>
        <v>740.70744260913568</v>
      </c>
      <c r="BH7" s="204">
        <f t="shared" si="5"/>
        <v>740.70744260913568</v>
      </c>
      <c r="BI7" s="204">
        <f t="shared" si="5"/>
        <v>740.70744260913568</v>
      </c>
      <c r="BJ7" s="204">
        <f t="shared" si="5"/>
        <v>740.70744260913568</v>
      </c>
      <c r="BK7" s="204">
        <f t="shared" si="1"/>
        <v>740.70744260913568</v>
      </c>
      <c r="BL7" s="204">
        <f t="shared" si="1"/>
        <v>740.70744260913568</v>
      </c>
      <c r="BM7" s="204">
        <f t="shared" si="1"/>
        <v>740.70744260913568</v>
      </c>
      <c r="BN7" s="204">
        <f t="shared" si="1"/>
        <v>740.70744260913568</v>
      </c>
      <c r="BO7" s="204">
        <f t="shared" si="1"/>
        <v>740.70744260913568</v>
      </c>
      <c r="BP7" s="204">
        <f t="shared" si="1"/>
        <v>740.70744260913568</v>
      </c>
      <c r="BQ7" s="204">
        <f t="shared" si="1"/>
        <v>740.70744260913568</v>
      </c>
      <c r="BR7" s="204">
        <f t="shared" si="1"/>
        <v>740.70744260913568</v>
      </c>
      <c r="BS7" s="204">
        <f t="shared" si="1"/>
        <v>740.70744260913568</v>
      </c>
      <c r="BT7" s="204">
        <f t="shared" si="1"/>
        <v>740.70744260913568</v>
      </c>
      <c r="BU7" s="204">
        <f t="shared" si="1"/>
        <v>740.70744260913568</v>
      </c>
      <c r="BV7" s="204">
        <f t="shared" si="1"/>
        <v>740.70744260913568</v>
      </c>
      <c r="BW7" s="204">
        <f t="shared" si="1"/>
        <v>740.70744260913568</v>
      </c>
      <c r="BX7" s="204">
        <f t="shared" si="1"/>
        <v>740.70744260913568</v>
      </c>
      <c r="BY7" s="204">
        <f t="shared" si="1"/>
        <v>740.70744260913568</v>
      </c>
      <c r="BZ7" s="204">
        <f t="shared" si="1"/>
        <v>740.70744260913568</v>
      </c>
      <c r="CA7" s="204">
        <f t="shared" si="2"/>
        <v>740.70744260913568</v>
      </c>
      <c r="CB7" s="204">
        <f t="shared" si="2"/>
        <v>740.70744260913568</v>
      </c>
      <c r="CC7" s="204">
        <f t="shared" si="2"/>
        <v>740.70744260913568</v>
      </c>
      <c r="CD7" s="204">
        <f t="shared" si="2"/>
        <v>740.70744260913568</v>
      </c>
      <c r="CE7" s="204">
        <f t="shared" si="2"/>
        <v>740.70744260913568</v>
      </c>
      <c r="CF7" s="204">
        <f t="shared" si="2"/>
        <v>740.70744260913568</v>
      </c>
      <c r="CG7" s="204">
        <f t="shared" si="2"/>
        <v>740.70744260913568</v>
      </c>
      <c r="CH7" s="204">
        <f t="shared" si="2"/>
        <v>5184.9520982639497</v>
      </c>
      <c r="CI7" s="204">
        <f t="shared" si="2"/>
        <v>5184.9520982639497</v>
      </c>
      <c r="CJ7" s="204">
        <f t="shared" si="2"/>
        <v>5184.9520982639497</v>
      </c>
      <c r="CK7" s="204">
        <f t="shared" si="2"/>
        <v>5184.9520982639497</v>
      </c>
      <c r="CL7" s="204">
        <f t="shared" si="2"/>
        <v>5184.9520982639497</v>
      </c>
      <c r="CM7" s="204">
        <f t="shared" si="2"/>
        <v>5184.9520982639497</v>
      </c>
      <c r="CN7" s="204">
        <f t="shared" si="2"/>
        <v>5184.9520982639497</v>
      </c>
      <c r="CO7" s="204">
        <f t="shared" si="2"/>
        <v>5184.9520982639497</v>
      </c>
      <c r="CP7" s="204">
        <f t="shared" si="2"/>
        <v>5184.9520982639497</v>
      </c>
      <c r="CQ7" s="204">
        <f t="shared" si="2"/>
        <v>5184.9520982639497</v>
      </c>
      <c r="CR7" s="204">
        <f t="shared" si="2"/>
        <v>5184.9520982639497</v>
      </c>
      <c r="CS7" s="204">
        <f t="shared" si="3"/>
        <v>5184.9520982639497</v>
      </c>
      <c r="CT7" s="204">
        <f t="shared" si="3"/>
        <v>5184.9520982639497</v>
      </c>
      <c r="CU7" s="204">
        <f t="shared" si="3"/>
        <v>5184.9520982639497</v>
      </c>
      <c r="CV7" s="204">
        <f t="shared" si="3"/>
        <v>5184.9520982639497</v>
      </c>
      <c r="CW7" s="204">
        <f t="shared" si="3"/>
        <v>14550.78620592169</v>
      </c>
      <c r="CX7" s="204">
        <f t="shared" si="3"/>
        <v>14550.78620592169</v>
      </c>
      <c r="CY7" s="204">
        <f t="shared" si="3"/>
        <v>14550.78620592169</v>
      </c>
      <c r="CZ7" s="204">
        <f t="shared" si="3"/>
        <v>14550.78620592169</v>
      </c>
      <c r="DA7" s="204">
        <f t="shared" si="3"/>
        <v>14550.78620592169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146.66966986477667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146.66966986477667</v>
      </c>
      <c r="CX8" s="204">
        <f t="shared" si="3"/>
        <v>146.66966986477667</v>
      </c>
      <c r="CY8" s="204">
        <f t="shared" si="3"/>
        <v>146.66966986477667</v>
      </c>
      <c r="CZ8" s="204">
        <f t="shared" si="3"/>
        <v>146.66966986477667</v>
      </c>
      <c r="DA8" s="204">
        <f t="shared" si="3"/>
        <v>146.66966986477667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2591.4414323271239</v>
      </c>
      <c r="D9" s="203">
        <f>Income!D78</f>
        <v>1114.0239936841401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2591.4414323271239</v>
      </c>
      <c r="BE9" s="204">
        <f t="shared" si="1"/>
        <v>2591.4414323271239</v>
      </c>
      <c r="BF9" s="204">
        <f t="shared" si="1"/>
        <v>2591.4414323271239</v>
      </c>
      <c r="BG9" s="204">
        <f t="shared" si="1"/>
        <v>2591.4414323271239</v>
      </c>
      <c r="BH9" s="204">
        <f t="shared" si="1"/>
        <v>2591.4414323271239</v>
      </c>
      <c r="BI9" s="204">
        <f t="shared" si="1"/>
        <v>2591.4414323271239</v>
      </c>
      <c r="BJ9" s="204">
        <f t="shared" si="1"/>
        <v>2591.4414323271239</v>
      </c>
      <c r="BK9" s="204">
        <f t="shared" si="1"/>
        <v>2591.4414323271239</v>
      </c>
      <c r="BL9" s="204">
        <f t="shared" si="1"/>
        <v>2591.4414323271239</v>
      </c>
      <c r="BM9" s="204">
        <f t="shared" si="1"/>
        <v>2591.4414323271239</v>
      </c>
      <c r="BN9" s="204">
        <f t="shared" si="1"/>
        <v>2591.4414323271239</v>
      </c>
      <c r="BO9" s="204">
        <f t="shared" si="1"/>
        <v>2591.4414323271239</v>
      </c>
      <c r="BP9" s="204">
        <f t="shared" si="1"/>
        <v>2591.4414323271239</v>
      </c>
      <c r="BQ9" s="204">
        <f t="shared" si="1"/>
        <v>2591.4414323271239</v>
      </c>
      <c r="BR9" s="204">
        <f t="shared" si="1"/>
        <v>2591.4414323271239</v>
      </c>
      <c r="BS9" s="204">
        <f t="shared" si="1"/>
        <v>2591.4414323271239</v>
      </c>
      <c r="BT9" s="204">
        <f t="shared" si="1"/>
        <v>2591.4414323271239</v>
      </c>
      <c r="BU9" s="204">
        <f t="shared" si="1"/>
        <v>2591.4414323271239</v>
      </c>
      <c r="BV9" s="204">
        <f t="shared" si="1"/>
        <v>2591.4414323271239</v>
      </c>
      <c r="BW9" s="204">
        <f t="shared" si="1"/>
        <v>2591.4414323271239</v>
      </c>
      <c r="BX9" s="204">
        <f t="shared" si="1"/>
        <v>2591.4414323271239</v>
      </c>
      <c r="BY9" s="204">
        <f t="shared" si="1"/>
        <v>2591.4414323271239</v>
      </c>
      <c r="BZ9" s="204">
        <f t="shared" si="1"/>
        <v>2591.4414323271239</v>
      </c>
      <c r="CA9" s="204">
        <f t="shared" si="2"/>
        <v>2591.4414323271239</v>
      </c>
      <c r="CB9" s="204">
        <f t="shared" si="2"/>
        <v>2591.4414323271239</v>
      </c>
      <c r="CC9" s="204">
        <f t="shared" si="2"/>
        <v>2591.4414323271239</v>
      </c>
      <c r="CD9" s="204">
        <f t="shared" si="2"/>
        <v>2591.4414323271239</v>
      </c>
      <c r="CE9" s="204">
        <f t="shared" si="2"/>
        <v>2591.4414323271239</v>
      </c>
      <c r="CF9" s="204">
        <f t="shared" si="2"/>
        <v>2591.4414323271239</v>
      </c>
      <c r="CG9" s="204">
        <f t="shared" si="2"/>
        <v>2591.4414323271239</v>
      </c>
      <c r="CH9" s="204">
        <f t="shared" si="2"/>
        <v>1114.0239936841401</v>
      </c>
      <c r="CI9" s="204">
        <f t="shared" si="2"/>
        <v>1114.0239936841401</v>
      </c>
      <c r="CJ9" s="204">
        <f t="shared" si="2"/>
        <v>1114.0239936841401</v>
      </c>
      <c r="CK9" s="204">
        <f t="shared" si="2"/>
        <v>1114.0239936841401</v>
      </c>
      <c r="CL9" s="204">
        <f t="shared" si="2"/>
        <v>1114.0239936841401</v>
      </c>
      <c r="CM9" s="204">
        <f t="shared" si="2"/>
        <v>1114.0239936841401</v>
      </c>
      <c r="CN9" s="204">
        <f t="shared" si="2"/>
        <v>1114.0239936841401</v>
      </c>
      <c r="CO9" s="204">
        <f t="shared" si="2"/>
        <v>1114.0239936841401</v>
      </c>
      <c r="CP9" s="204">
        <f t="shared" si="2"/>
        <v>1114.0239936841401</v>
      </c>
      <c r="CQ9" s="204">
        <f t="shared" si="2"/>
        <v>1114.0239936841401</v>
      </c>
      <c r="CR9" s="204">
        <f t="shared" si="2"/>
        <v>1114.0239936841401</v>
      </c>
      <c r="CS9" s="204">
        <f t="shared" si="3"/>
        <v>1114.0239936841401</v>
      </c>
      <c r="CT9" s="204">
        <f t="shared" si="3"/>
        <v>1114.0239936841401</v>
      </c>
      <c r="CU9" s="204">
        <f t="shared" si="3"/>
        <v>1114.0239936841401</v>
      </c>
      <c r="CV9" s="204">
        <f t="shared" si="3"/>
        <v>1114.0239936841401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45772.42792016633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45772.42792016633</v>
      </c>
      <c r="CX10" s="204">
        <f t="shared" si="3"/>
        <v>45772.42792016633</v>
      </c>
      <c r="CY10" s="204">
        <f t="shared" si="3"/>
        <v>45772.42792016633</v>
      </c>
      <c r="CZ10" s="204">
        <f t="shared" si="3"/>
        <v>45772.42792016633</v>
      </c>
      <c r="DA10" s="204">
        <f t="shared" si="3"/>
        <v>45772.42792016633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635.52698575863838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635.52698575863838</v>
      </c>
      <c r="CI11" s="204">
        <f t="shared" si="2"/>
        <v>635.52698575863838</v>
      </c>
      <c r="CJ11" s="204">
        <f t="shared" si="2"/>
        <v>635.52698575863838</v>
      </c>
      <c r="CK11" s="204">
        <f t="shared" si="2"/>
        <v>635.52698575863838</v>
      </c>
      <c r="CL11" s="204">
        <f t="shared" si="2"/>
        <v>635.52698575863838</v>
      </c>
      <c r="CM11" s="204">
        <f t="shared" si="2"/>
        <v>635.52698575863838</v>
      </c>
      <c r="CN11" s="204">
        <f t="shared" si="2"/>
        <v>635.52698575863838</v>
      </c>
      <c r="CO11" s="204">
        <f t="shared" si="2"/>
        <v>635.52698575863838</v>
      </c>
      <c r="CP11" s="204">
        <f t="shared" si="2"/>
        <v>635.52698575863838</v>
      </c>
      <c r="CQ11" s="204">
        <f t="shared" si="2"/>
        <v>635.52698575863838</v>
      </c>
      <c r="CR11" s="204">
        <f t="shared" si="2"/>
        <v>635.52698575863838</v>
      </c>
      <c r="CS11" s="204">
        <f t="shared" si="3"/>
        <v>635.52698575863838</v>
      </c>
      <c r="CT11" s="204">
        <f t="shared" si="3"/>
        <v>635.52698575863838</v>
      </c>
      <c r="CU11" s="204">
        <f t="shared" si="3"/>
        <v>635.52698575863838</v>
      </c>
      <c r="CV11" s="204">
        <f t="shared" si="3"/>
        <v>635.52698575863838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3199.8561520714661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3199.8561520714661</v>
      </c>
      <c r="CI12" s="204">
        <f t="shared" si="2"/>
        <v>3199.8561520714661</v>
      </c>
      <c r="CJ12" s="204">
        <f t="shared" si="2"/>
        <v>3199.8561520714661</v>
      </c>
      <c r="CK12" s="204">
        <f t="shared" si="2"/>
        <v>3199.8561520714661</v>
      </c>
      <c r="CL12" s="204">
        <f t="shared" si="2"/>
        <v>3199.8561520714661</v>
      </c>
      <c r="CM12" s="204">
        <f t="shared" si="2"/>
        <v>3199.8561520714661</v>
      </c>
      <c r="CN12" s="204">
        <f t="shared" si="2"/>
        <v>3199.8561520714661</v>
      </c>
      <c r="CO12" s="204">
        <f t="shared" si="2"/>
        <v>3199.8561520714661</v>
      </c>
      <c r="CP12" s="204">
        <f t="shared" si="2"/>
        <v>3199.8561520714661</v>
      </c>
      <c r="CQ12" s="204">
        <f t="shared" si="2"/>
        <v>3199.8561520714661</v>
      </c>
      <c r="CR12" s="204">
        <f t="shared" si="2"/>
        <v>3199.8561520714661</v>
      </c>
      <c r="CS12" s="204">
        <f t="shared" si="3"/>
        <v>3199.8561520714661</v>
      </c>
      <c r="CT12" s="204">
        <f t="shared" si="3"/>
        <v>3199.8561520714661</v>
      </c>
      <c r="CU12" s="204">
        <f t="shared" si="3"/>
        <v>3199.8561520714661</v>
      </c>
      <c r="CV12" s="204">
        <f t="shared" si="3"/>
        <v>3199.8561520714661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1491.5874480929031</v>
      </c>
      <c r="C13" s="203">
        <f>Income!C83</f>
        <v>1491.5874480929031</v>
      </c>
      <c r="D13" s="203">
        <f>Income!D83</f>
        <v>1491.5874480929031</v>
      </c>
      <c r="E13" s="203">
        <f>Income!E83</f>
        <v>1325.855509415914</v>
      </c>
      <c r="F13" s="204">
        <f t="shared" si="4"/>
        <v>1491.5874480929031</v>
      </c>
      <c r="G13" s="204">
        <f t="shared" si="4"/>
        <v>1491.5874480929031</v>
      </c>
      <c r="H13" s="204">
        <f t="shared" si="4"/>
        <v>1491.5874480929031</v>
      </c>
      <c r="I13" s="204">
        <f t="shared" si="4"/>
        <v>1491.5874480929031</v>
      </c>
      <c r="J13" s="204">
        <f t="shared" si="4"/>
        <v>1491.5874480929031</v>
      </c>
      <c r="K13" s="204">
        <f t="shared" si="4"/>
        <v>1491.5874480929031</v>
      </c>
      <c r="L13" s="204">
        <f t="shared" si="4"/>
        <v>1491.5874480929031</v>
      </c>
      <c r="M13" s="204">
        <f t="shared" si="4"/>
        <v>1491.5874480929031</v>
      </c>
      <c r="N13" s="204">
        <f t="shared" si="4"/>
        <v>1491.5874480929031</v>
      </c>
      <c r="O13" s="204">
        <f t="shared" si="4"/>
        <v>1491.5874480929031</v>
      </c>
      <c r="P13" s="204">
        <f t="shared" si="4"/>
        <v>1491.5874480929031</v>
      </c>
      <c r="Q13" s="204">
        <f t="shared" si="4"/>
        <v>1491.5874480929031</v>
      </c>
      <c r="R13" s="204">
        <f t="shared" si="4"/>
        <v>1491.5874480929031</v>
      </c>
      <c r="S13" s="204">
        <f t="shared" si="4"/>
        <v>1491.5874480929031</v>
      </c>
      <c r="T13" s="204">
        <f t="shared" si="4"/>
        <v>1491.5874480929031</v>
      </c>
      <c r="U13" s="204">
        <f t="shared" si="4"/>
        <v>1491.5874480929031</v>
      </c>
      <c r="V13" s="204">
        <f t="shared" si="6"/>
        <v>1491.5874480929031</v>
      </c>
      <c r="W13" s="204">
        <f t="shared" si="6"/>
        <v>1491.5874480929031</v>
      </c>
      <c r="X13" s="204">
        <f t="shared" si="6"/>
        <v>1491.5874480929031</v>
      </c>
      <c r="Y13" s="204">
        <f t="shared" si="6"/>
        <v>1491.5874480929031</v>
      </c>
      <c r="Z13" s="204">
        <f t="shared" si="6"/>
        <v>1491.5874480929031</v>
      </c>
      <c r="AA13" s="204">
        <f t="shared" si="6"/>
        <v>1491.5874480929031</v>
      </c>
      <c r="AB13" s="204">
        <f t="shared" si="6"/>
        <v>1491.5874480929031</v>
      </c>
      <c r="AC13" s="204">
        <f t="shared" si="6"/>
        <v>1491.5874480929031</v>
      </c>
      <c r="AD13" s="204">
        <f t="shared" si="6"/>
        <v>1491.5874480929031</v>
      </c>
      <c r="AE13" s="204">
        <f t="shared" si="6"/>
        <v>1491.5874480929031</v>
      </c>
      <c r="AF13" s="204">
        <f t="shared" si="6"/>
        <v>1491.5874480929031</v>
      </c>
      <c r="AG13" s="204">
        <f t="shared" si="6"/>
        <v>1491.5874480929031</v>
      </c>
      <c r="AH13" s="204">
        <f t="shared" si="6"/>
        <v>1491.5874480929031</v>
      </c>
      <c r="AI13" s="204">
        <f t="shared" si="6"/>
        <v>1491.5874480929031</v>
      </c>
      <c r="AJ13" s="204">
        <f t="shared" si="6"/>
        <v>1491.5874480929031</v>
      </c>
      <c r="AK13" s="204">
        <f t="shared" si="6"/>
        <v>1491.5874480929031</v>
      </c>
      <c r="AL13" s="204">
        <f t="shared" si="7"/>
        <v>1491.5874480929031</v>
      </c>
      <c r="AM13" s="204">
        <f t="shared" si="7"/>
        <v>1491.5874480929031</v>
      </c>
      <c r="AN13" s="204">
        <f t="shared" si="7"/>
        <v>1491.5874480929031</v>
      </c>
      <c r="AO13" s="204">
        <f t="shared" si="7"/>
        <v>1491.5874480929031</v>
      </c>
      <c r="AP13" s="204">
        <f t="shared" si="7"/>
        <v>1491.5874480929031</v>
      </c>
      <c r="AQ13" s="204">
        <f t="shared" si="7"/>
        <v>1491.5874480929031</v>
      </c>
      <c r="AR13" s="204">
        <f t="shared" si="7"/>
        <v>1491.5874480929031</v>
      </c>
      <c r="AS13" s="204">
        <f t="shared" si="7"/>
        <v>1491.5874480929031</v>
      </c>
      <c r="AT13" s="204">
        <f t="shared" si="7"/>
        <v>1491.5874480929031</v>
      </c>
      <c r="AU13" s="204">
        <f t="shared" si="7"/>
        <v>1491.5874480929031</v>
      </c>
      <c r="AV13" s="204">
        <f t="shared" si="7"/>
        <v>1491.5874480929031</v>
      </c>
      <c r="AW13" s="204">
        <f t="shared" si="7"/>
        <v>1491.5874480929031</v>
      </c>
      <c r="AX13" s="204">
        <f t="shared" si="8"/>
        <v>1491.5874480929031</v>
      </c>
      <c r="AY13" s="204">
        <f t="shared" si="8"/>
        <v>1491.5874480929031</v>
      </c>
      <c r="AZ13" s="204">
        <f t="shared" si="8"/>
        <v>1491.5874480929031</v>
      </c>
      <c r="BA13" s="204">
        <f t="shared" si="8"/>
        <v>1491.5874480929031</v>
      </c>
      <c r="BB13" s="204">
        <f t="shared" si="8"/>
        <v>1491.5874480929031</v>
      </c>
      <c r="BC13" s="204">
        <f t="shared" si="8"/>
        <v>1491.5874480929031</v>
      </c>
      <c r="BD13" s="204">
        <f t="shared" si="8"/>
        <v>1491.5874480929031</v>
      </c>
      <c r="BE13" s="204">
        <f t="shared" si="8"/>
        <v>1491.5874480929031</v>
      </c>
      <c r="BF13" s="204">
        <f t="shared" si="8"/>
        <v>1491.5874480929031</v>
      </c>
      <c r="BG13" s="204">
        <f t="shared" si="8"/>
        <v>1491.5874480929031</v>
      </c>
      <c r="BH13" s="204">
        <f t="shared" si="8"/>
        <v>1491.5874480929031</v>
      </c>
      <c r="BI13" s="204">
        <f t="shared" si="8"/>
        <v>1491.5874480929031</v>
      </c>
      <c r="BJ13" s="204">
        <f t="shared" si="8"/>
        <v>1491.5874480929031</v>
      </c>
      <c r="BK13" s="204">
        <f t="shared" si="8"/>
        <v>1491.5874480929031</v>
      </c>
      <c r="BL13" s="204">
        <f t="shared" si="8"/>
        <v>1491.5874480929031</v>
      </c>
      <c r="BM13" s="204">
        <f t="shared" si="8"/>
        <v>1491.5874480929031</v>
      </c>
      <c r="BN13" s="204">
        <f t="shared" si="8"/>
        <v>1491.5874480929031</v>
      </c>
      <c r="BO13" s="204">
        <f t="shared" si="8"/>
        <v>1491.5874480929031</v>
      </c>
      <c r="BP13" s="204">
        <f t="shared" si="8"/>
        <v>1491.5874480929031</v>
      </c>
      <c r="BQ13" s="204">
        <f t="shared" si="8"/>
        <v>1491.5874480929031</v>
      </c>
      <c r="BR13" s="204">
        <f t="shared" si="8"/>
        <v>1491.5874480929031</v>
      </c>
      <c r="BS13" s="204">
        <f t="shared" si="8"/>
        <v>1491.5874480929031</v>
      </c>
      <c r="BT13" s="204">
        <f t="shared" si="8"/>
        <v>1491.5874480929031</v>
      </c>
      <c r="BU13" s="204">
        <f t="shared" si="8"/>
        <v>1491.5874480929031</v>
      </c>
      <c r="BV13" s="204">
        <f t="shared" si="8"/>
        <v>1491.5874480929031</v>
      </c>
      <c r="BW13" s="204">
        <f t="shared" si="8"/>
        <v>1491.5874480929031</v>
      </c>
      <c r="BX13" s="204">
        <f t="shared" si="8"/>
        <v>1491.5874480929031</v>
      </c>
      <c r="BY13" s="204">
        <f t="shared" si="8"/>
        <v>1491.5874480929031</v>
      </c>
      <c r="BZ13" s="204">
        <f t="shared" si="8"/>
        <v>1491.5874480929031</v>
      </c>
      <c r="CA13" s="204">
        <f t="shared" si="2"/>
        <v>1491.5874480929031</v>
      </c>
      <c r="CB13" s="204">
        <f t="shared" si="2"/>
        <v>1491.5874480929031</v>
      </c>
      <c r="CC13" s="204">
        <f t="shared" si="2"/>
        <v>1491.5874480929031</v>
      </c>
      <c r="CD13" s="204">
        <f t="shared" si="2"/>
        <v>1491.5874480929031</v>
      </c>
      <c r="CE13" s="204">
        <f t="shared" si="2"/>
        <v>1491.5874480929031</v>
      </c>
      <c r="CF13" s="204">
        <f t="shared" si="2"/>
        <v>1491.5874480929031</v>
      </c>
      <c r="CG13" s="204">
        <f t="shared" si="2"/>
        <v>1491.5874480929031</v>
      </c>
      <c r="CH13" s="204">
        <f t="shared" si="2"/>
        <v>1491.5874480929031</v>
      </c>
      <c r="CI13" s="204">
        <f t="shared" si="2"/>
        <v>1491.5874480929031</v>
      </c>
      <c r="CJ13" s="204">
        <f t="shared" si="2"/>
        <v>1491.5874480929031</v>
      </c>
      <c r="CK13" s="204">
        <f t="shared" si="2"/>
        <v>1491.5874480929031</v>
      </c>
      <c r="CL13" s="204">
        <f t="shared" si="2"/>
        <v>1491.5874480929031</v>
      </c>
      <c r="CM13" s="204">
        <f t="shared" si="2"/>
        <v>1491.5874480929031</v>
      </c>
      <c r="CN13" s="204">
        <f t="shared" si="2"/>
        <v>1491.5874480929031</v>
      </c>
      <c r="CO13" s="204">
        <f t="shared" si="2"/>
        <v>1491.5874480929031</v>
      </c>
      <c r="CP13" s="204">
        <f t="shared" si="2"/>
        <v>1491.5874480929031</v>
      </c>
      <c r="CQ13" s="204">
        <f t="shared" si="2"/>
        <v>1491.5874480929031</v>
      </c>
      <c r="CR13" s="204">
        <f t="shared" si="2"/>
        <v>1491.5874480929031</v>
      </c>
      <c r="CS13" s="204">
        <f t="shared" si="3"/>
        <v>1491.5874480929031</v>
      </c>
      <c r="CT13" s="204">
        <f t="shared" si="3"/>
        <v>1491.5874480929031</v>
      </c>
      <c r="CU13" s="204">
        <f t="shared" si="3"/>
        <v>1491.5874480929031</v>
      </c>
      <c r="CV13" s="204">
        <f t="shared" si="3"/>
        <v>1491.5874480929031</v>
      </c>
      <c r="CW13" s="204">
        <f t="shared" si="3"/>
        <v>1325.855509415914</v>
      </c>
      <c r="CX13" s="204">
        <f t="shared" si="3"/>
        <v>1325.855509415914</v>
      </c>
      <c r="CY13" s="204">
        <f t="shared" si="3"/>
        <v>1325.855509415914</v>
      </c>
      <c r="CZ13" s="204">
        <f t="shared" si="3"/>
        <v>1325.855509415914</v>
      </c>
      <c r="DA13" s="204">
        <f t="shared" si="3"/>
        <v>1325.855509415914</v>
      </c>
      <c r="DB13" s="204"/>
    </row>
    <row r="14" spans="1:106">
      <c r="A14" s="201" t="str">
        <f>Income!A85</f>
        <v>Cash transfer - official</v>
      </c>
      <c r="B14" s="203">
        <f>Income!B85</f>
        <v>32620.755772506334</v>
      </c>
      <c r="C14" s="203">
        <f>Income!C85</f>
        <v>32620.755772506334</v>
      </c>
      <c r="D14" s="203">
        <f>Income!D85</f>
        <v>32620.755772506334</v>
      </c>
      <c r="E14" s="203">
        <f>Income!E85</f>
        <v>8114.2031313022126</v>
      </c>
      <c r="F14" s="204">
        <f t="shared" si="4"/>
        <v>32620.755772506334</v>
      </c>
      <c r="G14" s="204">
        <f t="shared" si="4"/>
        <v>32620.755772506334</v>
      </c>
      <c r="H14" s="204">
        <f t="shared" si="4"/>
        <v>32620.755772506334</v>
      </c>
      <c r="I14" s="204">
        <f t="shared" si="4"/>
        <v>32620.755772506334</v>
      </c>
      <c r="J14" s="204">
        <f t="shared" si="4"/>
        <v>32620.755772506334</v>
      </c>
      <c r="K14" s="204">
        <f t="shared" si="4"/>
        <v>32620.755772506334</v>
      </c>
      <c r="L14" s="204">
        <f t="shared" si="4"/>
        <v>32620.755772506334</v>
      </c>
      <c r="M14" s="204">
        <f t="shared" si="4"/>
        <v>32620.755772506334</v>
      </c>
      <c r="N14" s="204">
        <f t="shared" si="4"/>
        <v>32620.755772506334</v>
      </c>
      <c r="O14" s="204">
        <f t="shared" si="4"/>
        <v>32620.755772506334</v>
      </c>
      <c r="P14" s="204">
        <f t="shared" si="4"/>
        <v>32620.755772506334</v>
      </c>
      <c r="Q14" s="204">
        <f t="shared" si="4"/>
        <v>32620.755772506334</v>
      </c>
      <c r="R14" s="204">
        <f t="shared" si="4"/>
        <v>32620.755772506334</v>
      </c>
      <c r="S14" s="204">
        <f t="shared" si="4"/>
        <v>32620.755772506334</v>
      </c>
      <c r="T14" s="204">
        <f t="shared" si="4"/>
        <v>32620.755772506334</v>
      </c>
      <c r="U14" s="204">
        <f t="shared" si="4"/>
        <v>32620.755772506334</v>
      </c>
      <c r="V14" s="204">
        <f t="shared" si="6"/>
        <v>32620.755772506334</v>
      </c>
      <c r="W14" s="204">
        <f t="shared" si="6"/>
        <v>32620.755772506334</v>
      </c>
      <c r="X14" s="204">
        <f t="shared" si="6"/>
        <v>32620.755772506334</v>
      </c>
      <c r="Y14" s="204">
        <f t="shared" si="6"/>
        <v>32620.755772506334</v>
      </c>
      <c r="Z14" s="204">
        <f t="shared" si="6"/>
        <v>32620.755772506334</v>
      </c>
      <c r="AA14" s="204">
        <f t="shared" si="6"/>
        <v>32620.755772506334</v>
      </c>
      <c r="AB14" s="204">
        <f t="shared" si="6"/>
        <v>32620.755772506334</v>
      </c>
      <c r="AC14" s="204">
        <f t="shared" si="6"/>
        <v>32620.755772506334</v>
      </c>
      <c r="AD14" s="204">
        <f t="shared" si="6"/>
        <v>32620.755772506334</v>
      </c>
      <c r="AE14" s="204">
        <f t="shared" si="6"/>
        <v>32620.755772506334</v>
      </c>
      <c r="AF14" s="204">
        <f t="shared" si="6"/>
        <v>32620.755772506334</v>
      </c>
      <c r="AG14" s="204">
        <f t="shared" si="6"/>
        <v>32620.755772506334</v>
      </c>
      <c r="AH14" s="204">
        <f t="shared" si="6"/>
        <v>32620.755772506334</v>
      </c>
      <c r="AI14" s="204">
        <f t="shared" si="6"/>
        <v>32620.755772506334</v>
      </c>
      <c r="AJ14" s="204">
        <f t="shared" si="6"/>
        <v>32620.755772506334</v>
      </c>
      <c r="AK14" s="204">
        <f t="shared" si="6"/>
        <v>32620.755772506334</v>
      </c>
      <c r="AL14" s="204">
        <f t="shared" si="7"/>
        <v>32620.755772506334</v>
      </c>
      <c r="AM14" s="204">
        <f t="shared" si="7"/>
        <v>32620.755772506334</v>
      </c>
      <c r="AN14" s="204">
        <f t="shared" si="7"/>
        <v>32620.755772506334</v>
      </c>
      <c r="AO14" s="204">
        <f t="shared" si="7"/>
        <v>32620.755772506334</v>
      </c>
      <c r="AP14" s="204">
        <f t="shared" si="7"/>
        <v>32620.755772506334</v>
      </c>
      <c r="AQ14" s="204">
        <f t="shared" si="7"/>
        <v>32620.755772506334</v>
      </c>
      <c r="AR14" s="204">
        <f t="shared" si="7"/>
        <v>32620.755772506334</v>
      </c>
      <c r="AS14" s="204">
        <f t="shared" si="7"/>
        <v>32620.755772506334</v>
      </c>
      <c r="AT14" s="204">
        <f t="shared" si="7"/>
        <v>32620.755772506334</v>
      </c>
      <c r="AU14" s="204">
        <f t="shared" si="7"/>
        <v>32620.755772506334</v>
      </c>
      <c r="AV14" s="204">
        <f t="shared" si="7"/>
        <v>32620.755772506334</v>
      </c>
      <c r="AW14" s="204">
        <f t="shared" si="7"/>
        <v>32620.755772506334</v>
      </c>
      <c r="AX14" s="204">
        <f t="shared" si="7"/>
        <v>32620.755772506334</v>
      </c>
      <c r="AY14" s="204">
        <f t="shared" si="7"/>
        <v>32620.755772506334</v>
      </c>
      <c r="AZ14" s="204">
        <f t="shared" si="7"/>
        <v>32620.755772506334</v>
      </c>
      <c r="BA14" s="204">
        <f t="shared" si="7"/>
        <v>32620.755772506334</v>
      </c>
      <c r="BB14" s="204">
        <f t="shared" si="8"/>
        <v>32620.755772506334</v>
      </c>
      <c r="BC14" s="204">
        <f t="shared" si="8"/>
        <v>32620.755772506334</v>
      </c>
      <c r="BD14" s="204">
        <f t="shared" si="8"/>
        <v>32620.755772506334</v>
      </c>
      <c r="BE14" s="204">
        <f t="shared" si="8"/>
        <v>32620.755772506334</v>
      </c>
      <c r="BF14" s="204">
        <f t="shared" si="8"/>
        <v>32620.755772506334</v>
      </c>
      <c r="BG14" s="204">
        <f t="shared" si="8"/>
        <v>32620.755772506334</v>
      </c>
      <c r="BH14" s="204">
        <f t="shared" si="8"/>
        <v>32620.755772506334</v>
      </c>
      <c r="BI14" s="204">
        <f t="shared" si="8"/>
        <v>32620.755772506334</v>
      </c>
      <c r="BJ14" s="204">
        <f t="shared" si="8"/>
        <v>32620.755772506334</v>
      </c>
      <c r="BK14" s="204">
        <f t="shared" si="8"/>
        <v>32620.755772506334</v>
      </c>
      <c r="BL14" s="204">
        <f t="shared" si="8"/>
        <v>32620.755772506334</v>
      </c>
      <c r="BM14" s="204">
        <f t="shared" si="8"/>
        <v>32620.755772506334</v>
      </c>
      <c r="BN14" s="204">
        <f t="shared" si="8"/>
        <v>32620.755772506334</v>
      </c>
      <c r="BO14" s="204">
        <f t="shared" si="8"/>
        <v>32620.755772506334</v>
      </c>
      <c r="BP14" s="204">
        <f t="shared" si="8"/>
        <v>32620.755772506334</v>
      </c>
      <c r="BQ14" s="204">
        <f t="shared" si="8"/>
        <v>32620.755772506334</v>
      </c>
      <c r="BR14" s="204">
        <f t="shared" si="8"/>
        <v>32620.755772506334</v>
      </c>
      <c r="BS14" s="204">
        <f t="shared" si="8"/>
        <v>32620.755772506334</v>
      </c>
      <c r="BT14" s="204">
        <f t="shared" si="8"/>
        <v>32620.755772506334</v>
      </c>
      <c r="BU14" s="204">
        <f t="shared" si="8"/>
        <v>32620.755772506334</v>
      </c>
      <c r="BV14" s="204">
        <f t="shared" si="8"/>
        <v>32620.755772506334</v>
      </c>
      <c r="BW14" s="204">
        <f t="shared" si="8"/>
        <v>32620.755772506334</v>
      </c>
      <c r="BX14" s="204">
        <f t="shared" si="8"/>
        <v>32620.755772506334</v>
      </c>
      <c r="BY14" s="204">
        <f t="shared" si="8"/>
        <v>32620.755772506334</v>
      </c>
      <c r="BZ14" s="204">
        <f t="shared" si="8"/>
        <v>32620.755772506334</v>
      </c>
      <c r="CA14" s="204">
        <f t="shared" si="2"/>
        <v>32620.755772506334</v>
      </c>
      <c r="CB14" s="204">
        <f t="shared" si="2"/>
        <v>32620.755772506334</v>
      </c>
      <c r="CC14" s="204">
        <f t="shared" si="2"/>
        <v>32620.755772506334</v>
      </c>
      <c r="CD14" s="204">
        <f t="shared" si="2"/>
        <v>32620.755772506334</v>
      </c>
      <c r="CE14" s="204">
        <f t="shared" si="2"/>
        <v>32620.755772506334</v>
      </c>
      <c r="CF14" s="204">
        <f t="shared" si="2"/>
        <v>32620.755772506334</v>
      </c>
      <c r="CG14" s="204">
        <f t="shared" si="2"/>
        <v>32620.755772506334</v>
      </c>
      <c r="CH14" s="204">
        <f t="shared" si="2"/>
        <v>32620.755772506334</v>
      </c>
      <c r="CI14" s="204">
        <f t="shared" si="2"/>
        <v>32620.755772506334</v>
      </c>
      <c r="CJ14" s="204">
        <f t="shared" si="2"/>
        <v>32620.755772506334</v>
      </c>
      <c r="CK14" s="204">
        <f t="shared" si="2"/>
        <v>32620.755772506334</v>
      </c>
      <c r="CL14" s="204">
        <f t="shared" si="2"/>
        <v>32620.755772506334</v>
      </c>
      <c r="CM14" s="204">
        <f t="shared" si="2"/>
        <v>32620.755772506334</v>
      </c>
      <c r="CN14" s="204">
        <f t="shared" si="2"/>
        <v>32620.755772506334</v>
      </c>
      <c r="CO14" s="204">
        <f t="shared" si="2"/>
        <v>32620.755772506334</v>
      </c>
      <c r="CP14" s="204">
        <f t="shared" si="2"/>
        <v>32620.755772506334</v>
      </c>
      <c r="CQ14" s="204">
        <f t="shared" si="2"/>
        <v>32620.755772506334</v>
      </c>
      <c r="CR14" s="204">
        <f t="shared" si="2"/>
        <v>32620.755772506334</v>
      </c>
      <c r="CS14" s="204">
        <f t="shared" si="3"/>
        <v>32620.755772506334</v>
      </c>
      <c r="CT14" s="204">
        <f t="shared" si="3"/>
        <v>32620.755772506334</v>
      </c>
      <c r="CU14" s="204">
        <f t="shared" si="3"/>
        <v>32620.755772506334</v>
      </c>
      <c r="CV14" s="204">
        <f t="shared" si="3"/>
        <v>32620.755772506334</v>
      </c>
      <c r="CW14" s="204">
        <f t="shared" si="3"/>
        <v>8114.2031313022126</v>
      </c>
      <c r="CX14" s="204">
        <f t="shared" si="3"/>
        <v>8114.2031313022126</v>
      </c>
      <c r="CY14" s="204">
        <f t="shared" si="3"/>
        <v>8114.2031313022126</v>
      </c>
      <c r="CZ14" s="204">
        <f t="shared" si="3"/>
        <v>8114.2031313022126</v>
      </c>
      <c r="DA14" s="204">
        <f t="shared" si="3"/>
        <v>8114.2031313022126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38348.619717625661</v>
      </c>
      <c r="C16" s="203">
        <f>Income!C88</f>
        <v>43496.650878333683</v>
      </c>
      <c r="D16" s="203">
        <f>Income!D88</f>
        <v>59884.557961247614</v>
      </c>
      <c r="E16" s="203">
        <f>Income!E88</f>
        <v>86612.133908328629</v>
      </c>
      <c r="F16" s="204">
        <f t="shared" si="4"/>
        <v>38348.619717625661</v>
      </c>
      <c r="G16" s="204">
        <f t="shared" si="4"/>
        <v>38348.619717625661</v>
      </c>
      <c r="H16" s="204">
        <f t="shared" si="4"/>
        <v>38348.619717625661</v>
      </c>
      <c r="I16" s="204">
        <f t="shared" si="4"/>
        <v>38348.619717625661</v>
      </c>
      <c r="J16" s="204">
        <f t="shared" si="4"/>
        <v>38348.619717625661</v>
      </c>
      <c r="K16" s="204">
        <f t="shared" si="4"/>
        <v>38348.619717625661</v>
      </c>
      <c r="L16" s="204">
        <f t="shared" si="4"/>
        <v>38348.619717625661</v>
      </c>
      <c r="M16" s="204">
        <f t="shared" si="4"/>
        <v>38348.619717625661</v>
      </c>
      <c r="N16" s="204">
        <f t="shared" si="4"/>
        <v>38348.619717625661</v>
      </c>
      <c r="O16" s="204">
        <f t="shared" si="4"/>
        <v>38348.619717625661</v>
      </c>
      <c r="P16" s="204">
        <f t="shared" si="4"/>
        <v>38348.619717625661</v>
      </c>
      <c r="Q16" s="204">
        <f t="shared" si="4"/>
        <v>38348.619717625661</v>
      </c>
      <c r="R16" s="204">
        <f t="shared" si="4"/>
        <v>38348.619717625661</v>
      </c>
      <c r="S16" s="204">
        <f t="shared" si="4"/>
        <v>38348.619717625661</v>
      </c>
      <c r="T16" s="204">
        <f t="shared" si="4"/>
        <v>38348.619717625661</v>
      </c>
      <c r="U16" s="204">
        <f t="shared" si="4"/>
        <v>38348.619717625661</v>
      </c>
      <c r="V16" s="204">
        <f t="shared" si="6"/>
        <v>38348.619717625661</v>
      </c>
      <c r="W16" s="204">
        <f t="shared" si="6"/>
        <v>38348.619717625661</v>
      </c>
      <c r="X16" s="204">
        <f t="shared" si="6"/>
        <v>38348.619717625661</v>
      </c>
      <c r="Y16" s="204">
        <f t="shared" si="6"/>
        <v>38348.619717625661</v>
      </c>
      <c r="Z16" s="204">
        <f t="shared" si="6"/>
        <v>38348.619717625661</v>
      </c>
      <c r="AA16" s="204">
        <f t="shared" si="6"/>
        <v>38348.619717625661</v>
      </c>
      <c r="AB16" s="204">
        <f t="shared" si="6"/>
        <v>38348.619717625661</v>
      </c>
      <c r="AC16" s="204">
        <f t="shared" si="6"/>
        <v>38348.619717625661</v>
      </c>
      <c r="AD16" s="204">
        <f t="shared" si="6"/>
        <v>38348.619717625661</v>
      </c>
      <c r="AE16" s="204">
        <f>IF(AE$2&lt;=($B$2+$C$2+$D$2),IF(AE$2&lt;=($B$2+$C$2),IF(AE$2&lt;=$B$2,$B16,$C16),$D16),$E16)</f>
        <v>38348.619717625661</v>
      </c>
      <c r="AF16" s="204">
        <f t="shared" si="6"/>
        <v>38348.619717625661</v>
      </c>
      <c r="AG16" s="204">
        <f t="shared" si="6"/>
        <v>38348.619717625661</v>
      </c>
      <c r="AH16" s="204">
        <f t="shared" si="6"/>
        <v>38348.619717625661</v>
      </c>
      <c r="AI16" s="204">
        <f t="shared" si="6"/>
        <v>38348.619717625661</v>
      </c>
      <c r="AJ16" s="204">
        <f t="shared" si="6"/>
        <v>38348.619717625661</v>
      </c>
      <c r="AK16" s="204">
        <f t="shared" si="6"/>
        <v>38348.619717625661</v>
      </c>
      <c r="AL16" s="204">
        <f t="shared" si="7"/>
        <v>38348.619717625661</v>
      </c>
      <c r="AM16" s="204">
        <f t="shared" si="7"/>
        <v>38348.619717625661</v>
      </c>
      <c r="AN16" s="204">
        <f t="shared" si="7"/>
        <v>38348.619717625661</v>
      </c>
      <c r="AO16" s="204">
        <f t="shared" si="7"/>
        <v>38348.619717625661</v>
      </c>
      <c r="AP16" s="204">
        <f t="shared" si="7"/>
        <v>38348.619717625661</v>
      </c>
      <c r="AQ16" s="204">
        <f t="shared" si="7"/>
        <v>38348.619717625661</v>
      </c>
      <c r="AR16" s="204">
        <f t="shared" si="7"/>
        <v>38348.619717625661</v>
      </c>
      <c r="AS16" s="204">
        <f t="shared" si="7"/>
        <v>38348.619717625661</v>
      </c>
      <c r="AT16" s="204">
        <f t="shared" si="7"/>
        <v>38348.619717625661</v>
      </c>
      <c r="AU16" s="204">
        <f t="shared" si="7"/>
        <v>38348.619717625661</v>
      </c>
      <c r="AV16" s="204">
        <f t="shared" si="7"/>
        <v>38348.619717625661</v>
      </c>
      <c r="AW16" s="204">
        <f t="shared" si="7"/>
        <v>38348.619717625661</v>
      </c>
      <c r="AX16" s="204">
        <f t="shared" si="8"/>
        <v>38348.619717625661</v>
      </c>
      <c r="AY16" s="204">
        <f t="shared" si="8"/>
        <v>38348.619717625661</v>
      </c>
      <c r="AZ16" s="204">
        <f t="shared" si="8"/>
        <v>38348.619717625661</v>
      </c>
      <c r="BA16" s="204">
        <f t="shared" si="8"/>
        <v>38348.619717625661</v>
      </c>
      <c r="BB16" s="204">
        <f t="shared" si="8"/>
        <v>38348.619717625661</v>
      </c>
      <c r="BC16" s="204">
        <f t="shared" si="8"/>
        <v>38348.619717625661</v>
      </c>
      <c r="BD16" s="204">
        <f t="shared" si="8"/>
        <v>43496.650878333683</v>
      </c>
      <c r="BE16" s="204">
        <f t="shared" si="8"/>
        <v>43496.650878333683</v>
      </c>
      <c r="BF16" s="204">
        <f t="shared" si="8"/>
        <v>43496.650878333683</v>
      </c>
      <c r="BG16" s="204">
        <f t="shared" si="8"/>
        <v>43496.650878333683</v>
      </c>
      <c r="BH16" s="204">
        <f t="shared" si="8"/>
        <v>43496.650878333683</v>
      </c>
      <c r="BI16" s="204">
        <f t="shared" si="8"/>
        <v>43496.650878333683</v>
      </c>
      <c r="BJ16" s="204">
        <f t="shared" si="8"/>
        <v>43496.650878333683</v>
      </c>
      <c r="BK16" s="204">
        <f t="shared" si="8"/>
        <v>43496.650878333683</v>
      </c>
      <c r="BL16" s="204">
        <f t="shared" si="8"/>
        <v>43496.650878333683</v>
      </c>
      <c r="BM16" s="204">
        <f t="shared" si="8"/>
        <v>43496.650878333683</v>
      </c>
      <c r="BN16" s="204">
        <f t="shared" si="8"/>
        <v>43496.650878333683</v>
      </c>
      <c r="BO16" s="204">
        <f t="shared" si="8"/>
        <v>43496.650878333683</v>
      </c>
      <c r="BP16" s="204">
        <f t="shared" si="8"/>
        <v>43496.650878333683</v>
      </c>
      <c r="BQ16" s="204">
        <f t="shared" si="8"/>
        <v>43496.650878333683</v>
      </c>
      <c r="BR16" s="204">
        <f t="shared" si="8"/>
        <v>43496.650878333683</v>
      </c>
      <c r="BS16" s="204">
        <f t="shared" si="8"/>
        <v>43496.650878333683</v>
      </c>
      <c r="BT16" s="204">
        <f t="shared" si="8"/>
        <v>43496.650878333683</v>
      </c>
      <c r="BU16" s="204">
        <f t="shared" si="8"/>
        <v>43496.650878333683</v>
      </c>
      <c r="BV16" s="204">
        <f t="shared" si="8"/>
        <v>43496.650878333683</v>
      </c>
      <c r="BW16" s="204">
        <f t="shared" si="8"/>
        <v>43496.650878333683</v>
      </c>
      <c r="BX16" s="204">
        <f t="shared" si="8"/>
        <v>43496.650878333683</v>
      </c>
      <c r="BY16" s="204">
        <f t="shared" si="8"/>
        <v>43496.650878333683</v>
      </c>
      <c r="BZ16" s="204">
        <f t="shared" si="8"/>
        <v>43496.650878333683</v>
      </c>
      <c r="CA16" s="204">
        <f t="shared" ref="CA16:CB18" si="10">IF(CA$2&lt;=($B$2+$C$2+$D$2),IF(CA$2&lt;=($B$2+$C$2),IF(CA$2&lt;=$B$2,$B16,$C16),$D16),$E16)</f>
        <v>43496.650878333683</v>
      </c>
      <c r="CB16" s="204">
        <f t="shared" si="10"/>
        <v>43496.650878333683</v>
      </c>
      <c r="CC16" s="204">
        <f t="shared" si="9"/>
        <v>43496.650878333683</v>
      </c>
      <c r="CD16" s="204">
        <f t="shared" si="9"/>
        <v>43496.650878333683</v>
      </c>
      <c r="CE16" s="204">
        <f t="shared" si="9"/>
        <v>43496.650878333683</v>
      </c>
      <c r="CF16" s="204">
        <f t="shared" si="9"/>
        <v>43496.650878333683</v>
      </c>
      <c r="CG16" s="204">
        <f t="shared" si="9"/>
        <v>43496.650878333683</v>
      </c>
      <c r="CH16" s="204">
        <f t="shared" si="9"/>
        <v>59884.557961247614</v>
      </c>
      <c r="CI16" s="204">
        <f t="shared" si="9"/>
        <v>59884.557961247614</v>
      </c>
      <c r="CJ16" s="204">
        <f t="shared" si="9"/>
        <v>59884.557961247614</v>
      </c>
      <c r="CK16" s="204">
        <f t="shared" si="9"/>
        <v>59884.557961247614</v>
      </c>
      <c r="CL16" s="204">
        <f t="shared" si="9"/>
        <v>59884.557961247614</v>
      </c>
      <c r="CM16" s="204">
        <f t="shared" si="9"/>
        <v>59884.557961247614</v>
      </c>
      <c r="CN16" s="204">
        <f t="shared" si="9"/>
        <v>59884.557961247614</v>
      </c>
      <c r="CO16" s="204">
        <f t="shared" si="9"/>
        <v>59884.557961247614</v>
      </c>
      <c r="CP16" s="204">
        <f t="shared" si="9"/>
        <v>59884.557961247614</v>
      </c>
      <c r="CQ16" s="204">
        <f t="shared" si="9"/>
        <v>59884.557961247614</v>
      </c>
      <c r="CR16" s="204">
        <f t="shared" si="9"/>
        <v>59884.557961247614</v>
      </c>
      <c r="CS16" s="204">
        <f t="shared" ref="CS16:DA18" si="11">IF(CS$2&lt;=($B$2+$C$2+$D$2),IF(CS$2&lt;=($B$2+$C$2),IF(CS$2&lt;=$B$2,$B16,$C16),$D16),$E16)</f>
        <v>59884.557961247614</v>
      </c>
      <c r="CT16" s="204">
        <f t="shared" si="11"/>
        <v>59884.557961247614</v>
      </c>
      <c r="CU16" s="204">
        <f t="shared" si="11"/>
        <v>59884.557961247614</v>
      </c>
      <c r="CV16" s="204">
        <f t="shared" si="11"/>
        <v>59884.557961247614</v>
      </c>
      <c r="CW16" s="204">
        <f t="shared" si="11"/>
        <v>86612.133908328629</v>
      </c>
      <c r="CX16" s="204">
        <f t="shared" si="11"/>
        <v>86612.133908328629</v>
      </c>
      <c r="CY16" s="204">
        <f t="shared" si="11"/>
        <v>86612.133908328629</v>
      </c>
      <c r="CZ16" s="204">
        <f t="shared" si="11"/>
        <v>86612.133908328629</v>
      </c>
      <c r="DA16" s="204">
        <f t="shared" si="11"/>
        <v>86612.133908328629</v>
      </c>
      <c r="DB16" s="204"/>
    </row>
    <row r="17" spans="1:105">
      <c r="A17" s="201" t="s">
        <v>101</v>
      </c>
      <c r="B17" s="203">
        <f>Income!B89</f>
        <v>29831.109022148565</v>
      </c>
      <c r="C17" s="203">
        <f>Income!C89</f>
        <v>29831.109022148565</v>
      </c>
      <c r="D17" s="203">
        <f>Income!D89</f>
        <v>29831.109022148565</v>
      </c>
      <c r="E17" s="203">
        <f>Income!E89</f>
        <v>29831.109022148568</v>
      </c>
      <c r="F17" s="204">
        <f t="shared" si="4"/>
        <v>29831.109022148565</v>
      </c>
      <c r="G17" s="204">
        <f t="shared" si="4"/>
        <v>29831.109022148565</v>
      </c>
      <c r="H17" s="204">
        <f t="shared" si="4"/>
        <v>29831.109022148565</v>
      </c>
      <c r="I17" s="204">
        <f t="shared" si="4"/>
        <v>29831.109022148565</v>
      </c>
      <c r="J17" s="204">
        <f t="shared" si="4"/>
        <v>29831.109022148565</v>
      </c>
      <c r="K17" s="204">
        <f t="shared" si="4"/>
        <v>29831.109022148565</v>
      </c>
      <c r="L17" s="204">
        <f t="shared" si="4"/>
        <v>29831.109022148565</v>
      </c>
      <c r="M17" s="204">
        <f t="shared" si="4"/>
        <v>29831.109022148565</v>
      </c>
      <c r="N17" s="204">
        <f t="shared" si="4"/>
        <v>29831.109022148565</v>
      </c>
      <c r="O17" s="204">
        <f t="shared" si="4"/>
        <v>29831.109022148565</v>
      </c>
      <c r="P17" s="204">
        <f t="shared" si="4"/>
        <v>29831.109022148565</v>
      </c>
      <c r="Q17" s="204">
        <f t="shared" si="4"/>
        <v>29831.109022148565</v>
      </c>
      <c r="R17" s="204">
        <f t="shared" si="4"/>
        <v>29831.109022148565</v>
      </c>
      <c r="S17" s="204">
        <f t="shared" si="4"/>
        <v>29831.109022148565</v>
      </c>
      <c r="T17" s="204">
        <f t="shared" si="4"/>
        <v>29831.109022148565</v>
      </c>
      <c r="U17" s="204">
        <f t="shared" si="4"/>
        <v>29831.109022148565</v>
      </c>
      <c r="V17" s="204">
        <f t="shared" si="6"/>
        <v>29831.109022148565</v>
      </c>
      <c r="W17" s="204">
        <f t="shared" si="6"/>
        <v>29831.109022148565</v>
      </c>
      <c r="X17" s="204">
        <f t="shared" si="6"/>
        <v>29831.109022148565</v>
      </c>
      <c r="Y17" s="204">
        <f t="shared" si="6"/>
        <v>29831.109022148565</v>
      </c>
      <c r="Z17" s="204">
        <f t="shared" si="6"/>
        <v>29831.109022148565</v>
      </c>
      <c r="AA17" s="204">
        <f t="shared" si="6"/>
        <v>29831.109022148565</v>
      </c>
      <c r="AB17" s="204">
        <f t="shared" si="6"/>
        <v>29831.109022148565</v>
      </c>
      <c r="AC17" s="204">
        <f t="shared" si="6"/>
        <v>29831.109022148565</v>
      </c>
      <c r="AD17" s="204">
        <f t="shared" si="6"/>
        <v>29831.109022148565</v>
      </c>
      <c r="AE17" s="204">
        <f t="shared" si="6"/>
        <v>29831.109022148565</v>
      </c>
      <c r="AF17" s="204">
        <f t="shared" si="6"/>
        <v>29831.109022148565</v>
      </c>
      <c r="AG17" s="204">
        <f t="shared" si="6"/>
        <v>29831.109022148565</v>
      </c>
      <c r="AH17" s="204">
        <f t="shared" si="6"/>
        <v>29831.109022148565</v>
      </c>
      <c r="AI17" s="204">
        <f t="shared" si="6"/>
        <v>29831.109022148565</v>
      </c>
      <c r="AJ17" s="204">
        <f t="shared" si="6"/>
        <v>29831.109022148565</v>
      </c>
      <c r="AK17" s="204">
        <f t="shared" si="6"/>
        <v>29831.109022148565</v>
      </c>
      <c r="AL17" s="204">
        <f t="shared" si="7"/>
        <v>29831.109022148565</v>
      </c>
      <c r="AM17" s="204">
        <f t="shared" si="7"/>
        <v>29831.109022148565</v>
      </c>
      <c r="AN17" s="204">
        <f t="shared" si="7"/>
        <v>29831.109022148565</v>
      </c>
      <c r="AO17" s="204">
        <f t="shared" si="7"/>
        <v>29831.109022148565</v>
      </c>
      <c r="AP17" s="204">
        <f t="shared" si="7"/>
        <v>29831.109022148565</v>
      </c>
      <c r="AQ17" s="204">
        <f t="shared" si="7"/>
        <v>29831.109022148565</v>
      </c>
      <c r="AR17" s="204">
        <f t="shared" si="7"/>
        <v>29831.109022148565</v>
      </c>
      <c r="AS17" s="204">
        <f t="shared" si="7"/>
        <v>29831.109022148565</v>
      </c>
      <c r="AT17" s="204">
        <f t="shared" si="7"/>
        <v>29831.109022148565</v>
      </c>
      <c r="AU17" s="204">
        <f t="shared" si="7"/>
        <v>29831.109022148565</v>
      </c>
      <c r="AV17" s="204">
        <f t="shared" si="7"/>
        <v>29831.109022148565</v>
      </c>
      <c r="AW17" s="204">
        <f t="shared" si="7"/>
        <v>29831.109022148565</v>
      </c>
      <c r="AX17" s="204">
        <f t="shared" si="8"/>
        <v>29831.109022148565</v>
      </c>
      <c r="AY17" s="204">
        <f t="shared" si="8"/>
        <v>29831.109022148565</v>
      </c>
      <c r="AZ17" s="204">
        <f t="shared" si="8"/>
        <v>29831.109022148565</v>
      </c>
      <c r="BA17" s="204">
        <f t="shared" si="8"/>
        <v>29831.109022148565</v>
      </c>
      <c r="BB17" s="204">
        <f t="shared" si="8"/>
        <v>29831.109022148565</v>
      </c>
      <c r="BC17" s="204">
        <f t="shared" si="8"/>
        <v>29831.109022148565</v>
      </c>
      <c r="BD17" s="204">
        <f t="shared" si="8"/>
        <v>29831.109022148565</v>
      </c>
      <c r="BE17" s="204">
        <f t="shared" si="8"/>
        <v>29831.109022148565</v>
      </c>
      <c r="BF17" s="204">
        <f t="shared" si="8"/>
        <v>29831.109022148565</v>
      </c>
      <c r="BG17" s="204">
        <f t="shared" si="8"/>
        <v>29831.109022148565</v>
      </c>
      <c r="BH17" s="204">
        <f t="shared" si="8"/>
        <v>29831.109022148565</v>
      </c>
      <c r="BI17" s="204">
        <f t="shared" si="8"/>
        <v>29831.109022148565</v>
      </c>
      <c r="BJ17" s="204">
        <f t="shared" si="8"/>
        <v>29831.109022148565</v>
      </c>
      <c r="BK17" s="204">
        <f t="shared" si="8"/>
        <v>29831.109022148565</v>
      </c>
      <c r="BL17" s="204">
        <f t="shared" si="8"/>
        <v>29831.109022148565</v>
      </c>
      <c r="BM17" s="204">
        <f t="shared" si="8"/>
        <v>29831.109022148565</v>
      </c>
      <c r="BN17" s="204">
        <f t="shared" si="8"/>
        <v>29831.109022148565</v>
      </c>
      <c r="BO17" s="204">
        <f t="shared" si="8"/>
        <v>29831.109022148565</v>
      </c>
      <c r="BP17" s="204">
        <f t="shared" si="8"/>
        <v>29831.109022148565</v>
      </c>
      <c r="BQ17" s="204">
        <f t="shared" si="8"/>
        <v>29831.109022148565</v>
      </c>
      <c r="BR17" s="204">
        <f t="shared" si="8"/>
        <v>29831.109022148565</v>
      </c>
      <c r="BS17" s="204">
        <f t="shared" si="8"/>
        <v>29831.109022148565</v>
      </c>
      <c r="BT17" s="204">
        <f t="shared" si="8"/>
        <v>29831.109022148565</v>
      </c>
      <c r="BU17" s="204">
        <f t="shared" si="8"/>
        <v>29831.109022148565</v>
      </c>
      <c r="BV17" s="204">
        <f t="shared" si="8"/>
        <v>29831.109022148565</v>
      </c>
      <c r="BW17" s="204">
        <f t="shared" si="8"/>
        <v>29831.109022148565</v>
      </c>
      <c r="BX17" s="204">
        <f t="shared" si="8"/>
        <v>29831.109022148565</v>
      </c>
      <c r="BY17" s="204">
        <f t="shared" si="8"/>
        <v>29831.109022148565</v>
      </c>
      <c r="BZ17" s="204">
        <f t="shared" si="8"/>
        <v>29831.109022148565</v>
      </c>
      <c r="CA17" s="204">
        <f t="shared" si="10"/>
        <v>29831.109022148565</v>
      </c>
      <c r="CB17" s="204">
        <f t="shared" si="10"/>
        <v>29831.109022148565</v>
      </c>
      <c r="CC17" s="204">
        <f t="shared" si="9"/>
        <v>29831.109022148565</v>
      </c>
      <c r="CD17" s="204">
        <f t="shared" si="9"/>
        <v>29831.109022148565</v>
      </c>
      <c r="CE17" s="204">
        <f t="shared" si="9"/>
        <v>29831.109022148565</v>
      </c>
      <c r="CF17" s="204">
        <f t="shared" si="9"/>
        <v>29831.109022148565</v>
      </c>
      <c r="CG17" s="204">
        <f t="shared" si="9"/>
        <v>29831.109022148565</v>
      </c>
      <c r="CH17" s="204">
        <f t="shared" si="9"/>
        <v>29831.109022148565</v>
      </c>
      <c r="CI17" s="204">
        <f t="shared" si="9"/>
        <v>29831.109022148565</v>
      </c>
      <c r="CJ17" s="204">
        <f t="shared" si="9"/>
        <v>29831.109022148565</v>
      </c>
      <c r="CK17" s="204">
        <f t="shared" si="9"/>
        <v>29831.109022148565</v>
      </c>
      <c r="CL17" s="204">
        <f t="shared" si="9"/>
        <v>29831.109022148565</v>
      </c>
      <c r="CM17" s="204">
        <f t="shared" si="9"/>
        <v>29831.109022148565</v>
      </c>
      <c r="CN17" s="204">
        <f t="shared" si="9"/>
        <v>29831.109022148565</v>
      </c>
      <c r="CO17" s="204">
        <f t="shared" si="9"/>
        <v>29831.109022148565</v>
      </c>
      <c r="CP17" s="204">
        <f t="shared" si="9"/>
        <v>29831.109022148565</v>
      </c>
      <c r="CQ17" s="204">
        <f t="shared" si="9"/>
        <v>29831.109022148565</v>
      </c>
      <c r="CR17" s="204">
        <f t="shared" si="9"/>
        <v>29831.109022148565</v>
      </c>
      <c r="CS17" s="204">
        <f t="shared" si="11"/>
        <v>29831.109022148565</v>
      </c>
      <c r="CT17" s="204">
        <f t="shared" si="11"/>
        <v>29831.109022148565</v>
      </c>
      <c r="CU17" s="204">
        <f t="shared" si="11"/>
        <v>29831.109022148565</v>
      </c>
      <c r="CV17" s="204">
        <f t="shared" si="11"/>
        <v>29831.109022148565</v>
      </c>
      <c r="CW17" s="204">
        <f t="shared" si="11"/>
        <v>29831.109022148568</v>
      </c>
      <c r="CX17" s="204">
        <f t="shared" si="11"/>
        <v>29831.109022148568</v>
      </c>
      <c r="CY17" s="204">
        <f t="shared" si="11"/>
        <v>29831.109022148568</v>
      </c>
      <c r="CZ17" s="204">
        <f t="shared" si="11"/>
        <v>29831.109022148568</v>
      </c>
      <c r="DA17" s="204">
        <f t="shared" si="11"/>
        <v>29831.109022148568</v>
      </c>
    </row>
    <row r="18" spans="1:105">
      <c r="A18" s="201" t="s">
        <v>85</v>
      </c>
      <c r="B18" s="203">
        <f>Income!B90</f>
        <v>46325.935688815232</v>
      </c>
      <c r="C18" s="203">
        <f>Income!C90</f>
        <v>46325.935688815232</v>
      </c>
      <c r="D18" s="203">
        <f>Income!D90</f>
        <v>46325.935688815232</v>
      </c>
      <c r="E18" s="203">
        <f>Income!E90</f>
        <v>46325.935688815232</v>
      </c>
      <c r="F18" s="204">
        <f t="shared" ref="F18:U18" si="12">IF(F$2&lt;=($B$2+$C$2+$D$2),IF(F$2&lt;=($B$2+$C$2),IF(F$2&lt;=$B$2,$B18,$C18),$D18),$E18)</f>
        <v>46325.935688815232</v>
      </c>
      <c r="G18" s="204">
        <f t="shared" si="12"/>
        <v>46325.935688815232</v>
      </c>
      <c r="H18" s="204">
        <f t="shared" si="12"/>
        <v>46325.935688815232</v>
      </c>
      <c r="I18" s="204">
        <f t="shared" si="12"/>
        <v>46325.935688815232</v>
      </c>
      <c r="J18" s="204">
        <f t="shared" si="12"/>
        <v>46325.935688815232</v>
      </c>
      <c r="K18" s="204">
        <f t="shared" si="12"/>
        <v>46325.935688815232</v>
      </c>
      <c r="L18" s="204">
        <f t="shared" si="12"/>
        <v>46325.935688815232</v>
      </c>
      <c r="M18" s="204">
        <f t="shared" si="12"/>
        <v>46325.935688815232</v>
      </c>
      <c r="N18" s="204">
        <f t="shared" si="12"/>
        <v>46325.935688815232</v>
      </c>
      <c r="O18" s="204">
        <f t="shared" si="12"/>
        <v>46325.935688815232</v>
      </c>
      <c r="P18" s="204">
        <f t="shared" si="12"/>
        <v>46325.935688815232</v>
      </c>
      <c r="Q18" s="204">
        <f t="shared" si="12"/>
        <v>46325.935688815232</v>
      </c>
      <c r="R18" s="204">
        <f t="shared" si="12"/>
        <v>46325.935688815232</v>
      </c>
      <c r="S18" s="204">
        <f t="shared" si="12"/>
        <v>46325.935688815232</v>
      </c>
      <c r="T18" s="204">
        <f t="shared" si="12"/>
        <v>46325.935688815232</v>
      </c>
      <c r="U18" s="204">
        <f t="shared" si="12"/>
        <v>46325.935688815232</v>
      </c>
      <c r="V18" s="204">
        <f t="shared" si="6"/>
        <v>46325.935688815232</v>
      </c>
      <c r="W18" s="204">
        <f t="shared" si="6"/>
        <v>46325.935688815232</v>
      </c>
      <c r="X18" s="204">
        <f t="shared" si="6"/>
        <v>46325.935688815232</v>
      </c>
      <c r="Y18" s="204">
        <f t="shared" si="6"/>
        <v>46325.935688815232</v>
      </c>
      <c r="Z18" s="204">
        <f t="shared" si="6"/>
        <v>46325.935688815232</v>
      </c>
      <c r="AA18" s="204">
        <f t="shared" si="6"/>
        <v>46325.935688815232</v>
      </c>
      <c r="AB18" s="204">
        <f t="shared" si="6"/>
        <v>46325.935688815232</v>
      </c>
      <c r="AC18" s="204">
        <f t="shared" si="6"/>
        <v>46325.935688815232</v>
      </c>
      <c r="AD18" s="204">
        <f t="shared" si="6"/>
        <v>46325.935688815232</v>
      </c>
      <c r="AE18" s="204">
        <f t="shared" si="6"/>
        <v>46325.935688815232</v>
      </c>
      <c r="AF18" s="204">
        <f t="shared" si="6"/>
        <v>46325.935688815232</v>
      </c>
      <c r="AG18" s="204">
        <f t="shared" si="6"/>
        <v>46325.935688815232</v>
      </c>
      <c r="AH18" s="204">
        <f t="shared" si="6"/>
        <v>46325.935688815232</v>
      </c>
      <c r="AI18" s="204">
        <f t="shared" si="6"/>
        <v>46325.935688815232</v>
      </c>
      <c r="AJ18" s="204">
        <f t="shared" si="6"/>
        <v>46325.935688815232</v>
      </c>
      <c r="AK18" s="204">
        <f t="shared" si="6"/>
        <v>46325.935688815232</v>
      </c>
      <c r="AL18" s="204">
        <f t="shared" si="7"/>
        <v>46325.935688815232</v>
      </c>
      <c r="AM18" s="204">
        <f t="shared" si="7"/>
        <v>46325.935688815232</v>
      </c>
      <c r="AN18" s="204">
        <f t="shared" si="7"/>
        <v>46325.935688815232</v>
      </c>
      <c r="AO18" s="204">
        <f t="shared" si="7"/>
        <v>46325.935688815232</v>
      </c>
      <c r="AP18" s="204">
        <f t="shared" si="7"/>
        <v>46325.935688815232</v>
      </c>
      <c r="AQ18" s="204">
        <f t="shared" si="7"/>
        <v>46325.935688815232</v>
      </c>
      <c r="AR18" s="204">
        <f t="shared" si="7"/>
        <v>46325.935688815232</v>
      </c>
      <c r="AS18" s="204">
        <f t="shared" si="7"/>
        <v>46325.935688815232</v>
      </c>
      <c r="AT18" s="204">
        <f t="shared" si="7"/>
        <v>46325.935688815232</v>
      </c>
      <c r="AU18" s="204">
        <f t="shared" si="7"/>
        <v>46325.935688815232</v>
      </c>
      <c r="AV18" s="204">
        <f t="shared" si="7"/>
        <v>46325.935688815232</v>
      </c>
      <c r="AW18" s="204">
        <f t="shared" si="7"/>
        <v>46325.935688815232</v>
      </c>
      <c r="AX18" s="204">
        <f t="shared" si="8"/>
        <v>46325.935688815232</v>
      </c>
      <c r="AY18" s="204">
        <f t="shared" si="8"/>
        <v>46325.935688815232</v>
      </c>
      <c r="AZ18" s="204">
        <f t="shared" si="8"/>
        <v>46325.935688815232</v>
      </c>
      <c r="BA18" s="204">
        <f t="shared" si="8"/>
        <v>46325.935688815232</v>
      </c>
      <c r="BB18" s="204">
        <f t="shared" si="8"/>
        <v>46325.935688815232</v>
      </c>
      <c r="BC18" s="204">
        <f t="shared" si="8"/>
        <v>46325.935688815232</v>
      </c>
      <c r="BD18" s="204">
        <f t="shared" si="8"/>
        <v>46325.935688815232</v>
      </c>
      <c r="BE18" s="204">
        <f t="shared" si="8"/>
        <v>46325.935688815232</v>
      </c>
      <c r="BF18" s="204">
        <f t="shared" si="8"/>
        <v>46325.935688815232</v>
      </c>
      <c r="BG18" s="204">
        <f t="shared" si="8"/>
        <v>46325.935688815232</v>
      </c>
      <c r="BH18" s="204">
        <f t="shared" si="8"/>
        <v>46325.935688815232</v>
      </c>
      <c r="BI18" s="204">
        <f t="shared" si="8"/>
        <v>46325.935688815232</v>
      </c>
      <c r="BJ18" s="204">
        <f t="shared" si="8"/>
        <v>46325.935688815232</v>
      </c>
      <c r="BK18" s="204">
        <f t="shared" si="8"/>
        <v>46325.935688815232</v>
      </c>
      <c r="BL18" s="204">
        <f t="shared" ref="BL18:BZ18" si="13">IF(BL$2&lt;=($B$2+$C$2+$D$2),IF(BL$2&lt;=($B$2+$C$2),IF(BL$2&lt;=$B$2,$B18,$C18),$D18),$E18)</f>
        <v>46325.935688815232</v>
      </c>
      <c r="BM18" s="204">
        <f t="shared" si="13"/>
        <v>46325.935688815232</v>
      </c>
      <c r="BN18" s="204">
        <f t="shared" si="13"/>
        <v>46325.935688815232</v>
      </c>
      <c r="BO18" s="204">
        <f t="shared" si="13"/>
        <v>46325.935688815232</v>
      </c>
      <c r="BP18" s="204">
        <f t="shared" si="13"/>
        <v>46325.935688815232</v>
      </c>
      <c r="BQ18" s="204">
        <f t="shared" si="13"/>
        <v>46325.935688815232</v>
      </c>
      <c r="BR18" s="204">
        <f t="shared" si="13"/>
        <v>46325.935688815232</v>
      </c>
      <c r="BS18" s="204">
        <f t="shared" si="13"/>
        <v>46325.935688815232</v>
      </c>
      <c r="BT18" s="204">
        <f t="shared" si="13"/>
        <v>46325.935688815232</v>
      </c>
      <c r="BU18" s="204">
        <f t="shared" si="13"/>
        <v>46325.935688815232</v>
      </c>
      <c r="BV18" s="204">
        <f t="shared" si="13"/>
        <v>46325.935688815232</v>
      </c>
      <c r="BW18" s="204">
        <f t="shared" si="13"/>
        <v>46325.935688815232</v>
      </c>
      <c r="BX18" s="204">
        <f t="shared" si="13"/>
        <v>46325.935688815232</v>
      </c>
      <c r="BY18" s="204">
        <f t="shared" si="13"/>
        <v>46325.935688815232</v>
      </c>
      <c r="BZ18" s="204">
        <f t="shared" si="13"/>
        <v>46325.935688815232</v>
      </c>
      <c r="CA18" s="204">
        <f t="shared" si="10"/>
        <v>46325.935688815232</v>
      </c>
      <c r="CB18" s="204">
        <f t="shared" si="10"/>
        <v>46325.935688815232</v>
      </c>
      <c r="CC18" s="204">
        <f t="shared" si="9"/>
        <v>46325.935688815232</v>
      </c>
      <c r="CD18" s="204">
        <f t="shared" si="9"/>
        <v>46325.935688815232</v>
      </c>
      <c r="CE18" s="204">
        <f t="shared" si="9"/>
        <v>46325.935688815232</v>
      </c>
      <c r="CF18" s="204">
        <f t="shared" si="9"/>
        <v>46325.935688815232</v>
      </c>
      <c r="CG18" s="204">
        <f t="shared" si="9"/>
        <v>46325.935688815232</v>
      </c>
      <c r="CH18" s="204">
        <f t="shared" si="9"/>
        <v>46325.935688815232</v>
      </c>
      <c r="CI18" s="204">
        <f t="shared" si="9"/>
        <v>46325.935688815232</v>
      </c>
      <c r="CJ18" s="204">
        <f t="shared" si="9"/>
        <v>46325.935688815232</v>
      </c>
      <c r="CK18" s="204">
        <f t="shared" si="9"/>
        <v>46325.935688815232</v>
      </c>
      <c r="CL18" s="204">
        <f t="shared" si="9"/>
        <v>46325.935688815232</v>
      </c>
      <c r="CM18" s="204">
        <f t="shared" si="9"/>
        <v>46325.935688815232</v>
      </c>
      <c r="CN18" s="204">
        <f t="shared" si="9"/>
        <v>46325.935688815232</v>
      </c>
      <c r="CO18" s="204">
        <f t="shared" si="9"/>
        <v>46325.935688815232</v>
      </c>
      <c r="CP18" s="204">
        <f t="shared" si="9"/>
        <v>46325.935688815232</v>
      </c>
      <c r="CQ18" s="204">
        <f t="shared" si="9"/>
        <v>46325.935688815232</v>
      </c>
      <c r="CR18" s="204">
        <f t="shared" si="9"/>
        <v>46325.935688815232</v>
      </c>
      <c r="CS18" s="204">
        <f t="shared" si="11"/>
        <v>46325.935688815232</v>
      </c>
      <c r="CT18" s="204">
        <f t="shared" si="11"/>
        <v>46325.935688815232</v>
      </c>
      <c r="CU18" s="204">
        <f t="shared" si="11"/>
        <v>46325.935688815232</v>
      </c>
      <c r="CV18" s="204">
        <f t="shared" si="11"/>
        <v>46325.935688815232</v>
      </c>
      <c r="CW18" s="204">
        <f t="shared" si="11"/>
        <v>46325.935688815232</v>
      </c>
      <c r="CX18" s="204">
        <f t="shared" si="11"/>
        <v>46325.935688815232</v>
      </c>
      <c r="CY18" s="204">
        <f t="shared" si="11"/>
        <v>46325.935688815232</v>
      </c>
      <c r="CZ18" s="204">
        <f t="shared" si="11"/>
        <v>46325.935688815232</v>
      </c>
      <c r="DA18" s="204">
        <f t="shared" si="11"/>
        <v>46325.935688815232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38348.619717625661</v>
      </c>
      <c r="AF19" s="201">
        <f t="shared" si="14"/>
        <v>38477.320496643362</v>
      </c>
      <c r="AG19" s="201">
        <f t="shared" si="14"/>
        <v>38606.021275661064</v>
      </c>
      <c r="AH19" s="201">
        <f t="shared" si="14"/>
        <v>38734.722054678765</v>
      </c>
      <c r="AI19" s="201">
        <f t="shared" si="14"/>
        <v>38863.422833696466</v>
      </c>
      <c r="AJ19" s="201">
        <f t="shared" si="14"/>
        <v>38992.12361271416</v>
      </c>
      <c r="AK19" s="201">
        <f t="shared" si="14"/>
        <v>39120.824391731861</v>
      </c>
      <c r="AL19" s="201">
        <f t="shared" si="14"/>
        <v>39249.525170749563</v>
      </c>
      <c r="AM19" s="201">
        <f t="shared" si="14"/>
        <v>39378.225949767264</v>
      </c>
      <c r="AN19" s="201">
        <f t="shared" si="14"/>
        <v>39506.926728784965</v>
      </c>
      <c r="AO19" s="201">
        <f t="shared" si="14"/>
        <v>39635.627507802667</v>
      </c>
      <c r="AP19" s="201">
        <f t="shared" si="14"/>
        <v>39764.328286820368</v>
      </c>
      <c r="AQ19" s="201">
        <f t="shared" si="14"/>
        <v>39893.029065838069</v>
      </c>
      <c r="AR19" s="201">
        <f t="shared" si="14"/>
        <v>40021.72984485577</v>
      </c>
      <c r="AS19" s="201">
        <f t="shared" si="14"/>
        <v>40150.430623873472</v>
      </c>
      <c r="AT19" s="201">
        <f t="shared" si="14"/>
        <v>40279.131402891166</v>
      </c>
      <c r="AU19" s="201">
        <f t="shared" si="14"/>
        <v>40407.832181908867</v>
      </c>
      <c r="AV19" s="201">
        <f t="shared" si="14"/>
        <v>40536.532960926568</v>
      </c>
      <c r="AW19" s="201">
        <f t="shared" si="14"/>
        <v>40665.233739944269</v>
      </c>
      <c r="AX19" s="201">
        <f t="shared" si="14"/>
        <v>40793.934518961971</v>
      </c>
      <c r="AY19" s="201">
        <f t="shared" si="14"/>
        <v>40922.635297979672</v>
      </c>
      <c r="AZ19" s="201">
        <f t="shared" si="14"/>
        <v>41051.336076997373</v>
      </c>
      <c r="BA19" s="201">
        <f t="shared" si="14"/>
        <v>41180.036856015075</v>
      </c>
      <c r="BB19" s="201">
        <f t="shared" si="14"/>
        <v>41308.737635032776</v>
      </c>
      <c r="BC19" s="201">
        <f t="shared" si="14"/>
        <v>41437.438414050477</v>
      </c>
      <c r="BD19" s="201">
        <f t="shared" si="14"/>
        <v>41566.139193068171</v>
      </c>
      <c r="BE19" s="201">
        <f t="shared" si="14"/>
        <v>41694.839972085872</v>
      </c>
      <c r="BF19" s="201">
        <f t="shared" si="14"/>
        <v>41823.540751103574</v>
      </c>
      <c r="BG19" s="201">
        <f t="shared" si="14"/>
        <v>41952.241530121275</v>
      </c>
      <c r="BH19" s="201">
        <f t="shared" si="14"/>
        <v>42080.942309138976</v>
      </c>
      <c r="BI19" s="201">
        <f t="shared" si="14"/>
        <v>42209.643088156678</v>
      </c>
      <c r="BJ19" s="201">
        <f t="shared" si="14"/>
        <v>42338.343867174379</v>
      </c>
      <c r="BK19" s="201">
        <f t="shared" si="14"/>
        <v>42467.04464619208</v>
      </c>
      <c r="BL19" s="201">
        <f t="shared" si="14"/>
        <v>42595.745425209781</v>
      </c>
      <c r="BM19" s="201">
        <f t="shared" si="14"/>
        <v>42724.446204227483</v>
      </c>
      <c r="BN19" s="201">
        <f t="shared" si="14"/>
        <v>42853.146983245184</v>
      </c>
      <c r="BO19" s="201">
        <f t="shared" si="14"/>
        <v>42981.847762262878</v>
      </c>
      <c r="BP19" s="201">
        <f t="shared" si="14"/>
        <v>43110.548541280579</v>
      </c>
      <c r="BQ19" s="201">
        <f t="shared" si="14"/>
        <v>43239.249320298281</v>
      </c>
      <c r="BR19" s="201">
        <f t="shared" si="14"/>
        <v>43367.950099315982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43496.650878333683</v>
      </c>
      <c r="BT19" s="201">
        <f t="shared" si="15"/>
        <v>44225.002304240967</v>
      </c>
      <c r="BU19" s="201">
        <f t="shared" si="15"/>
        <v>44953.353730148257</v>
      </c>
      <c r="BV19" s="201">
        <f t="shared" si="15"/>
        <v>45681.705156055541</v>
      </c>
      <c r="BW19" s="201">
        <f t="shared" si="15"/>
        <v>46410.056581962825</v>
      </c>
      <c r="BX19" s="201">
        <f t="shared" si="15"/>
        <v>47138.408007870115</v>
      </c>
      <c r="BY19" s="201">
        <f t="shared" si="15"/>
        <v>47866.759433777399</v>
      </c>
      <c r="BZ19" s="201">
        <f t="shared" si="15"/>
        <v>48595.110859684683</v>
      </c>
      <c r="CA19" s="201">
        <f t="shared" si="15"/>
        <v>49323.462285591973</v>
      </c>
      <c r="CB19" s="201">
        <f t="shared" si="15"/>
        <v>50051.813711499257</v>
      </c>
      <c r="CC19" s="201">
        <f t="shared" si="15"/>
        <v>50780.16513740654</v>
      </c>
      <c r="CD19" s="201">
        <f t="shared" si="15"/>
        <v>51508.516563313824</v>
      </c>
      <c r="CE19" s="201">
        <f t="shared" si="15"/>
        <v>52236.867989221115</v>
      </c>
      <c r="CF19" s="201">
        <f t="shared" si="15"/>
        <v>52965.219415128398</v>
      </c>
      <c r="CG19" s="201">
        <f t="shared" si="15"/>
        <v>53693.570841035689</v>
      </c>
      <c r="CH19" s="201">
        <f t="shared" si="15"/>
        <v>54421.922266942973</v>
      </c>
      <c r="CI19" s="201">
        <f t="shared" si="15"/>
        <v>55150.273692850256</v>
      </c>
      <c r="CJ19" s="201">
        <f t="shared" si="15"/>
        <v>55878.62511875754</v>
      </c>
      <c r="CK19" s="201">
        <f t="shared" si="15"/>
        <v>56606.976544664823</v>
      </c>
      <c r="CL19" s="201">
        <f t="shared" si="15"/>
        <v>57335.327970572114</v>
      </c>
      <c r="CM19" s="201">
        <f t="shared" si="15"/>
        <v>58063.679396479398</v>
      </c>
      <c r="CN19" s="201">
        <f t="shared" si="15"/>
        <v>58792.030822386689</v>
      </c>
      <c r="CO19" s="201">
        <f t="shared" si="15"/>
        <v>59520.382248293972</v>
      </c>
      <c r="CP19" s="201">
        <f t="shared" si="15"/>
        <v>61220.936758601667</v>
      </c>
      <c r="CQ19" s="201">
        <f t="shared" si="15"/>
        <v>63893.694353309766</v>
      </c>
      <c r="CR19" s="201">
        <f t="shared" si="15"/>
        <v>66566.451948017871</v>
      </c>
      <c r="CS19" s="201">
        <f t="shared" si="15"/>
        <v>69239.209542725963</v>
      </c>
      <c r="CT19" s="201">
        <f t="shared" si="15"/>
        <v>71911.967137434069</v>
      </c>
      <c r="CU19" s="201">
        <f t="shared" si="15"/>
        <v>74584.724732142175</v>
      </c>
      <c r="CV19" s="201">
        <f t="shared" si="15"/>
        <v>77257.482326850266</v>
      </c>
      <c r="CW19" s="201">
        <f t="shared" si="15"/>
        <v>79930.239921558372</v>
      </c>
      <c r="CX19" s="201">
        <f t="shared" si="15"/>
        <v>82602.997516266478</v>
      </c>
      <c r="CY19" s="201">
        <f t="shared" si="15"/>
        <v>85275.755110974569</v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30</v>
      </c>
      <c r="D22" s="205">
        <f>D2*100</f>
        <v>15</v>
      </c>
      <c r="E22" s="205">
        <f>E2*100</f>
        <v>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80</v>
      </c>
      <c r="D23" s="206">
        <f>SUM($B22:D22)</f>
        <v>95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65</v>
      </c>
      <c r="D24" s="208">
        <f>C23+(D23-C23)/2</f>
        <v>87.5</v>
      </c>
      <c r="E24" s="208">
        <f>D23+(E23-D23)/2</f>
        <v>97.5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3956.4575360895724</v>
      </c>
      <c r="C25" s="203">
        <f>Income!C72</f>
        <v>4381.2423919338971</v>
      </c>
      <c r="D25" s="203">
        <f>Income!D72</f>
        <v>6097.8637282341842</v>
      </c>
      <c r="E25" s="203">
        <f>Income!E72</f>
        <v>6166.8441894519465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3956.4575360895724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3956.4575360895724</v>
      </c>
      <c r="H25" s="210">
        <f t="shared" si="16"/>
        <v>3956.4575360895724</v>
      </c>
      <c r="I25" s="210">
        <f t="shared" si="16"/>
        <v>3956.4575360895724</v>
      </c>
      <c r="J25" s="210">
        <f t="shared" si="16"/>
        <v>3956.4575360895724</v>
      </c>
      <c r="K25" s="210">
        <f t="shared" si="16"/>
        <v>3956.4575360895724</v>
      </c>
      <c r="L25" s="210">
        <f t="shared" si="16"/>
        <v>3956.4575360895724</v>
      </c>
      <c r="M25" s="210">
        <f t="shared" si="16"/>
        <v>3956.4575360895724</v>
      </c>
      <c r="N25" s="210">
        <f t="shared" si="16"/>
        <v>3956.4575360895724</v>
      </c>
      <c r="O25" s="210">
        <f t="shared" si="16"/>
        <v>3956.4575360895724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3956.4575360895724</v>
      </c>
      <c r="Q25" s="210">
        <f t="shared" si="17"/>
        <v>3956.4575360895724</v>
      </c>
      <c r="R25" s="210">
        <f t="shared" si="17"/>
        <v>3956.4575360895724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3956.4575360895724</v>
      </c>
      <c r="T25" s="210">
        <f t="shared" si="17"/>
        <v>3956.4575360895724</v>
      </c>
      <c r="U25" s="210">
        <f t="shared" si="17"/>
        <v>3956.4575360895724</v>
      </c>
      <c r="V25" s="210">
        <f t="shared" si="17"/>
        <v>3956.4575360895724</v>
      </c>
      <c r="W25" s="210">
        <f t="shared" si="17"/>
        <v>3956.4575360895724</v>
      </c>
      <c r="X25" s="210">
        <f t="shared" si="17"/>
        <v>3956.4575360895724</v>
      </c>
      <c r="Y25" s="210">
        <f t="shared" si="17"/>
        <v>3956.4575360895724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3956.4575360895724</v>
      </c>
      <c r="AA25" s="210">
        <f t="shared" si="18"/>
        <v>3956.4575360895724</v>
      </c>
      <c r="AB25" s="210">
        <f t="shared" si="18"/>
        <v>3956.4575360895724</v>
      </c>
      <c r="AC25" s="210">
        <f t="shared" si="18"/>
        <v>3956.4575360895724</v>
      </c>
      <c r="AD25" s="210">
        <f t="shared" si="18"/>
        <v>3956.4575360895724</v>
      </c>
      <c r="AE25" s="210">
        <f t="shared" si="18"/>
        <v>3956.4575360895724</v>
      </c>
      <c r="AF25" s="210">
        <f t="shared" si="18"/>
        <v>3967.0771574856803</v>
      </c>
      <c r="AG25" s="210">
        <f t="shared" si="18"/>
        <v>3977.6967788817888</v>
      </c>
      <c r="AH25" s="210">
        <f t="shared" si="18"/>
        <v>3988.3164002778967</v>
      </c>
      <c r="AI25" s="210">
        <f t="shared" si="18"/>
        <v>3998.9360216740047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4009.5556430701131</v>
      </c>
      <c r="AK25" s="210">
        <f t="shared" si="19"/>
        <v>4020.1752644662211</v>
      </c>
      <c r="AL25" s="210">
        <f t="shared" si="19"/>
        <v>4030.794885862329</v>
      </c>
      <c r="AM25" s="210">
        <f t="shared" si="19"/>
        <v>4041.4145072584374</v>
      </c>
      <c r="AN25" s="210">
        <f t="shared" si="19"/>
        <v>4052.0341286545454</v>
      </c>
      <c r="AO25" s="210">
        <f t="shared" si="19"/>
        <v>4062.6537500506538</v>
      </c>
      <c r="AP25" s="210">
        <f t="shared" si="19"/>
        <v>4073.2733714467618</v>
      </c>
      <c r="AQ25" s="210">
        <f t="shared" si="19"/>
        <v>4083.8929928428697</v>
      </c>
      <c r="AR25" s="210">
        <f t="shared" si="19"/>
        <v>4094.5126142389781</v>
      </c>
      <c r="AS25" s="210">
        <f t="shared" si="19"/>
        <v>4105.1322356350856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4115.751857031194</v>
      </c>
      <c r="AU25" s="210">
        <f t="shared" si="20"/>
        <v>4126.3714784273025</v>
      </c>
      <c r="AV25" s="210">
        <f t="shared" si="20"/>
        <v>4136.99109982341</v>
      </c>
      <c r="AW25" s="210">
        <f t="shared" si="20"/>
        <v>4147.6107212195184</v>
      </c>
      <c r="AX25" s="210">
        <f t="shared" si="20"/>
        <v>4158.2303426156268</v>
      </c>
      <c r="AY25" s="210">
        <f t="shared" si="20"/>
        <v>4168.8499640117352</v>
      </c>
      <c r="AZ25" s="210">
        <f t="shared" si="20"/>
        <v>4179.4695854078427</v>
      </c>
      <c r="BA25" s="210">
        <f t="shared" si="20"/>
        <v>4190.0892068039511</v>
      </c>
      <c r="BB25" s="210">
        <f t="shared" si="20"/>
        <v>4200.7088282000586</v>
      </c>
      <c r="BC25" s="210">
        <f t="shared" si="20"/>
        <v>4211.328449596167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4221.9480709922755</v>
      </c>
      <c r="BE25" s="210">
        <f t="shared" si="21"/>
        <v>4232.5676923883839</v>
      </c>
      <c r="BF25" s="210">
        <f t="shared" si="21"/>
        <v>4243.1873137844914</v>
      </c>
      <c r="BG25" s="210">
        <f t="shared" si="21"/>
        <v>4253.8069351805998</v>
      </c>
      <c r="BH25" s="210">
        <f t="shared" si="21"/>
        <v>4264.4265565767082</v>
      </c>
      <c r="BI25" s="210">
        <f t="shared" si="21"/>
        <v>4275.0461779728157</v>
      </c>
      <c r="BJ25" s="210">
        <f t="shared" si="21"/>
        <v>4285.6657993689241</v>
      </c>
      <c r="BK25" s="210">
        <f t="shared" si="21"/>
        <v>4296.2854207650325</v>
      </c>
      <c r="BL25" s="210">
        <f t="shared" si="21"/>
        <v>4306.90504216114</v>
      </c>
      <c r="BM25" s="210">
        <f t="shared" si="21"/>
        <v>4317.5246635572485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4328.1442849533569</v>
      </c>
      <c r="BO25" s="210">
        <f t="shared" si="22"/>
        <v>4338.7639063494644</v>
      </c>
      <c r="BP25" s="210">
        <f t="shared" si="22"/>
        <v>4349.3835277455728</v>
      </c>
      <c r="BQ25" s="210">
        <f t="shared" si="22"/>
        <v>4360.0031491416812</v>
      </c>
      <c r="BR25" s="210">
        <f t="shared" si="22"/>
        <v>4370.6227705377887</v>
      </c>
      <c r="BS25" s="210">
        <f t="shared" si="22"/>
        <v>4381.2423919338971</v>
      </c>
      <c r="BT25" s="210">
        <f t="shared" si="22"/>
        <v>4457.5366735472435</v>
      </c>
      <c r="BU25" s="210">
        <f t="shared" si="22"/>
        <v>4533.8309551605889</v>
      </c>
      <c r="BV25" s="210">
        <f t="shared" si="22"/>
        <v>4610.1252367739353</v>
      </c>
      <c r="BW25" s="210">
        <f t="shared" si="22"/>
        <v>4686.4195183872816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4762.7138000006271</v>
      </c>
      <c r="BY25" s="210">
        <f t="shared" si="23"/>
        <v>4839.0080816139734</v>
      </c>
      <c r="BZ25" s="210">
        <f t="shared" si="23"/>
        <v>4915.3023632273198</v>
      </c>
      <c r="CA25" s="210">
        <f t="shared" si="23"/>
        <v>4991.5966448406662</v>
      </c>
      <c r="CB25" s="210">
        <f t="shared" si="23"/>
        <v>5067.8909264540116</v>
      </c>
      <c r="CC25" s="210">
        <f t="shared" si="23"/>
        <v>5144.185208067358</v>
      </c>
      <c r="CD25" s="210">
        <f t="shared" si="23"/>
        <v>5220.4794896807043</v>
      </c>
      <c r="CE25" s="210">
        <f t="shared" si="23"/>
        <v>5296.7737712940507</v>
      </c>
      <c r="CF25" s="210">
        <f t="shared" si="23"/>
        <v>5373.0680529073961</v>
      </c>
      <c r="CG25" s="210">
        <f t="shared" si="23"/>
        <v>5449.3623345207425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5525.6566161340888</v>
      </c>
      <c r="CI25" s="210">
        <f t="shared" si="24"/>
        <v>5601.9508977474343</v>
      </c>
      <c r="CJ25" s="210">
        <f t="shared" si="24"/>
        <v>5678.2451793607806</v>
      </c>
      <c r="CK25" s="210">
        <f t="shared" si="24"/>
        <v>5754.539460974127</v>
      </c>
      <c r="CL25" s="210">
        <f t="shared" si="24"/>
        <v>5830.8337425874724</v>
      </c>
      <c r="CM25" s="210">
        <f t="shared" si="24"/>
        <v>5907.1280242008188</v>
      </c>
      <c r="CN25" s="210">
        <f t="shared" si="24"/>
        <v>5983.4223058141652</v>
      </c>
      <c r="CO25" s="210">
        <f t="shared" si="24"/>
        <v>6059.7165874275115</v>
      </c>
      <c r="CP25" s="210">
        <f t="shared" si="24"/>
        <v>6101.3127512950723</v>
      </c>
      <c r="CQ25" s="210">
        <f t="shared" si="24"/>
        <v>6108.2107974168484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6115.1088435386246</v>
      </c>
      <c r="CS25" s="210">
        <f t="shared" si="25"/>
        <v>6122.0068896604007</v>
      </c>
      <c r="CT25" s="210">
        <f t="shared" si="25"/>
        <v>6128.9049357821768</v>
      </c>
      <c r="CU25" s="210">
        <f t="shared" si="25"/>
        <v>6135.8029819039539</v>
      </c>
      <c r="CV25" s="210">
        <f t="shared" si="25"/>
        <v>6142.70102802573</v>
      </c>
      <c r="CW25" s="210">
        <f t="shared" si="25"/>
        <v>6149.5990741475061</v>
      </c>
      <c r="CX25" s="210">
        <f t="shared" si="25"/>
        <v>6156.4971202692823</v>
      </c>
      <c r="CY25" s="210">
        <f t="shared" si="25"/>
        <v>6163.3951663910584</v>
      </c>
      <c r="CZ25" s="210">
        <f t="shared" si="25"/>
        <v>6166.8441894519465</v>
      </c>
      <c r="DA25" s="210">
        <f t="shared" si="25"/>
        <v>6166.8441894519465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1238.4628440424749</v>
      </c>
      <c r="D26" s="203">
        <f>Income!D73</f>
        <v>5364.203299375361</v>
      </c>
      <c r="E26" s="203">
        <f>Income!E73</f>
        <v>7603.2795975558211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30.961571101061871</v>
      </c>
      <c r="AG26" s="210">
        <f t="shared" si="18"/>
        <v>61.923142202123742</v>
      </c>
      <c r="AH26" s="210">
        <f t="shared" si="18"/>
        <v>92.88471330318562</v>
      </c>
      <c r="AI26" s="210">
        <f t="shared" si="18"/>
        <v>123.84628440424748</v>
      </c>
      <c r="AJ26" s="210">
        <f t="shared" si="19"/>
        <v>154.80785550530936</v>
      </c>
      <c r="AK26" s="210">
        <f t="shared" si="19"/>
        <v>185.76942660637124</v>
      </c>
      <c r="AL26" s="210">
        <f t="shared" si="19"/>
        <v>216.73099770743312</v>
      </c>
      <c r="AM26" s="210">
        <f t="shared" si="19"/>
        <v>247.69256880849497</v>
      </c>
      <c r="AN26" s="210">
        <f t="shared" si="19"/>
        <v>278.65413990955687</v>
      </c>
      <c r="AO26" s="210">
        <f t="shared" si="19"/>
        <v>309.61571101061872</v>
      </c>
      <c r="AP26" s="210">
        <f t="shared" si="19"/>
        <v>340.57728211168057</v>
      </c>
      <c r="AQ26" s="210">
        <f t="shared" si="19"/>
        <v>371.53885321274248</v>
      </c>
      <c r="AR26" s="210">
        <f t="shared" si="19"/>
        <v>402.50042431380433</v>
      </c>
      <c r="AS26" s="210">
        <f t="shared" si="19"/>
        <v>433.46199541486624</v>
      </c>
      <c r="AT26" s="210">
        <f t="shared" si="20"/>
        <v>464.42356651592809</v>
      </c>
      <c r="AU26" s="210">
        <f t="shared" si="20"/>
        <v>495.38513761698994</v>
      </c>
      <c r="AV26" s="210">
        <f t="shared" si="20"/>
        <v>526.34670871805179</v>
      </c>
      <c r="AW26" s="210">
        <f t="shared" si="20"/>
        <v>557.30827981911375</v>
      </c>
      <c r="AX26" s="210">
        <f t="shared" si="20"/>
        <v>588.2698509201756</v>
      </c>
      <c r="AY26" s="210">
        <f t="shared" si="20"/>
        <v>619.23142202123745</v>
      </c>
      <c r="AZ26" s="210">
        <f t="shared" si="20"/>
        <v>650.1929931222993</v>
      </c>
      <c r="BA26" s="210">
        <f t="shared" si="20"/>
        <v>681.15456422336115</v>
      </c>
      <c r="BB26" s="210">
        <f t="shared" si="20"/>
        <v>712.11613532442311</v>
      </c>
      <c r="BC26" s="210">
        <f t="shared" si="20"/>
        <v>743.07770642548496</v>
      </c>
      <c r="BD26" s="210">
        <f t="shared" si="21"/>
        <v>774.03927752654681</v>
      </c>
      <c r="BE26" s="210">
        <f t="shared" si="21"/>
        <v>805.00084862760866</v>
      </c>
      <c r="BF26" s="210">
        <f t="shared" si="21"/>
        <v>835.96241972867062</v>
      </c>
      <c r="BG26" s="210">
        <f t="shared" si="21"/>
        <v>866.92399082973247</v>
      </c>
      <c r="BH26" s="210">
        <f t="shared" si="21"/>
        <v>897.88556193079421</v>
      </c>
      <c r="BI26" s="210">
        <f t="shared" si="21"/>
        <v>928.84713303185617</v>
      </c>
      <c r="BJ26" s="210">
        <f t="shared" si="21"/>
        <v>959.80870413291814</v>
      </c>
      <c r="BK26" s="210">
        <f t="shared" si="21"/>
        <v>990.77027523397987</v>
      </c>
      <c r="BL26" s="210">
        <f t="shared" si="21"/>
        <v>1021.7318463350417</v>
      </c>
      <c r="BM26" s="210">
        <f t="shared" si="21"/>
        <v>1052.6934174361036</v>
      </c>
      <c r="BN26" s="210">
        <f t="shared" si="22"/>
        <v>1083.6549885371655</v>
      </c>
      <c r="BO26" s="210">
        <f t="shared" si="22"/>
        <v>1114.6165596382275</v>
      </c>
      <c r="BP26" s="210">
        <f t="shared" si="22"/>
        <v>1145.5781307392892</v>
      </c>
      <c r="BQ26" s="210">
        <f t="shared" si="22"/>
        <v>1176.5397018403512</v>
      </c>
      <c r="BR26" s="210">
        <f t="shared" si="22"/>
        <v>1207.5012729414132</v>
      </c>
      <c r="BS26" s="210">
        <f t="shared" si="22"/>
        <v>1238.4628440424749</v>
      </c>
      <c r="BT26" s="210">
        <f t="shared" si="22"/>
        <v>1421.8290865017143</v>
      </c>
      <c r="BU26" s="210">
        <f t="shared" si="22"/>
        <v>1605.1953289609537</v>
      </c>
      <c r="BV26" s="210">
        <f t="shared" si="22"/>
        <v>1788.5615714201931</v>
      </c>
      <c r="BW26" s="210">
        <f t="shared" si="22"/>
        <v>1971.9278138794325</v>
      </c>
      <c r="BX26" s="210">
        <f t="shared" si="23"/>
        <v>2155.2940563386719</v>
      </c>
      <c r="BY26" s="210">
        <f t="shared" si="23"/>
        <v>2338.6602987979113</v>
      </c>
      <c r="BZ26" s="210">
        <f t="shared" si="23"/>
        <v>2522.0265412571507</v>
      </c>
      <c r="CA26" s="210">
        <f t="shared" si="23"/>
        <v>2705.3927837163901</v>
      </c>
      <c r="CB26" s="210">
        <f t="shared" si="23"/>
        <v>2888.7590261756295</v>
      </c>
      <c r="CC26" s="210">
        <f t="shared" si="23"/>
        <v>3072.1252686348689</v>
      </c>
      <c r="CD26" s="210">
        <f t="shared" si="23"/>
        <v>3255.4915110941083</v>
      </c>
      <c r="CE26" s="210">
        <f t="shared" si="23"/>
        <v>3438.8577535533477</v>
      </c>
      <c r="CF26" s="210">
        <f t="shared" si="23"/>
        <v>3622.2239960125867</v>
      </c>
      <c r="CG26" s="210">
        <f t="shared" si="23"/>
        <v>3805.5902384718265</v>
      </c>
      <c r="CH26" s="210">
        <f t="shared" si="24"/>
        <v>3988.9564809310655</v>
      </c>
      <c r="CI26" s="210">
        <f t="shared" si="24"/>
        <v>4172.3227233903053</v>
      </c>
      <c r="CJ26" s="210">
        <f t="shared" si="24"/>
        <v>4355.6889658495438</v>
      </c>
      <c r="CK26" s="210">
        <f t="shared" si="24"/>
        <v>4539.0552083087841</v>
      </c>
      <c r="CL26" s="210">
        <f t="shared" si="24"/>
        <v>4722.4214507680226</v>
      </c>
      <c r="CM26" s="210">
        <f t="shared" si="24"/>
        <v>4905.7876932272629</v>
      </c>
      <c r="CN26" s="210">
        <f t="shared" si="24"/>
        <v>5089.1539356865023</v>
      </c>
      <c r="CO26" s="210">
        <f t="shared" si="24"/>
        <v>5272.5201781457417</v>
      </c>
      <c r="CP26" s="210">
        <f t="shared" si="24"/>
        <v>5476.1571142843841</v>
      </c>
      <c r="CQ26" s="210">
        <f t="shared" si="24"/>
        <v>5700.0647441024303</v>
      </c>
      <c r="CR26" s="210">
        <f t="shared" si="25"/>
        <v>5923.9723739204765</v>
      </c>
      <c r="CS26" s="210">
        <f t="shared" si="25"/>
        <v>6147.8800037385217</v>
      </c>
      <c r="CT26" s="210">
        <f t="shared" si="25"/>
        <v>6371.7876335565679</v>
      </c>
      <c r="CU26" s="210">
        <f t="shared" si="25"/>
        <v>6595.6952633746141</v>
      </c>
      <c r="CV26" s="210">
        <f t="shared" si="25"/>
        <v>6819.6028931926594</v>
      </c>
      <c r="CW26" s="210">
        <f t="shared" si="25"/>
        <v>7043.5105230107056</v>
      </c>
      <c r="CX26" s="210">
        <f t="shared" si="25"/>
        <v>7267.4181528287518</v>
      </c>
      <c r="CY26" s="210">
        <f t="shared" si="25"/>
        <v>7491.325782646798</v>
      </c>
      <c r="CZ26" s="210">
        <f t="shared" si="25"/>
        <v>7603.2795975558211</v>
      </c>
      <c r="DA26" s="210">
        <f t="shared" si="25"/>
        <v>7603.2795975558211</v>
      </c>
    </row>
    <row r="27" spans="1:105">
      <c r="A27" s="201" t="str">
        <f>Income!A74</f>
        <v>Animal products consumed</v>
      </c>
      <c r="B27" s="203">
        <f>Income!B74</f>
        <v>279.81896093684895</v>
      </c>
      <c r="C27" s="203">
        <f>Income!C74</f>
        <v>432.45354682181602</v>
      </c>
      <c r="D27" s="203">
        <f>Income!D74</f>
        <v>745.16676507581951</v>
      </c>
      <c r="E27" s="203">
        <f>Income!E74</f>
        <v>1940.8624261512305</v>
      </c>
      <c r="F27" s="210">
        <f t="shared" si="16"/>
        <v>279.81896093684895</v>
      </c>
      <c r="G27" s="210">
        <f t="shared" si="16"/>
        <v>279.81896093684895</v>
      </c>
      <c r="H27" s="210">
        <f t="shared" si="16"/>
        <v>279.81896093684895</v>
      </c>
      <c r="I27" s="210">
        <f t="shared" si="16"/>
        <v>279.81896093684895</v>
      </c>
      <c r="J27" s="210">
        <f t="shared" si="16"/>
        <v>279.81896093684895</v>
      </c>
      <c r="K27" s="210">
        <f t="shared" si="16"/>
        <v>279.81896093684895</v>
      </c>
      <c r="L27" s="210">
        <f t="shared" si="16"/>
        <v>279.81896093684895</v>
      </c>
      <c r="M27" s="210">
        <f t="shared" si="16"/>
        <v>279.81896093684895</v>
      </c>
      <c r="N27" s="210">
        <f t="shared" si="16"/>
        <v>279.81896093684895</v>
      </c>
      <c r="O27" s="210">
        <f t="shared" si="16"/>
        <v>279.81896093684895</v>
      </c>
      <c r="P27" s="210">
        <f t="shared" si="17"/>
        <v>279.81896093684895</v>
      </c>
      <c r="Q27" s="210">
        <f t="shared" si="17"/>
        <v>279.81896093684895</v>
      </c>
      <c r="R27" s="210">
        <f t="shared" si="17"/>
        <v>279.81896093684895</v>
      </c>
      <c r="S27" s="210">
        <f t="shared" si="17"/>
        <v>279.81896093684895</v>
      </c>
      <c r="T27" s="210">
        <f t="shared" si="17"/>
        <v>279.81896093684895</v>
      </c>
      <c r="U27" s="210">
        <f t="shared" si="17"/>
        <v>279.81896093684895</v>
      </c>
      <c r="V27" s="210">
        <f t="shared" si="17"/>
        <v>279.81896093684895</v>
      </c>
      <c r="W27" s="210">
        <f t="shared" si="17"/>
        <v>279.81896093684895</v>
      </c>
      <c r="X27" s="210">
        <f t="shared" si="17"/>
        <v>279.81896093684895</v>
      </c>
      <c r="Y27" s="210">
        <f t="shared" si="17"/>
        <v>279.81896093684895</v>
      </c>
      <c r="Z27" s="210">
        <f t="shared" si="18"/>
        <v>279.81896093684895</v>
      </c>
      <c r="AA27" s="210">
        <f t="shared" si="18"/>
        <v>279.81896093684895</v>
      </c>
      <c r="AB27" s="210">
        <f t="shared" si="18"/>
        <v>279.81896093684895</v>
      </c>
      <c r="AC27" s="210">
        <f t="shared" si="18"/>
        <v>279.81896093684895</v>
      </c>
      <c r="AD27" s="210">
        <f t="shared" si="18"/>
        <v>279.81896093684895</v>
      </c>
      <c r="AE27" s="210">
        <f t="shared" si="18"/>
        <v>279.81896093684895</v>
      </c>
      <c r="AF27" s="210">
        <f t="shared" si="18"/>
        <v>283.63482558397311</v>
      </c>
      <c r="AG27" s="210">
        <f t="shared" si="18"/>
        <v>287.45069023109733</v>
      </c>
      <c r="AH27" s="210">
        <f t="shared" si="18"/>
        <v>291.26655487822148</v>
      </c>
      <c r="AI27" s="210">
        <f t="shared" si="18"/>
        <v>295.08241952534564</v>
      </c>
      <c r="AJ27" s="210">
        <f t="shared" si="19"/>
        <v>298.89828417246986</v>
      </c>
      <c r="AK27" s="210">
        <f t="shared" si="19"/>
        <v>302.71414881959402</v>
      </c>
      <c r="AL27" s="210">
        <f t="shared" si="19"/>
        <v>306.53001346671817</v>
      </c>
      <c r="AM27" s="210">
        <f t="shared" si="19"/>
        <v>310.34587811384239</v>
      </c>
      <c r="AN27" s="210">
        <f t="shared" si="19"/>
        <v>314.16174276096655</v>
      </c>
      <c r="AO27" s="210">
        <f t="shared" si="19"/>
        <v>317.97760740809071</v>
      </c>
      <c r="AP27" s="210">
        <f t="shared" si="19"/>
        <v>321.79347205521492</v>
      </c>
      <c r="AQ27" s="210">
        <f t="shared" si="19"/>
        <v>325.60933670233908</v>
      </c>
      <c r="AR27" s="210">
        <f t="shared" si="19"/>
        <v>329.42520134946324</v>
      </c>
      <c r="AS27" s="210">
        <f t="shared" si="19"/>
        <v>333.24106599658745</v>
      </c>
      <c r="AT27" s="210">
        <f t="shared" si="20"/>
        <v>337.05693064371161</v>
      </c>
      <c r="AU27" s="210">
        <f t="shared" si="20"/>
        <v>340.87279529083577</v>
      </c>
      <c r="AV27" s="210">
        <f t="shared" si="20"/>
        <v>344.68865993795998</v>
      </c>
      <c r="AW27" s="210">
        <f t="shared" si="20"/>
        <v>348.50452458508414</v>
      </c>
      <c r="AX27" s="210">
        <f t="shared" si="20"/>
        <v>352.3203892322083</v>
      </c>
      <c r="AY27" s="210">
        <f t="shared" si="20"/>
        <v>356.13625387933246</v>
      </c>
      <c r="AZ27" s="210">
        <f t="shared" si="20"/>
        <v>359.95211852645667</v>
      </c>
      <c r="BA27" s="210">
        <f t="shared" si="20"/>
        <v>363.76798317358083</v>
      </c>
      <c r="BB27" s="210">
        <f t="shared" si="20"/>
        <v>367.58384782070505</v>
      </c>
      <c r="BC27" s="210">
        <f t="shared" si="20"/>
        <v>371.3997124678292</v>
      </c>
      <c r="BD27" s="210">
        <f t="shared" si="21"/>
        <v>375.21557711495336</v>
      </c>
      <c r="BE27" s="210">
        <f t="shared" si="21"/>
        <v>379.03144176207752</v>
      </c>
      <c r="BF27" s="210">
        <f t="shared" si="21"/>
        <v>382.84730640920174</v>
      </c>
      <c r="BG27" s="210">
        <f t="shared" si="21"/>
        <v>386.66317105632589</v>
      </c>
      <c r="BH27" s="210">
        <f t="shared" si="21"/>
        <v>390.47903570345011</v>
      </c>
      <c r="BI27" s="210">
        <f t="shared" si="21"/>
        <v>394.29490035057427</v>
      </c>
      <c r="BJ27" s="210">
        <f t="shared" si="21"/>
        <v>398.11076499769842</v>
      </c>
      <c r="BK27" s="210">
        <f t="shared" si="21"/>
        <v>401.92662964482258</v>
      </c>
      <c r="BL27" s="210">
        <f t="shared" si="21"/>
        <v>405.7424942919468</v>
      </c>
      <c r="BM27" s="210">
        <f t="shared" si="21"/>
        <v>409.55835893907096</v>
      </c>
      <c r="BN27" s="210">
        <f t="shared" si="22"/>
        <v>413.37422358619511</v>
      </c>
      <c r="BO27" s="210">
        <f t="shared" si="22"/>
        <v>417.19008823331933</v>
      </c>
      <c r="BP27" s="210">
        <f t="shared" si="22"/>
        <v>421.00595288044349</v>
      </c>
      <c r="BQ27" s="210">
        <f t="shared" si="22"/>
        <v>424.82181752756765</v>
      </c>
      <c r="BR27" s="210">
        <f t="shared" si="22"/>
        <v>428.63768217469186</v>
      </c>
      <c r="BS27" s="210">
        <f t="shared" si="22"/>
        <v>432.45354682181602</v>
      </c>
      <c r="BT27" s="210">
        <f t="shared" si="22"/>
        <v>446.35191207754951</v>
      </c>
      <c r="BU27" s="210">
        <f t="shared" si="22"/>
        <v>460.25027733328301</v>
      </c>
      <c r="BV27" s="210">
        <f t="shared" si="22"/>
        <v>474.1486425890165</v>
      </c>
      <c r="BW27" s="210">
        <f t="shared" si="22"/>
        <v>488.04700784474994</v>
      </c>
      <c r="BX27" s="210">
        <f t="shared" si="23"/>
        <v>501.94537310048349</v>
      </c>
      <c r="BY27" s="210">
        <f t="shared" si="23"/>
        <v>515.84373835621693</v>
      </c>
      <c r="BZ27" s="210">
        <f t="shared" si="23"/>
        <v>529.74210361195048</v>
      </c>
      <c r="CA27" s="210">
        <f t="shared" si="23"/>
        <v>543.64046886768392</v>
      </c>
      <c r="CB27" s="210">
        <f t="shared" si="23"/>
        <v>557.53883412341747</v>
      </c>
      <c r="CC27" s="210">
        <f t="shared" si="23"/>
        <v>571.43719937915091</v>
      </c>
      <c r="CD27" s="210">
        <f t="shared" si="23"/>
        <v>585.33556463488435</v>
      </c>
      <c r="CE27" s="210">
        <f t="shared" si="23"/>
        <v>599.2339298906179</v>
      </c>
      <c r="CF27" s="210">
        <f t="shared" si="23"/>
        <v>613.13229514635134</v>
      </c>
      <c r="CG27" s="210">
        <f t="shared" si="23"/>
        <v>627.03066040208489</v>
      </c>
      <c r="CH27" s="210">
        <f t="shared" si="24"/>
        <v>640.92902565781833</v>
      </c>
      <c r="CI27" s="210">
        <f t="shared" si="24"/>
        <v>654.82739091355188</v>
      </c>
      <c r="CJ27" s="210">
        <f t="shared" si="24"/>
        <v>668.72575616928532</v>
      </c>
      <c r="CK27" s="210">
        <f t="shared" si="24"/>
        <v>682.62412142501876</v>
      </c>
      <c r="CL27" s="210">
        <f t="shared" si="24"/>
        <v>696.52248668075231</v>
      </c>
      <c r="CM27" s="210">
        <f t="shared" si="24"/>
        <v>710.42085193648586</v>
      </c>
      <c r="CN27" s="210">
        <f t="shared" si="24"/>
        <v>724.3192171922193</v>
      </c>
      <c r="CO27" s="210">
        <f t="shared" si="24"/>
        <v>738.21758244795274</v>
      </c>
      <c r="CP27" s="210">
        <f t="shared" si="24"/>
        <v>804.95154812959004</v>
      </c>
      <c r="CQ27" s="210">
        <f t="shared" si="24"/>
        <v>924.52111423713109</v>
      </c>
      <c r="CR27" s="210">
        <f t="shared" si="25"/>
        <v>1044.0906803446724</v>
      </c>
      <c r="CS27" s="210">
        <f t="shared" si="25"/>
        <v>1163.6602464522134</v>
      </c>
      <c r="CT27" s="210">
        <f t="shared" si="25"/>
        <v>1283.2298125597545</v>
      </c>
      <c r="CU27" s="210">
        <f t="shared" si="25"/>
        <v>1402.7993786672955</v>
      </c>
      <c r="CV27" s="210">
        <f t="shared" si="25"/>
        <v>1522.3689447748366</v>
      </c>
      <c r="CW27" s="210">
        <f t="shared" si="25"/>
        <v>1641.9385108823778</v>
      </c>
      <c r="CX27" s="210">
        <f t="shared" si="25"/>
        <v>1761.5080769899187</v>
      </c>
      <c r="CY27" s="210">
        <f t="shared" si="25"/>
        <v>1881.0776430974599</v>
      </c>
      <c r="CZ27" s="210">
        <f t="shared" si="25"/>
        <v>1940.8624261512305</v>
      </c>
      <c r="DA27" s="210">
        <f t="shared" si="25"/>
        <v>1940.8624261512305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740.70744260913568</v>
      </c>
      <c r="D29" s="203">
        <f>Income!D76</f>
        <v>5184.9520982639497</v>
      </c>
      <c r="E29" s="203">
        <f>Income!E76</f>
        <v>14550.78620592169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18.517686065228393</v>
      </c>
      <c r="AG29" s="210">
        <f t="shared" si="18"/>
        <v>37.035372130456786</v>
      </c>
      <c r="AH29" s="210">
        <f t="shared" si="18"/>
        <v>55.553058195685175</v>
      </c>
      <c r="AI29" s="210">
        <f t="shared" si="18"/>
        <v>74.070744260913571</v>
      </c>
      <c r="AJ29" s="210">
        <f t="shared" si="19"/>
        <v>92.58843032614196</v>
      </c>
      <c r="AK29" s="210">
        <f t="shared" si="19"/>
        <v>111.10611639137035</v>
      </c>
      <c r="AL29" s="210">
        <f t="shared" si="19"/>
        <v>129.62380245659875</v>
      </c>
      <c r="AM29" s="210">
        <f t="shared" si="19"/>
        <v>148.14148852182714</v>
      </c>
      <c r="AN29" s="210">
        <f t="shared" si="19"/>
        <v>166.65917458705553</v>
      </c>
      <c r="AO29" s="210">
        <f t="shared" si="19"/>
        <v>185.17686065228392</v>
      </c>
      <c r="AP29" s="210">
        <f t="shared" si="19"/>
        <v>203.69454671751231</v>
      </c>
      <c r="AQ29" s="210">
        <f t="shared" si="19"/>
        <v>222.2122327827407</v>
      </c>
      <c r="AR29" s="210">
        <f t="shared" si="19"/>
        <v>240.72991884796912</v>
      </c>
      <c r="AS29" s="210">
        <f t="shared" si="19"/>
        <v>259.24760491319751</v>
      </c>
      <c r="AT29" s="210">
        <f t="shared" si="20"/>
        <v>277.76529097842592</v>
      </c>
      <c r="AU29" s="210">
        <f t="shared" si="20"/>
        <v>296.28297704365428</v>
      </c>
      <c r="AV29" s="210">
        <f t="shared" si="20"/>
        <v>314.80066310888265</v>
      </c>
      <c r="AW29" s="210">
        <f t="shared" si="20"/>
        <v>333.31834917411106</v>
      </c>
      <c r="AX29" s="210">
        <f t="shared" si="20"/>
        <v>351.83603523933942</v>
      </c>
      <c r="AY29" s="210">
        <f t="shared" si="20"/>
        <v>370.35372130456784</v>
      </c>
      <c r="AZ29" s="210">
        <f t="shared" si="20"/>
        <v>388.8714073697962</v>
      </c>
      <c r="BA29" s="210">
        <f t="shared" si="20"/>
        <v>407.38909343502462</v>
      </c>
      <c r="BB29" s="210">
        <f t="shared" si="20"/>
        <v>425.90677950025304</v>
      </c>
      <c r="BC29" s="210">
        <f t="shared" si="20"/>
        <v>444.4244655654814</v>
      </c>
      <c r="BD29" s="210">
        <f t="shared" si="21"/>
        <v>462.94215163070976</v>
      </c>
      <c r="BE29" s="210">
        <f t="shared" si="21"/>
        <v>481.45983769593823</v>
      </c>
      <c r="BF29" s="210">
        <f t="shared" si="21"/>
        <v>499.97752376116659</v>
      </c>
      <c r="BG29" s="210">
        <f t="shared" si="21"/>
        <v>518.49520982639501</v>
      </c>
      <c r="BH29" s="210">
        <f t="shared" si="21"/>
        <v>537.01289589162332</v>
      </c>
      <c r="BI29" s="210">
        <f t="shared" si="21"/>
        <v>555.53058195685185</v>
      </c>
      <c r="BJ29" s="210">
        <f t="shared" si="21"/>
        <v>574.04826802208015</v>
      </c>
      <c r="BK29" s="210">
        <f t="shared" si="21"/>
        <v>592.56595408730857</v>
      </c>
      <c r="BL29" s="210">
        <f t="shared" si="21"/>
        <v>611.08364015253687</v>
      </c>
      <c r="BM29" s="210">
        <f t="shared" si="21"/>
        <v>629.60132621776529</v>
      </c>
      <c r="BN29" s="210">
        <f t="shared" si="22"/>
        <v>648.11901228299371</v>
      </c>
      <c r="BO29" s="210">
        <f t="shared" si="22"/>
        <v>666.63669834822213</v>
      </c>
      <c r="BP29" s="210">
        <f t="shared" si="22"/>
        <v>685.15438441345054</v>
      </c>
      <c r="BQ29" s="210">
        <f t="shared" si="22"/>
        <v>703.67207047867885</v>
      </c>
      <c r="BR29" s="210">
        <f t="shared" si="22"/>
        <v>722.18975654390738</v>
      </c>
      <c r="BS29" s="210">
        <f t="shared" si="22"/>
        <v>740.70744260913568</v>
      </c>
      <c r="BT29" s="210">
        <f t="shared" si="22"/>
        <v>938.22942730490513</v>
      </c>
      <c r="BU29" s="210">
        <f t="shared" si="22"/>
        <v>1135.7514120006747</v>
      </c>
      <c r="BV29" s="210">
        <f t="shared" si="22"/>
        <v>1333.2733966964443</v>
      </c>
      <c r="BW29" s="210">
        <f t="shared" si="22"/>
        <v>1530.7953813922136</v>
      </c>
      <c r="BX29" s="210">
        <f t="shared" si="23"/>
        <v>1728.3173660879831</v>
      </c>
      <c r="BY29" s="210">
        <f t="shared" si="23"/>
        <v>1925.8393507837527</v>
      </c>
      <c r="BZ29" s="210">
        <f t="shared" si="23"/>
        <v>2123.361335479522</v>
      </c>
      <c r="CA29" s="210">
        <f t="shared" si="23"/>
        <v>2320.8833201752918</v>
      </c>
      <c r="CB29" s="210">
        <f t="shared" si="23"/>
        <v>2518.4053048710612</v>
      </c>
      <c r="CC29" s="210">
        <f t="shared" si="23"/>
        <v>2715.9272895668305</v>
      </c>
      <c r="CD29" s="210">
        <f t="shared" si="23"/>
        <v>2913.4492742626003</v>
      </c>
      <c r="CE29" s="210">
        <f t="shared" si="23"/>
        <v>3110.9712589583701</v>
      </c>
      <c r="CF29" s="210">
        <f t="shared" si="23"/>
        <v>3308.4932436541394</v>
      </c>
      <c r="CG29" s="210">
        <f t="shared" si="23"/>
        <v>3506.0152283499087</v>
      </c>
      <c r="CH29" s="210">
        <f t="shared" si="24"/>
        <v>3703.5372130456785</v>
      </c>
      <c r="CI29" s="210">
        <f t="shared" si="24"/>
        <v>3901.0591977414479</v>
      </c>
      <c r="CJ29" s="210">
        <f t="shared" si="24"/>
        <v>4098.5811824372167</v>
      </c>
      <c r="CK29" s="210">
        <f t="shared" si="24"/>
        <v>4296.1031671329865</v>
      </c>
      <c r="CL29" s="210">
        <f t="shared" si="24"/>
        <v>4493.6251518287563</v>
      </c>
      <c r="CM29" s="210">
        <f t="shared" si="24"/>
        <v>4691.1471365245252</v>
      </c>
      <c r="CN29" s="210">
        <f t="shared" si="24"/>
        <v>4888.6691212202959</v>
      </c>
      <c r="CO29" s="210">
        <f t="shared" si="24"/>
        <v>5086.1911059160648</v>
      </c>
      <c r="CP29" s="210">
        <f t="shared" si="24"/>
        <v>5653.2438036468366</v>
      </c>
      <c r="CQ29" s="210">
        <f t="shared" si="24"/>
        <v>6589.8272144126104</v>
      </c>
      <c r="CR29" s="210">
        <f t="shared" si="25"/>
        <v>7526.4106251783851</v>
      </c>
      <c r="CS29" s="210">
        <f t="shared" si="25"/>
        <v>8462.9940359441589</v>
      </c>
      <c r="CT29" s="210">
        <f t="shared" si="25"/>
        <v>9399.5774467099327</v>
      </c>
      <c r="CU29" s="210">
        <f t="shared" si="25"/>
        <v>10336.160857475707</v>
      </c>
      <c r="CV29" s="210">
        <f t="shared" si="25"/>
        <v>11272.74426824148</v>
      </c>
      <c r="CW29" s="210">
        <f t="shared" si="25"/>
        <v>12209.327679007254</v>
      </c>
      <c r="CX29" s="210">
        <f t="shared" si="25"/>
        <v>13145.911089773028</v>
      </c>
      <c r="CY29" s="210">
        <f t="shared" si="25"/>
        <v>14082.494500538802</v>
      </c>
      <c r="CZ29" s="210">
        <f t="shared" si="25"/>
        <v>14550.78620592169</v>
      </c>
      <c r="DA29" s="210">
        <f t="shared" si="25"/>
        <v>14550.78620592169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146.66966986477667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7.3334834932388331</v>
      </c>
      <c r="CQ30" s="210">
        <f t="shared" si="24"/>
        <v>22.000450479716498</v>
      </c>
      <c r="CR30" s="210">
        <f t="shared" si="25"/>
        <v>36.667417466194166</v>
      </c>
      <c r="CS30" s="210">
        <f t="shared" si="25"/>
        <v>51.334384452671841</v>
      </c>
      <c r="CT30" s="210">
        <f t="shared" si="25"/>
        <v>66.001351439149488</v>
      </c>
      <c r="CU30" s="210">
        <f t="shared" si="25"/>
        <v>80.668318425627177</v>
      </c>
      <c r="CV30" s="210">
        <f t="shared" si="25"/>
        <v>95.335285412104824</v>
      </c>
      <c r="CW30" s="210">
        <f t="shared" si="25"/>
        <v>110.0022523985825</v>
      </c>
      <c r="CX30" s="210">
        <f t="shared" si="25"/>
        <v>124.66921938506016</v>
      </c>
      <c r="CY30" s="210">
        <f t="shared" si="25"/>
        <v>139.33618637153785</v>
      </c>
      <c r="CZ30" s="210">
        <f t="shared" si="25"/>
        <v>146.66966986477667</v>
      </c>
      <c r="DA30" s="210">
        <f t="shared" si="25"/>
        <v>146.66966986477667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2591.4414323271239</v>
      </c>
      <c r="D31" s="203">
        <f>Income!D78</f>
        <v>1114.0239936841401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64.786035808178099</v>
      </c>
      <c r="AG31" s="210">
        <f t="shared" si="18"/>
        <v>129.5720716163562</v>
      </c>
      <c r="AH31" s="210">
        <f t="shared" si="18"/>
        <v>194.3581074245343</v>
      </c>
      <c r="AI31" s="210">
        <f t="shared" si="18"/>
        <v>259.14414323271239</v>
      </c>
      <c r="AJ31" s="210">
        <f t="shared" si="19"/>
        <v>323.93017904089049</v>
      </c>
      <c r="AK31" s="210">
        <f t="shared" si="19"/>
        <v>388.71621484906859</v>
      </c>
      <c r="AL31" s="210">
        <f t="shared" si="19"/>
        <v>453.50225065724669</v>
      </c>
      <c r="AM31" s="210">
        <f t="shared" si="19"/>
        <v>518.28828646542479</v>
      </c>
      <c r="AN31" s="210">
        <f t="shared" si="19"/>
        <v>583.07432227360289</v>
      </c>
      <c r="AO31" s="210">
        <f t="shared" si="19"/>
        <v>647.86035808178099</v>
      </c>
      <c r="AP31" s="210">
        <f t="shared" si="19"/>
        <v>712.64639388995909</v>
      </c>
      <c r="AQ31" s="210">
        <f t="shared" si="19"/>
        <v>777.43242969813718</v>
      </c>
      <c r="AR31" s="210">
        <f t="shared" si="19"/>
        <v>842.21846550631528</v>
      </c>
      <c r="AS31" s="210">
        <f t="shared" si="19"/>
        <v>907.00450131449338</v>
      </c>
      <c r="AT31" s="210">
        <f t="shared" si="20"/>
        <v>971.79053712267137</v>
      </c>
      <c r="AU31" s="210">
        <f t="shared" si="20"/>
        <v>1036.5765729308496</v>
      </c>
      <c r="AV31" s="210">
        <f t="shared" si="20"/>
        <v>1101.3626087390278</v>
      </c>
      <c r="AW31" s="210">
        <f t="shared" si="20"/>
        <v>1166.1486445472058</v>
      </c>
      <c r="AX31" s="210">
        <f t="shared" si="20"/>
        <v>1230.934680355384</v>
      </c>
      <c r="AY31" s="210">
        <f t="shared" si="20"/>
        <v>1295.720716163562</v>
      </c>
      <c r="AZ31" s="210">
        <f t="shared" si="20"/>
        <v>1360.50675197174</v>
      </c>
      <c r="BA31" s="210">
        <f t="shared" si="20"/>
        <v>1425.2927877799182</v>
      </c>
      <c r="BB31" s="210">
        <f t="shared" si="20"/>
        <v>1490.0788235880962</v>
      </c>
      <c r="BC31" s="210">
        <f t="shared" si="20"/>
        <v>1554.8648593962744</v>
      </c>
      <c r="BD31" s="210">
        <f t="shared" si="21"/>
        <v>1619.6508952044526</v>
      </c>
      <c r="BE31" s="210">
        <f t="shared" si="21"/>
        <v>1684.4369310126306</v>
      </c>
      <c r="BF31" s="210">
        <f t="shared" si="21"/>
        <v>1749.2229668208086</v>
      </c>
      <c r="BG31" s="210">
        <f t="shared" si="21"/>
        <v>1814.0090026289868</v>
      </c>
      <c r="BH31" s="210">
        <f t="shared" si="21"/>
        <v>1878.7950384371647</v>
      </c>
      <c r="BI31" s="210">
        <f t="shared" si="21"/>
        <v>1943.5810742453427</v>
      </c>
      <c r="BJ31" s="210">
        <f t="shared" si="21"/>
        <v>2008.3671100535212</v>
      </c>
      <c r="BK31" s="210">
        <f t="shared" si="21"/>
        <v>2073.1531458616992</v>
      </c>
      <c r="BL31" s="210">
        <f t="shared" si="21"/>
        <v>2137.9391816698771</v>
      </c>
      <c r="BM31" s="210">
        <f t="shared" si="21"/>
        <v>2202.7252174780556</v>
      </c>
      <c r="BN31" s="210">
        <f t="shared" si="22"/>
        <v>2267.5112532862336</v>
      </c>
      <c r="BO31" s="210">
        <f t="shared" si="22"/>
        <v>2332.2972890944116</v>
      </c>
      <c r="BP31" s="210">
        <f t="shared" si="22"/>
        <v>2397.08332490259</v>
      </c>
      <c r="BQ31" s="210">
        <f t="shared" si="22"/>
        <v>2461.869360710768</v>
      </c>
      <c r="BR31" s="210">
        <f t="shared" si="22"/>
        <v>2526.655396518946</v>
      </c>
      <c r="BS31" s="210">
        <f t="shared" si="22"/>
        <v>2591.4414323271239</v>
      </c>
      <c r="BT31" s="210">
        <f t="shared" si="22"/>
        <v>2525.7784350541024</v>
      </c>
      <c r="BU31" s="210">
        <f t="shared" si="22"/>
        <v>2460.1154377810808</v>
      </c>
      <c r="BV31" s="210">
        <f t="shared" si="22"/>
        <v>2394.4524405080592</v>
      </c>
      <c r="BW31" s="210">
        <f t="shared" si="22"/>
        <v>2328.7894432350381</v>
      </c>
      <c r="BX31" s="210">
        <f t="shared" si="23"/>
        <v>2263.1264459620165</v>
      </c>
      <c r="BY31" s="210">
        <f t="shared" si="23"/>
        <v>2197.463448688995</v>
      </c>
      <c r="BZ31" s="210">
        <f t="shared" si="23"/>
        <v>2131.8004514159734</v>
      </c>
      <c r="CA31" s="210">
        <f t="shared" si="23"/>
        <v>2066.1374541429518</v>
      </c>
      <c r="CB31" s="210">
        <f t="shared" si="23"/>
        <v>2000.4744568699305</v>
      </c>
      <c r="CC31" s="210">
        <f t="shared" si="23"/>
        <v>1934.8114595969089</v>
      </c>
      <c r="CD31" s="210">
        <f t="shared" si="23"/>
        <v>1869.1484623238875</v>
      </c>
      <c r="CE31" s="210">
        <f t="shared" si="23"/>
        <v>1803.485465050866</v>
      </c>
      <c r="CF31" s="210">
        <f t="shared" si="23"/>
        <v>1737.8224677778444</v>
      </c>
      <c r="CG31" s="210">
        <f t="shared" si="23"/>
        <v>1672.1594705048228</v>
      </c>
      <c r="CH31" s="210">
        <f t="shared" si="24"/>
        <v>1606.4964732318012</v>
      </c>
      <c r="CI31" s="210">
        <f t="shared" si="24"/>
        <v>1540.8334759587799</v>
      </c>
      <c r="CJ31" s="210">
        <f t="shared" si="24"/>
        <v>1475.1704786857583</v>
      </c>
      <c r="CK31" s="210">
        <f t="shared" si="24"/>
        <v>1409.507481412737</v>
      </c>
      <c r="CL31" s="210">
        <f t="shared" si="24"/>
        <v>1343.8444841397154</v>
      </c>
      <c r="CM31" s="210">
        <f t="shared" si="24"/>
        <v>1278.1814868666938</v>
      </c>
      <c r="CN31" s="210">
        <f t="shared" si="24"/>
        <v>1212.5184895936723</v>
      </c>
      <c r="CO31" s="210">
        <f t="shared" si="24"/>
        <v>1146.8554923206509</v>
      </c>
      <c r="CP31" s="210">
        <f t="shared" si="24"/>
        <v>1058.3227939999331</v>
      </c>
      <c r="CQ31" s="210">
        <f t="shared" si="24"/>
        <v>946.92039463151912</v>
      </c>
      <c r="CR31" s="210">
        <f t="shared" si="25"/>
        <v>835.51799526310515</v>
      </c>
      <c r="CS31" s="210">
        <f t="shared" si="25"/>
        <v>724.11559589469107</v>
      </c>
      <c r="CT31" s="210">
        <f t="shared" si="25"/>
        <v>612.71319652627699</v>
      </c>
      <c r="CU31" s="210">
        <f t="shared" si="25"/>
        <v>501.31079715786302</v>
      </c>
      <c r="CV31" s="210">
        <f t="shared" si="25"/>
        <v>389.90839778944905</v>
      </c>
      <c r="CW31" s="210">
        <f t="shared" si="25"/>
        <v>278.50599842103497</v>
      </c>
      <c r="CX31" s="210">
        <f t="shared" si="25"/>
        <v>167.10359905262112</v>
      </c>
      <c r="CY31" s="210">
        <f t="shared" si="25"/>
        <v>55.70119968420704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45772.42792016633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2288.6213960083164</v>
      </c>
      <c r="CQ32" s="210">
        <f t="shared" si="24"/>
        <v>6865.8641880249488</v>
      </c>
      <c r="CR32" s="210">
        <f t="shared" si="25"/>
        <v>11443.106980041583</v>
      </c>
      <c r="CS32" s="210">
        <f t="shared" si="25"/>
        <v>16020.349772058215</v>
      </c>
      <c r="CT32" s="210">
        <f t="shared" si="25"/>
        <v>20597.59256407485</v>
      </c>
      <c r="CU32" s="210">
        <f t="shared" si="25"/>
        <v>25174.83535609148</v>
      </c>
      <c r="CV32" s="210">
        <f t="shared" si="25"/>
        <v>29752.078148108114</v>
      </c>
      <c r="CW32" s="210">
        <f t="shared" si="25"/>
        <v>34329.320940124751</v>
      </c>
      <c r="CX32" s="210">
        <f t="shared" si="25"/>
        <v>38906.563732141381</v>
      </c>
      <c r="CY32" s="210">
        <f t="shared" si="25"/>
        <v>43483.806524158012</v>
      </c>
      <c r="CZ32" s="210">
        <f t="shared" si="25"/>
        <v>45772.42792016633</v>
      </c>
      <c r="DA32" s="210">
        <f t="shared" si="25"/>
        <v>45772.42792016633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635.52698575863838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28.245643811495039</v>
      </c>
      <c r="BU33" s="210">
        <f t="shared" si="22"/>
        <v>56.491287622990079</v>
      </c>
      <c r="BV33" s="210">
        <f t="shared" si="22"/>
        <v>84.736931434485115</v>
      </c>
      <c r="BW33" s="210">
        <f t="shared" si="22"/>
        <v>112.98257524598016</v>
      </c>
      <c r="BX33" s="210">
        <f t="shared" si="23"/>
        <v>141.22821905747517</v>
      </c>
      <c r="BY33" s="210">
        <f t="shared" si="23"/>
        <v>169.47386286897023</v>
      </c>
      <c r="BZ33" s="210">
        <f t="shared" si="23"/>
        <v>197.71950668046529</v>
      </c>
      <c r="CA33" s="210">
        <f t="shared" si="23"/>
        <v>225.96515049196032</v>
      </c>
      <c r="CB33" s="210">
        <f t="shared" si="23"/>
        <v>254.21079430345534</v>
      </c>
      <c r="CC33" s="210">
        <f t="shared" si="23"/>
        <v>282.45643811495034</v>
      </c>
      <c r="CD33" s="210">
        <f t="shared" si="23"/>
        <v>310.70208192644543</v>
      </c>
      <c r="CE33" s="210">
        <f t="shared" si="23"/>
        <v>338.94772573794046</v>
      </c>
      <c r="CF33" s="210">
        <f t="shared" si="23"/>
        <v>367.19336954943549</v>
      </c>
      <c r="CG33" s="210">
        <f t="shared" si="23"/>
        <v>395.43901336093057</v>
      </c>
      <c r="CH33" s="210">
        <f t="shared" si="24"/>
        <v>423.68465717242555</v>
      </c>
      <c r="CI33" s="210">
        <f t="shared" si="24"/>
        <v>451.93030098392063</v>
      </c>
      <c r="CJ33" s="210">
        <f t="shared" si="24"/>
        <v>480.17594479541572</v>
      </c>
      <c r="CK33" s="210">
        <f t="shared" si="24"/>
        <v>508.42158860691069</v>
      </c>
      <c r="CL33" s="210">
        <f t="shared" si="24"/>
        <v>536.66723241840577</v>
      </c>
      <c r="CM33" s="210">
        <f t="shared" si="24"/>
        <v>564.91287622990069</v>
      </c>
      <c r="CN33" s="210">
        <f t="shared" si="24"/>
        <v>593.15852004139583</v>
      </c>
      <c r="CO33" s="210">
        <f t="shared" si="24"/>
        <v>621.40416385289086</v>
      </c>
      <c r="CP33" s="210">
        <f t="shared" si="24"/>
        <v>603.75063647070647</v>
      </c>
      <c r="CQ33" s="210">
        <f t="shared" si="24"/>
        <v>540.19793789484265</v>
      </c>
      <c r="CR33" s="210">
        <f t="shared" si="25"/>
        <v>476.64523931897878</v>
      </c>
      <c r="CS33" s="210">
        <f t="shared" si="25"/>
        <v>413.09254074311491</v>
      </c>
      <c r="CT33" s="210">
        <f t="shared" si="25"/>
        <v>349.53984216725109</v>
      </c>
      <c r="CU33" s="210">
        <f t="shared" si="25"/>
        <v>285.98714359138728</v>
      </c>
      <c r="CV33" s="210">
        <f t="shared" si="25"/>
        <v>222.43444501552347</v>
      </c>
      <c r="CW33" s="210">
        <f t="shared" si="25"/>
        <v>158.88174643965965</v>
      </c>
      <c r="CX33" s="210">
        <f t="shared" si="25"/>
        <v>95.329047863795722</v>
      </c>
      <c r="CY33" s="210">
        <f t="shared" si="25"/>
        <v>31.776349287931907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3199.8561520714661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142.21582898095406</v>
      </c>
      <c r="BU34" s="210">
        <f t="shared" si="22"/>
        <v>284.43165796190812</v>
      </c>
      <c r="BV34" s="210">
        <f t="shared" si="22"/>
        <v>426.64748694286214</v>
      </c>
      <c r="BW34" s="210">
        <f t="shared" si="22"/>
        <v>568.86331592381623</v>
      </c>
      <c r="BX34" s="210">
        <f t="shared" si="23"/>
        <v>711.07914490477026</v>
      </c>
      <c r="BY34" s="210">
        <f t="shared" si="23"/>
        <v>853.29497388572429</v>
      </c>
      <c r="BZ34" s="210">
        <f t="shared" si="23"/>
        <v>995.51080286667843</v>
      </c>
      <c r="CA34" s="210">
        <f t="shared" si="23"/>
        <v>1137.7266318476325</v>
      </c>
      <c r="CB34" s="210">
        <f t="shared" si="23"/>
        <v>1279.9424608285865</v>
      </c>
      <c r="CC34" s="210">
        <f t="shared" si="23"/>
        <v>1422.1582898095405</v>
      </c>
      <c r="CD34" s="210">
        <f t="shared" si="23"/>
        <v>1564.3741187904945</v>
      </c>
      <c r="CE34" s="210">
        <f t="shared" si="23"/>
        <v>1706.5899477714486</v>
      </c>
      <c r="CF34" s="210">
        <f t="shared" si="23"/>
        <v>1848.8057767524026</v>
      </c>
      <c r="CG34" s="210">
        <f t="shared" si="23"/>
        <v>1991.0216057333569</v>
      </c>
      <c r="CH34" s="210">
        <f t="shared" si="24"/>
        <v>2133.2374347143109</v>
      </c>
      <c r="CI34" s="210">
        <f t="shared" si="24"/>
        <v>2275.4532636952649</v>
      </c>
      <c r="CJ34" s="210">
        <f t="shared" si="24"/>
        <v>2417.669092676219</v>
      </c>
      <c r="CK34" s="210">
        <f t="shared" si="24"/>
        <v>2559.884921657173</v>
      </c>
      <c r="CL34" s="210">
        <f t="shared" si="24"/>
        <v>2702.100750638127</v>
      </c>
      <c r="CM34" s="210">
        <f t="shared" si="24"/>
        <v>2844.316579619081</v>
      </c>
      <c r="CN34" s="210">
        <f t="shared" si="24"/>
        <v>2986.5324086000346</v>
      </c>
      <c r="CO34" s="210">
        <f t="shared" si="24"/>
        <v>3128.7482375809891</v>
      </c>
      <c r="CP34" s="210">
        <f t="shared" si="24"/>
        <v>3039.8633444678926</v>
      </c>
      <c r="CQ34" s="210">
        <f t="shared" si="24"/>
        <v>2719.877729260746</v>
      </c>
      <c r="CR34" s="210">
        <f t="shared" si="25"/>
        <v>2399.8921140535995</v>
      </c>
      <c r="CS34" s="210">
        <f t="shared" si="25"/>
        <v>2079.9064988464529</v>
      </c>
      <c r="CT34" s="210">
        <f t="shared" si="25"/>
        <v>1759.9208836393063</v>
      </c>
      <c r="CU34" s="210">
        <f t="shared" si="25"/>
        <v>1439.9352684321598</v>
      </c>
      <c r="CV34" s="210">
        <f t="shared" si="25"/>
        <v>1119.9496532250132</v>
      </c>
      <c r="CW34" s="210">
        <f t="shared" si="25"/>
        <v>799.96403801786664</v>
      </c>
      <c r="CX34" s="210">
        <f t="shared" si="25"/>
        <v>479.97842281072008</v>
      </c>
      <c r="CY34" s="210">
        <f t="shared" si="25"/>
        <v>159.99280760357306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1491.5874480929031</v>
      </c>
      <c r="C35" s="203">
        <f>Income!C83</f>
        <v>1491.5874480929031</v>
      </c>
      <c r="D35" s="203">
        <f>Income!D83</f>
        <v>1491.5874480929031</v>
      </c>
      <c r="E35" s="203">
        <f>Income!E83</f>
        <v>1325.855509415914</v>
      </c>
      <c r="F35" s="210">
        <f t="shared" si="16"/>
        <v>1491.5874480929031</v>
      </c>
      <c r="G35" s="210">
        <f t="shared" si="16"/>
        <v>1491.5874480929031</v>
      </c>
      <c r="H35" s="210">
        <f t="shared" si="16"/>
        <v>1491.5874480929031</v>
      </c>
      <c r="I35" s="210">
        <f t="shared" si="16"/>
        <v>1491.5874480929031</v>
      </c>
      <c r="J35" s="210">
        <f t="shared" si="16"/>
        <v>1491.5874480929031</v>
      </c>
      <c r="K35" s="210">
        <f t="shared" si="16"/>
        <v>1491.5874480929031</v>
      </c>
      <c r="L35" s="210">
        <f t="shared" si="16"/>
        <v>1491.5874480929031</v>
      </c>
      <c r="M35" s="210">
        <f t="shared" si="16"/>
        <v>1491.5874480929031</v>
      </c>
      <c r="N35" s="210">
        <f t="shared" si="16"/>
        <v>1491.5874480929031</v>
      </c>
      <c r="O35" s="210">
        <f t="shared" si="16"/>
        <v>1491.5874480929031</v>
      </c>
      <c r="P35" s="210">
        <f t="shared" si="17"/>
        <v>1491.5874480929031</v>
      </c>
      <c r="Q35" s="210">
        <f t="shared" si="17"/>
        <v>1491.5874480929031</v>
      </c>
      <c r="R35" s="210">
        <f t="shared" si="17"/>
        <v>1491.5874480929031</v>
      </c>
      <c r="S35" s="210">
        <f t="shared" si="17"/>
        <v>1491.5874480929031</v>
      </c>
      <c r="T35" s="210">
        <f t="shared" si="17"/>
        <v>1491.5874480929031</v>
      </c>
      <c r="U35" s="210">
        <f t="shared" si="17"/>
        <v>1491.5874480929031</v>
      </c>
      <c r="V35" s="210">
        <f t="shared" si="17"/>
        <v>1491.5874480929031</v>
      </c>
      <c r="W35" s="210">
        <f t="shared" si="17"/>
        <v>1491.5874480929031</v>
      </c>
      <c r="X35" s="210">
        <f t="shared" si="17"/>
        <v>1491.5874480929031</v>
      </c>
      <c r="Y35" s="210">
        <f t="shared" si="17"/>
        <v>1491.5874480929031</v>
      </c>
      <c r="Z35" s="210">
        <f t="shared" si="18"/>
        <v>1491.5874480929031</v>
      </c>
      <c r="AA35" s="210">
        <f t="shared" si="18"/>
        <v>1491.5874480929031</v>
      </c>
      <c r="AB35" s="210">
        <f t="shared" si="18"/>
        <v>1491.5874480929031</v>
      </c>
      <c r="AC35" s="210">
        <f t="shared" si="18"/>
        <v>1491.5874480929031</v>
      </c>
      <c r="AD35" s="210">
        <f t="shared" si="18"/>
        <v>1491.5874480929031</v>
      </c>
      <c r="AE35" s="210">
        <f t="shared" si="18"/>
        <v>1491.5874480929031</v>
      </c>
      <c r="AF35" s="210">
        <f t="shared" si="18"/>
        <v>1491.5874480929031</v>
      </c>
      <c r="AG35" s="210">
        <f t="shared" si="18"/>
        <v>1491.5874480929031</v>
      </c>
      <c r="AH35" s="210">
        <f t="shared" si="18"/>
        <v>1491.5874480929031</v>
      </c>
      <c r="AI35" s="210">
        <f t="shared" si="18"/>
        <v>1491.5874480929031</v>
      </c>
      <c r="AJ35" s="210">
        <f t="shared" si="19"/>
        <v>1491.5874480929031</v>
      </c>
      <c r="AK35" s="210">
        <f t="shared" si="19"/>
        <v>1491.5874480929031</v>
      </c>
      <c r="AL35" s="210">
        <f t="shared" si="19"/>
        <v>1491.5874480929031</v>
      </c>
      <c r="AM35" s="210">
        <f t="shared" si="19"/>
        <v>1491.5874480929031</v>
      </c>
      <c r="AN35" s="210">
        <f t="shared" si="19"/>
        <v>1491.5874480929031</v>
      </c>
      <c r="AO35" s="210">
        <f t="shared" si="19"/>
        <v>1491.5874480929031</v>
      </c>
      <c r="AP35" s="210">
        <f t="shared" si="19"/>
        <v>1491.5874480929031</v>
      </c>
      <c r="AQ35" s="210">
        <f t="shared" si="19"/>
        <v>1491.5874480929031</v>
      </c>
      <c r="AR35" s="210">
        <f t="shared" si="19"/>
        <v>1491.5874480929031</v>
      </c>
      <c r="AS35" s="210">
        <f t="shared" si="19"/>
        <v>1491.5874480929031</v>
      </c>
      <c r="AT35" s="210">
        <f t="shared" si="20"/>
        <v>1491.5874480929031</v>
      </c>
      <c r="AU35" s="210">
        <f t="shared" si="20"/>
        <v>1491.5874480929031</v>
      </c>
      <c r="AV35" s="210">
        <f t="shared" si="20"/>
        <v>1491.5874480929031</v>
      </c>
      <c r="AW35" s="210">
        <f t="shared" si="20"/>
        <v>1491.5874480929031</v>
      </c>
      <c r="AX35" s="210">
        <f t="shared" si="20"/>
        <v>1491.5874480929031</v>
      </c>
      <c r="AY35" s="210">
        <f t="shared" si="20"/>
        <v>1491.5874480929031</v>
      </c>
      <c r="AZ35" s="210">
        <f t="shared" si="20"/>
        <v>1491.5874480929031</v>
      </c>
      <c r="BA35" s="210">
        <f t="shared" si="20"/>
        <v>1491.5874480929031</v>
      </c>
      <c r="BB35" s="210">
        <f t="shared" si="20"/>
        <v>1491.5874480929031</v>
      </c>
      <c r="BC35" s="210">
        <f t="shared" si="20"/>
        <v>1491.5874480929031</v>
      </c>
      <c r="BD35" s="210">
        <f t="shared" si="21"/>
        <v>1491.5874480929031</v>
      </c>
      <c r="BE35" s="210">
        <f t="shared" si="21"/>
        <v>1491.5874480929031</v>
      </c>
      <c r="BF35" s="210">
        <f t="shared" si="21"/>
        <v>1491.5874480929031</v>
      </c>
      <c r="BG35" s="210">
        <f t="shared" si="21"/>
        <v>1491.5874480929031</v>
      </c>
      <c r="BH35" s="210">
        <f t="shared" si="21"/>
        <v>1491.5874480929031</v>
      </c>
      <c r="BI35" s="210">
        <f t="shared" si="21"/>
        <v>1491.5874480929031</v>
      </c>
      <c r="BJ35" s="210">
        <f t="shared" si="21"/>
        <v>1491.5874480929031</v>
      </c>
      <c r="BK35" s="210">
        <f t="shared" si="21"/>
        <v>1491.5874480929031</v>
      </c>
      <c r="BL35" s="210">
        <f t="shared" si="21"/>
        <v>1491.5874480929031</v>
      </c>
      <c r="BM35" s="210">
        <f t="shared" si="21"/>
        <v>1491.5874480929031</v>
      </c>
      <c r="BN35" s="210">
        <f t="shared" si="22"/>
        <v>1491.5874480929031</v>
      </c>
      <c r="BO35" s="210">
        <f t="shared" si="22"/>
        <v>1491.5874480929031</v>
      </c>
      <c r="BP35" s="210">
        <f t="shared" si="22"/>
        <v>1491.5874480929031</v>
      </c>
      <c r="BQ35" s="210">
        <f t="shared" si="22"/>
        <v>1491.5874480929031</v>
      </c>
      <c r="BR35" s="210">
        <f t="shared" si="22"/>
        <v>1491.5874480929031</v>
      </c>
      <c r="BS35" s="210">
        <f t="shared" si="22"/>
        <v>1491.5874480929031</v>
      </c>
      <c r="BT35" s="210">
        <f t="shared" si="22"/>
        <v>1491.5874480929031</v>
      </c>
      <c r="BU35" s="210">
        <f t="shared" si="22"/>
        <v>1491.5874480929031</v>
      </c>
      <c r="BV35" s="210">
        <f t="shared" si="22"/>
        <v>1491.5874480929031</v>
      </c>
      <c r="BW35" s="210">
        <f t="shared" si="22"/>
        <v>1491.5874480929031</v>
      </c>
      <c r="BX35" s="210">
        <f t="shared" si="23"/>
        <v>1491.5874480929031</v>
      </c>
      <c r="BY35" s="210">
        <f t="shared" si="23"/>
        <v>1491.5874480929031</v>
      </c>
      <c r="BZ35" s="210">
        <f t="shared" si="23"/>
        <v>1491.5874480929031</v>
      </c>
      <c r="CA35" s="210">
        <f t="shared" si="23"/>
        <v>1491.5874480929031</v>
      </c>
      <c r="CB35" s="210">
        <f t="shared" si="23"/>
        <v>1491.5874480929031</v>
      </c>
      <c r="CC35" s="210">
        <f t="shared" si="23"/>
        <v>1491.5874480929031</v>
      </c>
      <c r="CD35" s="210">
        <f t="shared" si="23"/>
        <v>1491.5874480929031</v>
      </c>
      <c r="CE35" s="210">
        <f t="shared" si="23"/>
        <v>1491.5874480929031</v>
      </c>
      <c r="CF35" s="210">
        <f t="shared" si="23"/>
        <v>1491.5874480929031</v>
      </c>
      <c r="CG35" s="210">
        <f t="shared" si="23"/>
        <v>1491.5874480929031</v>
      </c>
      <c r="CH35" s="210">
        <f t="shared" si="24"/>
        <v>1491.5874480929031</v>
      </c>
      <c r="CI35" s="210">
        <f t="shared" si="24"/>
        <v>1491.5874480929031</v>
      </c>
      <c r="CJ35" s="210">
        <f t="shared" si="24"/>
        <v>1491.5874480929031</v>
      </c>
      <c r="CK35" s="210">
        <f t="shared" si="24"/>
        <v>1491.5874480929031</v>
      </c>
      <c r="CL35" s="210">
        <f t="shared" si="24"/>
        <v>1491.5874480929031</v>
      </c>
      <c r="CM35" s="210">
        <f t="shared" si="24"/>
        <v>1491.5874480929031</v>
      </c>
      <c r="CN35" s="210">
        <f t="shared" si="24"/>
        <v>1491.5874480929031</v>
      </c>
      <c r="CO35" s="210">
        <f t="shared" si="24"/>
        <v>1491.5874480929031</v>
      </c>
      <c r="CP35" s="210">
        <f t="shared" si="24"/>
        <v>1483.3008511590535</v>
      </c>
      <c r="CQ35" s="210">
        <f t="shared" si="24"/>
        <v>1466.7276572913547</v>
      </c>
      <c r="CR35" s="210">
        <f t="shared" si="25"/>
        <v>1450.1544634236557</v>
      </c>
      <c r="CS35" s="210">
        <f t="shared" si="25"/>
        <v>1433.5812695559569</v>
      </c>
      <c r="CT35" s="210">
        <f t="shared" si="25"/>
        <v>1417.008075688258</v>
      </c>
      <c r="CU35" s="210">
        <f t="shared" si="25"/>
        <v>1400.434881820559</v>
      </c>
      <c r="CV35" s="210">
        <f t="shared" si="25"/>
        <v>1383.8616879528602</v>
      </c>
      <c r="CW35" s="210">
        <f t="shared" si="25"/>
        <v>1367.2884940851613</v>
      </c>
      <c r="CX35" s="210">
        <f t="shared" si="25"/>
        <v>1350.7153002174623</v>
      </c>
      <c r="CY35" s="210">
        <f t="shared" si="25"/>
        <v>1334.1421063497635</v>
      </c>
      <c r="CZ35" s="210">
        <f t="shared" si="25"/>
        <v>1325.855509415914</v>
      </c>
      <c r="DA35" s="210">
        <f t="shared" si="25"/>
        <v>1325.855509415914</v>
      </c>
    </row>
    <row r="36" spans="1:105">
      <c r="A36" s="201" t="str">
        <f>Income!A85</f>
        <v>Cash transfer - official</v>
      </c>
      <c r="B36" s="203">
        <f>Income!B85</f>
        <v>32620.755772506334</v>
      </c>
      <c r="C36" s="203">
        <f>Income!C85</f>
        <v>32620.755772506334</v>
      </c>
      <c r="D36" s="203">
        <f>Income!D85</f>
        <v>32620.755772506334</v>
      </c>
      <c r="E36" s="203">
        <f>Income!E85</f>
        <v>8114.2031313022126</v>
      </c>
      <c r="F36" s="210">
        <f t="shared" si="16"/>
        <v>32620.755772506334</v>
      </c>
      <c r="G36" s="210">
        <f t="shared" si="16"/>
        <v>32620.755772506334</v>
      </c>
      <c r="H36" s="210">
        <f t="shared" si="16"/>
        <v>32620.755772506334</v>
      </c>
      <c r="I36" s="210">
        <f t="shared" si="16"/>
        <v>32620.755772506334</v>
      </c>
      <c r="J36" s="210">
        <f t="shared" si="16"/>
        <v>32620.755772506334</v>
      </c>
      <c r="K36" s="210">
        <f t="shared" si="16"/>
        <v>32620.755772506334</v>
      </c>
      <c r="L36" s="210">
        <f t="shared" si="16"/>
        <v>32620.755772506334</v>
      </c>
      <c r="M36" s="210">
        <f t="shared" si="16"/>
        <v>32620.755772506334</v>
      </c>
      <c r="N36" s="210">
        <f t="shared" si="16"/>
        <v>32620.755772506334</v>
      </c>
      <c r="O36" s="210">
        <f t="shared" si="16"/>
        <v>32620.755772506334</v>
      </c>
      <c r="P36" s="210">
        <f t="shared" si="16"/>
        <v>32620.755772506334</v>
      </c>
      <c r="Q36" s="210">
        <f t="shared" si="16"/>
        <v>32620.755772506334</v>
      </c>
      <c r="R36" s="210">
        <f t="shared" si="16"/>
        <v>32620.755772506334</v>
      </c>
      <c r="S36" s="210">
        <f t="shared" si="16"/>
        <v>32620.755772506334</v>
      </c>
      <c r="T36" s="210">
        <f t="shared" si="16"/>
        <v>32620.755772506334</v>
      </c>
      <c r="U36" s="210">
        <f t="shared" si="16"/>
        <v>32620.755772506334</v>
      </c>
      <c r="V36" s="210">
        <f t="shared" si="17"/>
        <v>32620.755772506334</v>
      </c>
      <c r="W36" s="210">
        <f t="shared" si="17"/>
        <v>32620.755772506334</v>
      </c>
      <c r="X36" s="210">
        <f t="shared" si="17"/>
        <v>32620.755772506334</v>
      </c>
      <c r="Y36" s="210">
        <f t="shared" si="17"/>
        <v>32620.755772506334</v>
      </c>
      <c r="Z36" s="210">
        <f t="shared" si="17"/>
        <v>32620.755772506334</v>
      </c>
      <c r="AA36" s="210">
        <f t="shared" si="17"/>
        <v>32620.755772506334</v>
      </c>
      <c r="AB36" s="210">
        <f t="shared" si="17"/>
        <v>32620.755772506334</v>
      </c>
      <c r="AC36" s="210">
        <f t="shared" si="17"/>
        <v>32620.755772506334</v>
      </c>
      <c r="AD36" s="210">
        <f t="shared" si="17"/>
        <v>32620.755772506334</v>
      </c>
      <c r="AE36" s="210">
        <f t="shared" si="17"/>
        <v>32620.755772506334</v>
      </c>
      <c r="AF36" s="210">
        <f t="shared" si="18"/>
        <v>32620.755772506334</v>
      </c>
      <c r="AG36" s="210">
        <f t="shared" si="18"/>
        <v>32620.755772506334</v>
      </c>
      <c r="AH36" s="210">
        <f t="shared" si="18"/>
        <v>32620.755772506334</v>
      </c>
      <c r="AI36" s="210">
        <f t="shared" si="18"/>
        <v>32620.755772506334</v>
      </c>
      <c r="AJ36" s="210">
        <f t="shared" si="18"/>
        <v>32620.755772506334</v>
      </c>
      <c r="AK36" s="210">
        <f t="shared" si="18"/>
        <v>32620.755772506334</v>
      </c>
      <c r="AL36" s="210">
        <f t="shared" si="18"/>
        <v>32620.755772506334</v>
      </c>
      <c r="AM36" s="210">
        <f t="shared" si="18"/>
        <v>32620.755772506334</v>
      </c>
      <c r="AN36" s="210">
        <f t="shared" si="18"/>
        <v>32620.755772506334</v>
      </c>
      <c r="AO36" s="210">
        <f t="shared" si="18"/>
        <v>32620.755772506334</v>
      </c>
      <c r="AP36" s="210">
        <f t="shared" si="19"/>
        <v>32620.755772506334</v>
      </c>
      <c r="AQ36" s="210">
        <f t="shared" si="19"/>
        <v>32620.755772506334</v>
      </c>
      <c r="AR36" s="210">
        <f t="shared" si="19"/>
        <v>32620.755772506334</v>
      </c>
      <c r="AS36" s="210">
        <f t="shared" si="19"/>
        <v>32620.755772506334</v>
      </c>
      <c r="AT36" s="210">
        <f t="shared" si="19"/>
        <v>32620.755772506334</v>
      </c>
      <c r="AU36" s="210">
        <f t="shared" si="19"/>
        <v>32620.755772506334</v>
      </c>
      <c r="AV36" s="210">
        <f t="shared" si="19"/>
        <v>32620.755772506334</v>
      </c>
      <c r="AW36" s="210">
        <f t="shared" si="19"/>
        <v>32620.755772506334</v>
      </c>
      <c r="AX36" s="210">
        <f t="shared" si="19"/>
        <v>32620.755772506334</v>
      </c>
      <c r="AY36" s="210">
        <f t="shared" si="19"/>
        <v>32620.755772506334</v>
      </c>
      <c r="AZ36" s="210">
        <f t="shared" si="20"/>
        <v>32620.755772506334</v>
      </c>
      <c r="BA36" s="210">
        <f t="shared" si="20"/>
        <v>32620.755772506334</v>
      </c>
      <c r="BB36" s="210">
        <f t="shared" si="20"/>
        <v>32620.755772506334</v>
      </c>
      <c r="BC36" s="210">
        <f t="shared" si="20"/>
        <v>32620.755772506334</v>
      </c>
      <c r="BD36" s="210">
        <f t="shared" si="20"/>
        <v>32620.755772506334</v>
      </c>
      <c r="BE36" s="210">
        <f t="shared" si="20"/>
        <v>32620.755772506334</v>
      </c>
      <c r="BF36" s="210">
        <f t="shared" si="20"/>
        <v>32620.755772506334</v>
      </c>
      <c r="BG36" s="210">
        <f t="shared" si="20"/>
        <v>32620.755772506334</v>
      </c>
      <c r="BH36" s="210">
        <f t="shared" si="20"/>
        <v>32620.755772506334</v>
      </c>
      <c r="BI36" s="210">
        <f t="shared" si="20"/>
        <v>32620.755772506334</v>
      </c>
      <c r="BJ36" s="210">
        <f t="shared" si="21"/>
        <v>32620.755772506334</v>
      </c>
      <c r="BK36" s="210">
        <f t="shared" si="21"/>
        <v>32620.755772506334</v>
      </c>
      <c r="BL36" s="210">
        <f t="shared" si="21"/>
        <v>32620.755772506334</v>
      </c>
      <c r="BM36" s="210">
        <f t="shared" si="21"/>
        <v>32620.755772506334</v>
      </c>
      <c r="BN36" s="210">
        <f t="shared" si="21"/>
        <v>32620.755772506334</v>
      </c>
      <c r="BO36" s="210">
        <f t="shared" si="21"/>
        <v>32620.755772506334</v>
      </c>
      <c r="BP36" s="210">
        <f t="shared" si="21"/>
        <v>32620.755772506334</v>
      </c>
      <c r="BQ36" s="210">
        <f t="shared" si="21"/>
        <v>32620.755772506334</v>
      </c>
      <c r="BR36" s="210">
        <f t="shared" si="21"/>
        <v>32620.755772506334</v>
      </c>
      <c r="BS36" s="210">
        <f t="shared" si="21"/>
        <v>32620.755772506334</v>
      </c>
      <c r="BT36" s="210">
        <f t="shared" si="22"/>
        <v>32620.755772506334</v>
      </c>
      <c r="BU36" s="210">
        <f t="shared" si="22"/>
        <v>32620.755772506334</v>
      </c>
      <c r="BV36" s="210">
        <f t="shared" si="22"/>
        <v>32620.755772506334</v>
      </c>
      <c r="BW36" s="210">
        <f t="shared" si="22"/>
        <v>32620.755772506334</v>
      </c>
      <c r="BX36" s="210">
        <f t="shared" si="22"/>
        <v>32620.755772506334</v>
      </c>
      <c r="BY36" s="210">
        <f t="shared" si="22"/>
        <v>32620.755772506334</v>
      </c>
      <c r="BZ36" s="210">
        <f t="shared" si="22"/>
        <v>32620.755772506334</v>
      </c>
      <c r="CA36" s="210">
        <f t="shared" si="22"/>
        <v>32620.755772506334</v>
      </c>
      <c r="CB36" s="210">
        <f t="shared" si="22"/>
        <v>32620.755772506334</v>
      </c>
      <c r="CC36" s="210">
        <f t="shared" si="22"/>
        <v>32620.755772506334</v>
      </c>
      <c r="CD36" s="210">
        <f t="shared" si="23"/>
        <v>32620.755772506334</v>
      </c>
      <c r="CE36" s="210">
        <f t="shared" si="23"/>
        <v>32620.755772506334</v>
      </c>
      <c r="CF36" s="210">
        <f t="shared" si="23"/>
        <v>32620.755772506334</v>
      </c>
      <c r="CG36" s="210">
        <f t="shared" si="23"/>
        <v>32620.755772506334</v>
      </c>
      <c r="CH36" s="210">
        <f t="shared" si="23"/>
        <v>32620.755772506334</v>
      </c>
      <c r="CI36" s="210">
        <f t="shared" si="23"/>
        <v>32620.755772506334</v>
      </c>
      <c r="CJ36" s="210">
        <f t="shared" si="23"/>
        <v>32620.755772506334</v>
      </c>
      <c r="CK36" s="210">
        <f t="shared" si="23"/>
        <v>32620.755772506334</v>
      </c>
      <c r="CL36" s="210">
        <f t="shared" si="23"/>
        <v>32620.755772506334</v>
      </c>
      <c r="CM36" s="210">
        <f t="shared" si="23"/>
        <v>32620.755772506334</v>
      </c>
      <c r="CN36" s="210">
        <f t="shared" si="24"/>
        <v>32620.755772506334</v>
      </c>
      <c r="CO36" s="210">
        <f t="shared" si="24"/>
        <v>32620.755772506334</v>
      </c>
      <c r="CP36" s="210">
        <f t="shared" si="24"/>
        <v>31395.428140446129</v>
      </c>
      <c r="CQ36" s="210">
        <f t="shared" si="24"/>
        <v>28944.772876325715</v>
      </c>
      <c r="CR36" s="210">
        <f t="shared" si="24"/>
        <v>26494.117612205304</v>
      </c>
      <c r="CS36" s="210">
        <f t="shared" si="24"/>
        <v>24043.46234808489</v>
      </c>
      <c r="CT36" s="210">
        <f t="shared" si="24"/>
        <v>21592.807083964479</v>
      </c>
      <c r="CU36" s="210">
        <f t="shared" si="24"/>
        <v>19142.151819844068</v>
      </c>
      <c r="CV36" s="210">
        <f t="shared" si="24"/>
        <v>16691.496555723657</v>
      </c>
      <c r="CW36" s="210">
        <f t="shared" si="24"/>
        <v>14240.841291603243</v>
      </c>
      <c r="CX36" s="210">
        <f t="shared" si="25"/>
        <v>11790.186027482832</v>
      </c>
      <c r="CY36" s="210">
        <f t="shared" si="25"/>
        <v>9339.5307633624179</v>
      </c>
      <c r="CZ36" s="210">
        <f t="shared" si="25"/>
        <v>8114.2031313022126</v>
      </c>
      <c r="DA36" s="210">
        <f t="shared" si="25"/>
        <v>8114.2031313022126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38348.619717625661</v>
      </c>
      <c r="C38" s="203">
        <f>Income!C88</f>
        <v>43496.650878333683</v>
      </c>
      <c r="D38" s="203">
        <f>Income!D88</f>
        <v>59884.557961247614</v>
      </c>
      <c r="E38" s="203">
        <f>Income!E88</f>
        <v>86612.133908328629</v>
      </c>
      <c r="F38" s="204">
        <f t="shared" ref="F38:AK38" si="26">SUM(F25:F37)</f>
        <v>38348.619717625661</v>
      </c>
      <c r="G38" s="204">
        <f t="shared" si="26"/>
        <v>38348.619717625661</v>
      </c>
      <c r="H38" s="204">
        <f t="shared" si="26"/>
        <v>38348.619717625661</v>
      </c>
      <c r="I38" s="204">
        <f t="shared" si="26"/>
        <v>38348.619717625661</v>
      </c>
      <c r="J38" s="204">
        <f t="shared" si="26"/>
        <v>38348.619717625661</v>
      </c>
      <c r="K38" s="204">
        <f t="shared" si="26"/>
        <v>38348.619717625661</v>
      </c>
      <c r="L38" s="204">
        <f t="shared" si="26"/>
        <v>38348.619717625661</v>
      </c>
      <c r="M38" s="204">
        <f t="shared" si="26"/>
        <v>38348.619717625661</v>
      </c>
      <c r="N38" s="204">
        <f t="shared" si="26"/>
        <v>38348.619717625661</v>
      </c>
      <c r="O38" s="204">
        <f t="shared" si="26"/>
        <v>38348.619717625661</v>
      </c>
      <c r="P38" s="204">
        <f t="shared" si="26"/>
        <v>38348.619717625661</v>
      </c>
      <c r="Q38" s="204">
        <f t="shared" si="26"/>
        <v>38348.619717625661</v>
      </c>
      <c r="R38" s="204">
        <f t="shared" si="26"/>
        <v>38348.619717625661</v>
      </c>
      <c r="S38" s="204">
        <f t="shared" si="26"/>
        <v>38348.619717625661</v>
      </c>
      <c r="T38" s="204">
        <f t="shared" si="26"/>
        <v>38348.619717625661</v>
      </c>
      <c r="U38" s="204">
        <f t="shared" si="26"/>
        <v>38348.619717625661</v>
      </c>
      <c r="V38" s="204">
        <f t="shared" si="26"/>
        <v>38348.619717625661</v>
      </c>
      <c r="W38" s="204">
        <f t="shared" si="26"/>
        <v>38348.619717625661</v>
      </c>
      <c r="X38" s="204">
        <f t="shared" si="26"/>
        <v>38348.619717625661</v>
      </c>
      <c r="Y38" s="204">
        <f t="shared" si="26"/>
        <v>38348.619717625661</v>
      </c>
      <c r="Z38" s="204">
        <f t="shared" si="26"/>
        <v>38348.619717625661</v>
      </c>
      <c r="AA38" s="204">
        <f t="shared" si="26"/>
        <v>38348.619717625661</v>
      </c>
      <c r="AB38" s="204">
        <f t="shared" si="26"/>
        <v>38348.619717625661</v>
      </c>
      <c r="AC38" s="204">
        <f t="shared" si="26"/>
        <v>38348.619717625661</v>
      </c>
      <c r="AD38" s="204">
        <f t="shared" si="26"/>
        <v>38348.619717625661</v>
      </c>
      <c r="AE38" s="204">
        <f t="shared" si="26"/>
        <v>38348.619717625661</v>
      </c>
      <c r="AF38" s="204">
        <f t="shared" si="26"/>
        <v>38477.320496643362</v>
      </c>
      <c r="AG38" s="204">
        <f t="shared" si="26"/>
        <v>38606.021275661056</v>
      </c>
      <c r="AH38" s="204">
        <f t="shared" si="26"/>
        <v>38734.722054678758</v>
      </c>
      <c r="AI38" s="204">
        <f t="shared" si="26"/>
        <v>38863.422833696459</v>
      </c>
      <c r="AJ38" s="204">
        <f t="shared" si="26"/>
        <v>38992.12361271416</v>
      </c>
      <c r="AK38" s="204">
        <f t="shared" si="26"/>
        <v>39120.824391731861</v>
      </c>
      <c r="AL38" s="204">
        <f t="shared" ref="AL38:BQ38" si="27">SUM(AL25:AL37)</f>
        <v>39249.525170749563</v>
      </c>
      <c r="AM38" s="204">
        <f t="shared" si="27"/>
        <v>39378.225949767264</v>
      </c>
      <c r="AN38" s="204">
        <f t="shared" si="27"/>
        <v>39506.926728784965</v>
      </c>
      <c r="AO38" s="204">
        <f t="shared" si="27"/>
        <v>39635.627507802667</v>
      </c>
      <c r="AP38" s="204">
        <f t="shared" si="27"/>
        <v>39764.328286820368</v>
      </c>
      <c r="AQ38" s="204">
        <f t="shared" si="27"/>
        <v>39893.029065838069</v>
      </c>
      <c r="AR38" s="204">
        <f t="shared" si="27"/>
        <v>40021.72984485577</v>
      </c>
      <c r="AS38" s="204">
        <f t="shared" si="27"/>
        <v>40150.430623873472</v>
      </c>
      <c r="AT38" s="204">
        <f t="shared" si="27"/>
        <v>40279.131402891166</v>
      </c>
      <c r="AU38" s="204">
        <f t="shared" si="27"/>
        <v>40407.832181908867</v>
      </c>
      <c r="AV38" s="204">
        <f t="shared" si="27"/>
        <v>40536.532960926568</v>
      </c>
      <c r="AW38" s="204">
        <f t="shared" si="27"/>
        <v>40665.233739944269</v>
      </c>
      <c r="AX38" s="204">
        <f t="shared" si="27"/>
        <v>40793.934518961971</v>
      </c>
      <c r="AY38" s="204">
        <f t="shared" si="27"/>
        <v>40922.635297979672</v>
      </c>
      <c r="AZ38" s="204">
        <f t="shared" si="27"/>
        <v>41051.336076997373</v>
      </c>
      <c r="BA38" s="204">
        <f t="shared" si="27"/>
        <v>41180.036856015075</v>
      </c>
      <c r="BB38" s="204">
        <f t="shared" si="27"/>
        <v>41308.737635032776</v>
      </c>
      <c r="BC38" s="204">
        <f t="shared" si="27"/>
        <v>41437.43841405047</v>
      </c>
      <c r="BD38" s="204">
        <f t="shared" si="27"/>
        <v>41566.139193068171</v>
      </c>
      <c r="BE38" s="204">
        <f t="shared" si="27"/>
        <v>41694.839972085872</v>
      </c>
      <c r="BF38" s="204">
        <f t="shared" si="27"/>
        <v>41823.540751103574</v>
      </c>
      <c r="BG38" s="204">
        <f t="shared" si="27"/>
        <v>41952.241530121275</v>
      </c>
      <c r="BH38" s="204">
        <f t="shared" si="27"/>
        <v>42080.942309138976</v>
      </c>
      <c r="BI38" s="204">
        <f t="shared" si="27"/>
        <v>42209.643088156678</v>
      </c>
      <c r="BJ38" s="204">
        <f t="shared" si="27"/>
        <v>42338.343867174379</v>
      </c>
      <c r="BK38" s="204">
        <f t="shared" si="27"/>
        <v>42467.04464619208</v>
      </c>
      <c r="BL38" s="204">
        <f t="shared" si="27"/>
        <v>42595.745425209781</v>
      </c>
      <c r="BM38" s="204">
        <f t="shared" si="27"/>
        <v>42724.446204227483</v>
      </c>
      <c r="BN38" s="204">
        <f t="shared" si="27"/>
        <v>42853.146983245184</v>
      </c>
      <c r="BO38" s="204">
        <f t="shared" si="27"/>
        <v>42981.847762262885</v>
      </c>
      <c r="BP38" s="204">
        <f t="shared" si="27"/>
        <v>43110.548541280587</v>
      </c>
      <c r="BQ38" s="204">
        <f t="shared" si="27"/>
        <v>43239.249320298288</v>
      </c>
      <c r="BR38" s="204">
        <f t="shared" ref="BR38:CW38" si="28">SUM(BR25:BR37)</f>
        <v>43367.950099315982</v>
      </c>
      <c r="BS38" s="204">
        <f t="shared" si="28"/>
        <v>43496.650878333683</v>
      </c>
      <c r="BT38" s="204">
        <f t="shared" si="28"/>
        <v>44072.5302278772</v>
      </c>
      <c r="BU38" s="204">
        <f t="shared" si="28"/>
        <v>44648.409577420716</v>
      </c>
      <c r="BV38" s="204">
        <f t="shared" si="28"/>
        <v>45224.288926964233</v>
      </c>
      <c r="BW38" s="204">
        <f t="shared" si="28"/>
        <v>45800.168276507749</v>
      </c>
      <c r="BX38" s="204">
        <f t="shared" si="28"/>
        <v>46376.047626051266</v>
      </c>
      <c r="BY38" s="204">
        <f t="shared" si="28"/>
        <v>46951.926975594783</v>
      </c>
      <c r="BZ38" s="204">
        <f t="shared" si="28"/>
        <v>47527.806325138299</v>
      </c>
      <c r="CA38" s="204">
        <f t="shared" si="28"/>
        <v>48103.685674681816</v>
      </c>
      <c r="CB38" s="204">
        <f t="shared" si="28"/>
        <v>48679.565024225332</v>
      </c>
      <c r="CC38" s="204">
        <f t="shared" si="28"/>
        <v>49255.444373768842</v>
      </c>
      <c r="CD38" s="204">
        <f t="shared" si="28"/>
        <v>49831.323723312365</v>
      </c>
      <c r="CE38" s="204">
        <f t="shared" si="28"/>
        <v>50407.203072855875</v>
      </c>
      <c r="CF38" s="204">
        <f t="shared" si="28"/>
        <v>50983.082422399391</v>
      </c>
      <c r="CG38" s="204">
        <f t="shared" si="28"/>
        <v>51558.961771942908</v>
      </c>
      <c r="CH38" s="204">
        <f t="shared" si="28"/>
        <v>52134.841121486425</v>
      </c>
      <c r="CI38" s="204">
        <f t="shared" si="28"/>
        <v>52710.720471029941</v>
      </c>
      <c r="CJ38" s="204">
        <f t="shared" si="28"/>
        <v>53286.599820573465</v>
      </c>
      <c r="CK38" s="204">
        <f t="shared" si="28"/>
        <v>53862.479170116974</v>
      </c>
      <c r="CL38" s="204">
        <f t="shared" si="28"/>
        <v>54438.358519660491</v>
      </c>
      <c r="CM38" s="204">
        <f t="shared" si="28"/>
        <v>55014.237869204007</v>
      </c>
      <c r="CN38" s="204">
        <f t="shared" si="28"/>
        <v>55590.117218747524</v>
      </c>
      <c r="CO38" s="204">
        <f t="shared" si="28"/>
        <v>56165.996568291041</v>
      </c>
      <c r="CP38" s="204">
        <f t="shared" si="28"/>
        <v>57912.28586340115</v>
      </c>
      <c r="CQ38" s="204">
        <f t="shared" si="28"/>
        <v>60828.985104077859</v>
      </c>
      <c r="CR38" s="204">
        <f t="shared" si="28"/>
        <v>63745.684344754569</v>
      </c>
      <c r="CS38" s="204">
        <f t="shared" si="28"/>
        <v>66662.383585431293</v>
      </c>
      <c r="CT38" s="204">
        <f t="shared" si="28"/>
        <v>69579.082826108002</v>
      </c>
      <c r="CU38" s="204">
        <f t="shared" si="28"/>
        <v>72495.782066784712</v>
      </c>
      <c r="CV38" s="204">
        <f t="shared" si="28"/>
        <v>75412.481307461421</v>
      </c>
      <c r="CW38" s="204">
        <f t="shared" si="28"/>
        <v>78329.180548138131</v>
      </c>
      <c r="CX38" s="204">
        <f>SUM(CX25:CX37)</f>
        <v>81245.879788814855</v>
      </c>
      <c r="CY38" s="204">
        <f>SUM(CY25:CY37)</f>
        <v>84162.579029491564</v>
      </c>
      <c r="CZ38" s="204">
        <f>SUM(CZ25:CZ37)</f>
        <v>85620.928649829919</v>
      </c>
      <c r="DA38" s="204">
        <f>SUM(DA25:DA37)</f>
        <v>85620.928649829919</v>
      </c>
    </row>
    <row r="39" spans="1:105">
      <c r="A39" s="201" t="str">
        <f>Income!A89</f>
        <v>Food Poverty line</v>
      </c>
      <c r="B39" s="203">
        <f>Income!B89</f>
        <v>29831.109022148565</v>
      </c>
      <c r="C39" s="203">
        <f>Income!C89</f>
        <v>29831.109022148565</v>
      </c>
      <c r="D39" s="203">
        <f>Income!D89</f>
        <v>29831.109022148565</v>
      </c>
      <c r="E39" s="203">
        <f>Income!E89</f>
        <v>29831.109022148568</v>
      </c>
      <c r="F39" s="204">
        <f t="shared" ref="F39:U39" si="29">IF(F$2&lt;=($B$2+$C$2+$D$2),IF(F$2&lt;=($B$2+$C$2),IF(F$2&lt;=$B$2,$B39,$C39),$D39),$E39)</f>
        <v>29831.109022148565</v>
      </c>
      <c r="G39" s="204">
        <f t="shared" si="29"/>
        <v>29831.109022148565</v>
      </c>
      <c r="H39" s="204">
        <f t="shared" si="29"/>
        <v>29831.109022148565</v>
      </c>
      <c r="I39" s="204">
        <f t="shared" si="29"/>
        <v>29831.109022148565</v>
      </c>
      <c r="J39" s="204">
        <f t="shared" si="29"/>
        <v>29831.109022148565</v>
      </c>
      <c r="K39" s="204">
        <f t="shared" si="29"/>
        <v>29831.109022148565</v>
      </c>
      <c r="L39" s="204">
        <f t="shared" si="29"/>
        <v>29831.109022148565</v>
      </c>
      <c r="M39" s="204">
        <f t="shared" si="29"/>
        <v>29831.109022148565</v>
      </c>
      <c r="N39" s="204">
        <f t="shared" si="29"/>
        <v>29831.109022148565</v>
      </c>
      <c r="O39" s="204">
        <f t="shared" si="29"/>
        <v>29831.109022148565</v>
      </c>
      <c r="P39" s="204">
        <f t="shared" si="29"/>
        <v>29831.109022148565</v>
      </c>
      <c r="Q39" s="204">
        <f t="shared" si="29"/>
        <v>29831.109022148565</v>
      </c>
      <c r="R39" s="204">
        <f t="shared" si="29"/>
        <v>29831.109022148565</v>
      </c>
      <c r="S39" s="204">
        <f t="shared" si="29"/>
        <v>29831.109022148565</v>
      </c>
      <c r="T39" s="204">
        <f t="shared" si="29"/>
        <v>29831.109022148565</v>
      </c>
      <c r="U39" s="204">
        <f t="shared" si="29"/>
        <v>29831.109022148565</v>
      </c>
      <c r="V39" s="204">
        <f t="shared" ref="V39:AK40" si="30">IF(V$2&lt;=($B$2+$C$2+$D$2),IF(V$2&lt;=($B$2+$C$2),IF(V$2&lt;=$B$2,$B39,$C39),$D39),$E39)</f>
        <v>29831.109022148565</v>
      </c>
      <c r="W39" s="204">
        <f t="shared" si="30"/>
        <v>29831.109022148565</v>
      </c>
      <c r="X39" s="204">
        <f t="shared" si="30"/>
        <v>29831.109022148565</v>
      </c>
      <c r="Y39" s="204">
        <f t="shared" si="30"/>
        <v>29831.109022148565</v>
      </c>
      <c r="Z39" s="204">
        <f t="shared" si="30"/>
        <v>29831.109022148565</v>
      </c>
      <c r="AA39" s="204">
        <f t="shared" si="30"/>
        <v>29831.109022148565</v>
      </c>
      <c r="AB39" s="204">
        <f t="shared" si="30"/>
        <v>29831.109022148565</v>
      </c>
      <c r="AC39" s="204">
        <f t="shared" si="30"/>
        <v>29831.109022148565</v>
      </c>
      <c r="AD39" s="204">
        <f t="shared" si="30"/>
        <v>29831.109022148565</v>
      </c>
      <c r="AE39" s="204">
        <f t="shared" si="30"/>
        <v>29831.109022148565</v>
      </c>
      <c r="AF39" s="204">
        <f t="shared" si="30"/>
        <v>29831.109022148565</v>
      </c>
      <c r="AG39" s="204">
        <f t="shared" si="30"/>
        <v>29831.109022148565</v>
      </c>
      <c r="AH39" s="204">
        <f t="shared" si="30"/>
        <v>29831.109022148565</v>
      </c>
      <c r="AI39" s="204">
        <f t="shared" si="30"/>
        <v>29831.109022148565</v>
      </c>
      <c r="AJ39" s="204">
        <f t="shared" si="30"/>
        <v>29831.109022148565</v>
      </c>
      <c r="AK39" s="204">
        <f t="shared" si="30"/>
        <v>29831.109022148565</v>
      </c>
      <c r="AL39" s="204">
        <f t="shared" ref="AL39:BA40" si="31">IF(AL$2&lt;=($B$2+$C$2+$D$2),IF(AL$2&lt;=($B$2+$C$2),IF(AL$2&lt;=$B$2,$B39,$C39),$D39),$E39)</f>
        <v>29831.109022148565</v>
      </c>
      <c r="AM39" s="204">
        <f t="shared" si="31"/>
        <v>29831.109022148565</v>
      </c>
      <c r="AN39" s="204">
        <f t="shared" si="31"/>
        <v>29831.109022148565</v>
      </c>
      <c r="AO39" s="204">
        <f t="shared" si="31"/>
        <v>29831.109022148565</v>
      </c>
      <c r="AP39" s="204">
        <f t="shared" si="31"/>
        <v>29831.109022148565</v>
      </c>
      <c r="AQ39" s="204">
        <f t="shared" si="31"/>
        <v>29831.109022148565</v>
      </c>
      <c r="AR39" s="204">
        <f t="shared" si="31"/>
        <v>29831.109022148565</v>
      </c>
      <c r="AS39" s="204">
        <f t="shared" si="31"/>
        <v>29831.109022148565</v>
      </c>
      <c r="AT39" s="204">
        <f t="shared" si="31"/>
        <v>29831.109022148565</v>
      </c>
      <c r="AU39" s="204">
        <f t="shared" si="31"/>
        <v>29831.109022148565</v>
      </c>
      <c r="AV39" s="204">
        <f t="shared" si="31"/>
        <v>29831.109022148565</v>
      </c>
      <c r="AW39" s="204">
        <f t="shared" si="31"/>
        <v>29831.109022148565</v>
      </c>
      <c r="AX39" s="204">
        <f t="shared" si="31"/>
        <v>29831.109022148565</v>
      </c>
      <c r="AY39" s="204">
        <f t="shared" si="31"/>
        <v>29831.109022148565</v>
      </c>
      <c r="AZ39" s="204">
        <f t="shared" si="31"/>
        <v>29831.109022148565</v>
      </c>
      <c r="BA39" s="204">
        <f t="shared" si="31"/>
        <v>29831.109022148565</v>
      </c>
      <c r="BB39" s="204">
        <f t="shared" ref="BB39:CD40" si="32">IF(BB$2&lt;=($B$2+$C$2+$D$2),IF(BB$2&lt;=($B$2+$C$2),IF(BB$2&lt;=$B$2,$B39,$C39),$D39),$E39)</f>
        <v>29831.109022148565</v>
      </c>
      <c r="BC39" s="204">
        <f t="shared" si="32"/>
        <v>29831.109022148565</v>
      </c>
      <c r="BD39" s="204">
        <f t="shared" si="32"/>
        <v>29831.109022148565</v>
      </c>
      <c r="BE39" s="204">
        <f t="shared" si="32"/>
        <v>29831.109022148565</v>
      </c>
      <c r="BF39" s="204">
        <f t="shared" si="32"/>
        <v>29831.109022148565</v>
      </c>
      <c r="BG39" s="204">
        <f t="shared" si="32"/>
        <v>29831.109022148565</v>
      </c>
      <c r="BH39" s="204">
        <f t="shared" si="32"/>
        <v>29831.109022148565</v>
      </c>
      <c r="BI39" s="204">
        <f t="shared" si="32"/>
        <v>29831.109022148565</v>
      </c>
      <c r="BJ39" s="204">
        <f t="shared" si="32"/>
        <v>29831.109022148565</v>
      </c>
      <c r="BK39" s="204">
        <f t="shared" si="32"/>
        <v>29831.109022148565</v>
      </c>
      <c r="BL39" s="204">
        <f t="shared" si="32"/>
        <v>29831.109022148565</v>
      </c>
      <c r="BM39" s="204">
        <f t="shared" si="32"/>
        <v>29831.109022148565</v>
      </c>
      <c r="BN39" s="204">
        <f t="shared" si="32"/>
        <v>29831.109022148565</v>
      </c>
      <c r="BO39" s="204">
        <f t="shared" si="32"/>
        <v>29831.109022148565</v>
      </c>
      <c r="BP39" s="204">
        <f t="shared" si="32"/>
        <v>29831.109022148565</v>
      </c>
      <c r="BQ39" s="204">
        <f t="shared" si="32"/>
        <v>29831.109022148565</v>
      </c>
      <c r="BR39" s="204">
        <f t="shared" si="32"/>
        <v>29831.109022148565</v>
      </c>
      <c r="BS39" s="204">
        <f t="shared" si="32"/>
        <v>29831.109022148565</v>
      </c>
      <c r="BT39" s="204">
        <f t="shared" si="32"/>
        <v>29831.109022148565</v>
      </c>
      <c r="BU39" s="204">
        <f t="shared" si="32"/>
        <v>29831.109022148565</v>
      </c>
      <c r="BV39" s="204">
        <f t="shared" si="32"/>
        <v>29831.109022148565</v>
      </c>
      <c r="BW39" s="204">
        <f t="shared" si="32"/>
        <v>29831.109022148565</v>
      </c>
      <c r="BX39" s="204">
        <f t="shared" si="32"/>
        <v>29831.109022148565</v>
      </c>
      <c r="BY39" s="204">
        <f t="shared" si="32"/>
        <v>29831.109022148565</v>
      </c>
      <c r="BZ39" s="204">
        <f t="shared" si="32"/>
        <v>29831.109022148565</v>
      </c>
      <c r="CA39" s="204">
        <f t="shared" si="32"/>
        <v>29831.109022148565</v>
      </c>
      <c r="CB39" s="204">
        <f t="shared" si="32"/>
        <v>29831.109022148565</v>
      </c>
      <c r="CC39" s="204">
        <f t="shared" si="32"/>
        <v>29831.109022148565</v>
      </c>
      <c r="CD39" s="204">
        <f t="shared" si="32"/>
        <v>29831.109022148565</v>
      </c>
      <c r="CE39" s="204">
        <f t="shared" ref="CE39:CR40" si="33">IF(CE$2&lt;=($B$2+$C$2+$D$2),IF(CE$2&lt;=($B$2+$C$2),IF(CE$2&lt;=$B$2,$B39,$C39),$D39),$E39)</f>
        <v>29831.109022148565</v>
      </c>
      <c r="CF39" s="204">
        <f t="shared" si="33"/>
        <v>29831.109022148565</v>
      </c>
      <c r="CG39" s="204">
        <f t="shared" si="33"/>
        <v>29831.109022148565</v>
      </c>
      <c r="CH39" s="204">
        <f t="shared" si="33"/>
        <v>29831.109022148565</v>
      </c>
      <c r="CI39" s="204">
        <f t="shared" si="33"/>
        <v>29831.109022148565</v>
      </c>
      <c r="CJ39" s="204">
        <f t="shared" si="33"/>
        <v>29831.109022148565</v>
      </c>
      <c r="CK39" s="204">
        <f t="shared" si="33"/>
        <v>29831.109022148565</v>
      </c>
      <c r="CL39" s="204">
        <f t="shared" si="33"/>
        <v>29831.109022148565</v>
      </c>
      <c r="CM39" s="204">
        <f t="shared" si="33"/>
        <v>29831.109022148565</v>
      </c>
      <c r="CN39" s="204">
        <f t="shared" si="33"/>
        <v>29831.109022148565</v>
      </c>
      <c r="CO39" s="204">
        <f t="shared" si="33"/>
        <v>29831.109022148565</v>
      </c>
      <c r="CP39" s="204">
        <f t="shared" si="33"/>
        <v>29831.109022148565</v>
      </c>
      <c r="CQ39" s="204">
        <f t="shared" si="33"/>
        <v>29831.109022148565</v>
      </c>
      <c r="CR39" s="204">
        <f t="shared" si="33"/>
        <v>29831.109022148565</v>
      </c>
      <c r="CS39" s="204">
        <f t="shared" ref="CS39:DA40" si="34">IF(CS$2&lt;=($B$2+$C$2+$D$2),IF(CS$2&lt;=($B$2+$C$2),IF(CS$2&lt;=$B$2,$B39,$C39),$D39),$E39)</f>
        <v>29831.109022148565</v>
      </c>
      <c r="CT39" s="204">
        <f t="shared" si="34"/>
        <v>29831.109022148565</v>
      </c>
      <c r="CU39" s="204">
        <f t="shared" si="34"/>
        <v>29831.109022148565</v>
      </c>
      <c r="CV39" s="204">
        <f t="shared" si="34"/>
        <v>29831.109022148565</v>
      </c>
      <c r="CW39" s="204">
        <f t="shared" si="34"/>
        <v>29831.109022148568</v>
      </c>
      <c r="CX39" s="204">
        <f t="shared" si="34"/>
        <v>29831.109022148568</v>
      </c>
      <c r="CY39" s="204">
        <f t="shared" si="34"/>
        <v>29831.109022148568</v>
      </c>
      <c r="CZ39" s="204">
        <f t="shared" si="34"/>
        <v>29831.109022148568</v>
      </c>
      <c r="DA39" s="204">
        <f t="shared" si="34"/>
        <v>29831.109022148568</v>
      </c>
    </row>
    <row r="40" spans="1:105">
      <c r="A40" s="201" t="str">
        <f>Income!A90</f>
        <v>Lower Bound Poverty line</v>
      </c>
      <c r="B40" s="203">
        <f>Income!B90</f>
        <v>46325.935688815232</v>
      </c>
      <c r="C40" s="203">
        <f>Income!C90</f>
        <v>46325.935688815232</v>
      </c>
      <c r="D40" s="203">
        <f>Income!D90</f>
        <v>46325.935688815232</v>
      </c>
      <c r="E40" s="203">
        <f>Income!E90</f>
        <v>46325.935688815232</v>
      </c>
      <c r="F40" s="204">
        <f t="shared" ref="F40:U40" si="35">IF(F$2&lt;=($B$2+$C$2+$D$2),IF(F$2&lt;=($B$2+$C$2),IF(F$2&lt;=$B$2,$B40,$C40),$D40),$E40)</f>
        <v>46325.935688815232</v>
      </c>
      <c r="G40" s="204">
        <f t="shared" si="35"/>
        <v>46325.935688815232</v>
      </c>
      <c r="H40" s="204">
        <f t="shared" si="35"/>
        <v>46325.935688815232</v>
      </c>
      <c r="I40" s="204">
        <f t="shared" si="35"/>
        <v>46325.935688815232</v>
      </c>
      <c r="J40" s="204">
        <f t="shared" si="35"/>
        <v>46325.935688815232</v>
      </c>
      <c r="K40" s="204">
        <f t="shared" si="35"/>
        <v>46325.935688815232</v>
      </c>
      <c r="L40" s="204">
        <f t="shared" si="35"/>
        <v>46325.935688815232</v>
      </c>
      <c r="M40" s="204">
        <f t="shared" si="35"/>
        <v>46325.935688815232</v>
      </c>
      <c r="N40" s="204">
        <f t="shared" si="35"/>
        <v>46325.935688815232</v>
      </c>
      <c r="O40" s="204">
        <f t="shared" si="35"/>
        <v>46325.935688815232</v>
      </c>
      <c r="P40" s="204">
        <f t="shared" si="35"/>
        <v>46325.935688815232</v>
      </c>
      <c r="Q40" s="204">
        <f t="shared" si="35"/>
        <v>46325.935688815232</v>
      </c>
      <c r="R40" s="204">
        <f t="shared" si="35"/>
        <v>46325.935688815232</v>
      </c>
      <c r="S40" s="204">
        <f t="shared" si="35"/>
        <v>46325.935688815232</v>
      </c>
      <c r="T40" s="204">
        <f t="shared" si="35"/>
        <v>46325.935688815232</v>
      </c>
      <c r="U40" s="204">
        <f t="shared" si="35"/>
        <v>46325.935688815232</v>
      </c>
      <c r="V40" s="204">
        <f t="shared" si="30"/>
        <v>46325.935688815232</v>
      </c>
      <c r="W40" s="204">
        <f t="shared" si="30"/>
        <v>46325.935688815232</v>
      </c>
      <c r="X40" s="204">
        <f t="shared" si="30"/>
        <v>46325.935688815232</v>
      </c>
      <c r="Y40" s="204">
        <f t="shared" si="30"/>
        <v>46325.935688815232</v>
      </c>
      <c r="Z40" s="204">
        <f t="shared" si="30"/>
        <v>46325.935688815232</v>
      </c>
      <c r="AA40" s="204">
        <f t="shared" si="30"/>
        <v>46325.935688815232</v>
      </c>
      <c r="AB40" s="204">
        <f t="shared" si="30"/>
        <v>46325.935688815232</v>
      </c>
      <c r="AC40" s="204">
        <f t="shared" si="30"/>
        <v>46325.935688815232</v>
      </c>
      <c r="AD40" s="204">
        <f t="shared" si="30"/>
        <v>46325.935688815232</v>
      </c>
      <c r="AE40" s="204">
        <f t="shared" si="30"/>
        <v>46325.935688815232</v>
      </c>
      <c r="AF40" s="204">
        <f t="shared" si="30"/>
        <v>46325.935688815232</v>
      </c>
      <c r="AG40" s="204">
        <f t="shared" si="30"/>
        <v>46325.935688815232</v>
      </c>
      <c r="AH40" s="204">
        <f t="shared" si="30"/>
        <v>46325.935688815232</v>
      </c>
      <c r="AI40" s="204">
        <f t="shared" si="30"/>
        <v>46325.935688815232</v>
      </c>
      <c r="AJ40" s="204">
        <f t="shared" si="30"/>
        <v>46325.935688815232</v>
      </c>
      <c r="AK40" s="204">
        <f t="shared" si="30"/>
        <v>46325.935688815232</v>
      </c>
      <c r="AL40" s="204">
        <f t="shared" si="31"/>
        <v>46325.935688815232</v>
      </c>
      <c r="AM40" s="204">
        <f t="shared" si="31"/>
        <v>46325.935688815232</v>
      </c>
      <c r="AN40" s="204">
        <f t="shared" si="31"/>
        <v>46325.935688815232</v>
      </c>
      <c r="AO40" s="204">
        <f t="shared" si="31"/>
        <v>46325.935688815232</v>
      </c>
      <c r="AP40" s="204">
        <f t="shared" si="31"/>
        <v>46325.935688815232</v>
      </c>
      <c r="AQ40" s="204">
        <f t="shared" si="31"/>
        <v>46325.935688815232</v>
      </c>
      <c r="AR40" s="204">
        <f t="shared" si="31"/>
        <v>46325.935688815232</v>
      </c>
      <c r="AS40" s="204">
        <f t="shared" si="31"/>
        <v>46325.935688815232</v>
      </c>
      <c r="AT40" s="204">
        <f t="shared" si="31"/>
        <v>46325.935688815232</v>
      </c>
      <c r="AU40" s="204">
        <f t="shared" si="31"/>
        <v>46325.935688815232</v>
      </c>
      <c r="AV40" s="204">
        <f t="shared" si="31"/>
        <v>46325.935688815232</v>
      </c>
      <c r="AW40" s="204">
        <f t="shared" si="31"/>
        <v>46325.935688815232</v>
      </c>
      <c r="AX40" s="204">
        <f t="shared" si="31"/>
        <v>46325.935688815232</v>
      </c>
      <c r="AY40" s="204">
        <f t="shared" si="31"/>
        <v>46325.935688815232</v>
      </c>
      <c r="AZ40" s="204">
        <f t="shared" si="31"/>
        <v>46325.935688815232</v>
      </c>
      <c r="BA40" s="204">
        <f t="shared" si="31"/>
        <v>46325.935688815232</v>
      </c>
      <c r="BB40" s="204">
        <f t="shared" si="32"/>
        <v>46325.935688815232</v>
      </c>
      <c r="BC40" s="204">
        <f t="shared" si="32"/>
        <v>46325.935688815232</v>
      </c>
      <c r="BD40" s="204">
        <f t="shared" si="32"/>
        <v>46325.935688815232</v>
      </c>
      <c r="BE40" s="204">
        <f t="shared" si="32"/>
        <v>46325.935688815232</v>
      </c>
      <c r="BF40" s="204">
        <f t="shared" si="32"/>
        <v>46325.935688815232</v>
      </c>
      <c r="BG40" s="204">
        <f t="shared" si="32"/>
        <v>46325.935688815232</v>
      </c>
      <c r="BH40" s="204">
        <f t="shared" si="32"/>
        <v>46325.935688815232</v>
      </c>
      <c r="BI40" s="204">
        <f t="shared" si="32"/>
        <v>46325.935688815232</v>
      </c>
      <c r="BJ40" s="204">
        <f t="shared" si="32"/>
        <v>46325.935688815232</v>
      </c>
      <c r="BK40" s="204">
        <f t="shared" si="32"/>
        <v>46325.935688815232</v>
      </c>
      <c r="BL40" s="204">
        <f t="shared" si="32"/>
        <v>46325.935688815232</v>
      </c>
      <c r="BM40" s="204">
        <f t="shared" si="32"/>
        <v>46325.935688815232</v>
      </c>
      <c r="BN40" s="204">
        <f t="shared" si="32"/>
        <v>46325.935688815232</v>
      </c>
      <c r="BO40" s="204">
        <f t="shared" si="32"/>
        <v>46325.935688815232</v>
      </c>
      <c r="BP40" s="204">
        <f t="shared" si="32"/>
        <v>46325.935688815232</v>
      </c>
      <c r="BQ40" s="204">
        <f t="shared" si="32"/>
        <v>46325.935688815232</v>
      </c>
      <c r="BR40" s="204">
        <f t="shared" si="32"/>
        <v>46325.935688815232</v>
      </c>
      <c r="BS40" s="204">
        <f t="shared" si="32"/>
        <v>46325.935688815232</v>
      </c>
      <c r="BT40" s="204">
        <f t="shared" si="32"/>
        <v>46325.935688815232</v>
      </c>
      <c r="BU40" s="204">
        <f t="shared" si="32"/>
        <v>46325.935688815232</v>
      </c>
      <c r="BV40" s="204">
        <f t="shared" si="32"/>
        <v>46325.935688815232</v>
      </c>
      <c r="BW40" s="204">
        <f t="shared" si="32"/>
        <v>46325.935688815232</v>
      </c>
      <c r="BX40" s="204">
        <f t="shared" si="32"/>
        <v>46325.935688815232</v>
      </c>
      <c r="BY40" s="204">
        <f t="shared" si="32"/>
        <v>46325.935688815232</v>
      </c>
      <c r="BZ40" s="204">
        <f t="shared" si="32"/>
        <v>46325.935688815232</v>
      </c>
      <c r="CA40" s="204">
        <f t="shared" si="32"/>
        <v>46325.935688815232</v>
      </c>
      <c r="CB40" s="204">
        <f t="shared" si="32"/>
        <v>46325.935688815232</v>
      </c>
      <c r="CC40" s="204">
        <f t="shared" si="32"/>
        <v>46325.935688815232</v>
      </c>
      <c r="CD40" s="204">
        <f t="shared" si="32"/>
        <v>46325.935688815232</v>
      </c>
      <c r="CE40" s="204">
        <f t="shared" si="33"/>
        <v>46325.935688815232</v>
      </c>
      <c r="CF40" s="204">
        <f t="shared" si="33"/>
        <v>46325.935688815232</v>
      </c>
      <c r="CG40" s="204">
        <f t="shared" si="33"/>
        <v>46325.935688815232</v>
      </c>
      <c r="CH40" s="204">
        <f t="shared" si="33"/>
        <v>46325.935688815232</v>
      </c>
      <c r="CI40" s="204">
        <f t="shared" si="33"/>
        <v>46325.935688815232</v>
      </c>
      <c r="CJ40" s="204">
        <f t="shared" si="33"/>
        <v>46325.935688815232</v>
      </c>
      <c r="CK40" s="204">
        <f t="shared" si="33"/>
        <v>46325.935688815232</v>
      </c>
      <c r="CL40" s="204">
        <f t="shared" si="33"/>
        <v>46325.935688815232</v>
      </c>
      <c r="CM40" s="204">
        <f t="shared" si="33"/>
        <v>46325.935688815232</v>
      </c>
      <c r="CN40" s="204">
        <f t="shared" si="33"/>
        <v>46325.935688815232</v>
      </c>
      <c r="CO40" s="204">
        <f t="shared" si="33"/>
        <v>46325.935688815232</v>
      </c>
      <c r="CP40" s="204">
        <f t="shared" si="33"/>
        <v>46325.935688815232</v>
      </c>
      <c r="CQ40" s="204">
        <f t="shared" si="33"/>
        <v>46325.935688815232</v>
      </c>
      <c r="CR40" s="204">
        <f t="shared" si="33"/>
        <v>46325.935688815232</v>
      </c>
      <c r="CS40" s="204">
        <f t="shared" si="34"/>
        <v>46325.935688815232</v>
      </c>
      <c r="CT40" s="204">
        <f t="shared" si="34"/>
        <v>46325.935688815232</v>
      </c>
      <c r="CU40" s="204">
        <f t="shared" si="34"/>
        <v>46325.935688815232</v>
      </c>
      <c r="CV40" s="204">
        <f t="shared" si="34"/>
        <v>46325.935688815232</v>
      </c>
      <c r="CW40" s="204">
        <f t="shared" si="34"/>
        <v>46325.935688815232</v>
      </c>
      <c r="CX40" s="204">
        <f t="shared" si="34"/>
        <v>46325.935688815232</v>
      </c>
      <c r="CY40" s="204">
        <f t="shared" si="34"/>
        <v>46325.935688815232</v>
      </c>
      <c r="CZ40" s="204">
        <f t="shared" si="34"/>
        <v>46325.935688815232</v>
      </c>
      <c r="DA40" s="204">
        <f t="shared" si="34"/>
        <v>46325.935688815232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10.619621396108119</v>
      </c>
      <c r="AG42" s="210">
        <f t="shared" si="36"/>
        <v>10.619621396108119</v>
      </c>
      <c r="AH42" s="210">
        <f t="shared" si="36"/>
        <v>10.619621396108119</v>
      </c>
      <c r="AI42" s="210">
        <f t="shared" si="36"/>
        <v>10.619621396108119</v>
      </c>
      <c r="AJ42" s="210">
        <f t="shared" si="36"/>
        <v>10.619621396108119</v>
      </c>
      <c r="AK42" s="210">
        <f t="shared" si="36"/>
        <v>10.619621396108119</v>
      </c>
      <c r="AL42" s="210">
        <f t="shared" ref="AL42:BQ42" si="37">IF(AL$22&lt;=$E$24,IF(AL$22&lt;=$D$24,IF(AL$22&lt;=$C$24,IF(AL$22&lt;=$B$24,$B108,($C25-$B25)/($C$24-$B$24)),($D25-$C25)/($D$24-$C$24)),($E25-$D25)/($E$24-$D$24)),$F108)</f>
        <v>10.619621396108119</v>
      </c>
      <c r="AM42" s="210">
        <f t="shared" si="37"/>
        <v>10.619621396108119</v>
      </c>
      <c r="AN42" s="210">
        <f t="shared" si="37"/>
        <v>10.619621396108119</v>
      </c>
      <c r="AO42" s="210">
        <f t="shared" si="37"/>
        <v>10.619621396108119</v>
      </c>
      <c r="AP42" s="210">
        <f t="shared" si="37"/>
        <v>10.619621396108119</v>
      </c>
      <c r="AQ42" s="210">
        <f t="shared" si="37"/>
        <v>10.619621396108119</v>
      </c>
      <c r="AR42" s="210">
        <f t="shared" si="37"/>
        <v>10.619621396108119</v>
      </c>
      <c r="AS42" s="210">
        <f t="shared" si="37"/>
        <v>10.619621396108119</v>
      </c>
      <c r="AT42" s="210">
        <f t="shared" si="37"/>
        <v>10.619621396108119</v>
      </c>
      <c r="AU42" s="210">
        <f t="shared" si="37"/>
        <v>10.619621396108119</v>
      </c>
      <c r="AV42" s="210">
        <f t="shared" si="37"/>
        <v>10.619621396108119</v>
      </c>
      <c r="AW42" s="210">
        <f t="shared" si="37"/>
        <v>10.619621396108119</v>
      </c>
      <c r="AX42" s="210">
        <f t="shared" si="37"/>
        <v>10.619621396108119</v>
      </c>
      <c r="AY42" s="210">
        <f t="shared" si="37"/>
        <v>10.619621396108119</v>
      </c>
      <c r="AZ42" s="210">
        <f t="shared" si="37"/>
        <v>10.619621396108119</v>
      </c>
      <c r="BA42" s="210">
        <f t="shared" si="37"/>
        <v>10.619621396108119</v>
      </c>
      <c r="BB42" s="210">
        <f t="shared" si="37"/>
        <v>10.619621396108119</v>
      </c>
      <c r="BC42" s="210">
        <f t="shared" si="37"/>
        <v>10.619621396108119</v>
      </c>
      <c r="BD42" s="210">
        <f t="shared" si="37"/>
        <v>10.619621396108119</v>
      </c>
      <c r="BE42" s="210">
        <f t="shared" si="37"/>
        <v>10.619621396108119</v>
      </c>
      <c r="BF42" s="210">
        <f t="shared" si="37"/>
        <v>10.619621396108119</v>
      </c>
      <c r="BG42" s="210">
        <f t="shared" si="37"/>
        <v>10.619621396108119</v>
      </c>
      <c r="BH42" s="210">
        <f t="shared" si="37"/>
        <v>10.619621396108119</v>
      </c>
      <c r="BI42" s="210">
        <f t="shared" si="37"/>
        <v>10.619621396108119</v>
      </c>
      <c r="BJ42" s="210">
        <f t="shared" si="37"/>
        <v>10.619621396108119</v>
      </c>
      <c r="BK42" s="210">
        <f t="shared" si="37"/>
        <v>10.619621396108119</v>
      </c>
      <c r="BL42" s="210">
        <f t="shared" si="37"/>
        <v>10.619621396108119</v>
      </c>
      <c r="BM42" s="210">
        <f t="shared" si="37"/>
        <v>10.619621396108119</v>
      </c>
      <c r="BN42" s="210">
        <f t="shared" si="37"/>
        <v>10.619621396108119</v>
      </c>
      <c r="BO42" s="210">
        <f t="shared" si="37"/>
        <v>10.619621396108119</v>
      </c>
      <c r="BP42" s="210">
        <f t="shared" si="37"/>
        <v>10.619621396108119</v>
      </c>
      <c r="BQ42" s="210">
        <f t="shared" si="37"/>
        <v>10.619621396108119</v>
      </c>
      <c r="BR42" s="210">
        <f t="shared" ref="BR42:DA42" si="38">IF(BR$22&lt;=$E$24,IF(BR$22&lt;=$D$24,IF(BR$22&lt;=$C$24,IF(BR$22&lt;=$B$24,$B108,($C25-$B25)/($C$24-$B$24)),($D25-$C25)/($D$24-$C$24)),($E25-$D25)/($E$24-$D$24)),$F108)</f>
        <v>10.619621396108119</v>
      </c>
      <c r="BS42" s="210">
        <f t="shared" si="38"/>
        <v>10.619621396108119</v>
      </c>
      <c r="BT42" s="210">
        <f t="shared" si="38"/>
        <v>76.294281613346101</v>
      </c>
      <c r="BU42" s="210">
        <f t="shared" si="38"/>
        <v>76.294281613346101</v>
      </c>
      <c r="BV42" s="210">
        <f t="shared" si="38"/>
        <v>76.294281613346101</v>
      </c>
      <c r="BW42" s="210">
        <f t="shared" si="38"/>
        <v>76.294281613346101</v>
      </c>
      <c r="BX42" s="210">
        <f t="shared" si="38"/>
        <v>76.294281613346101</v>
      </c>
      <c r="BY42" s="210">
        <f t="shared" si="38"/>
        <v>76.294281613346101</v>
      </c>
      <c r="BZ42" s="210">
        <f t="shared" si="38"/>
        <v>76.294281613346101</v>
      </c>
      <c r="CA42" s="210">
        <f t="shared" si="38"/>
        <v>76.294281613346101</v>
      </c>
      <c r="CB42" s="210">
        <f t="shared" si="38"/>
        <v>76.294281613346101</v>
      </c>
      <c r="CC42" s="210">
        <f t="shared" si="38"/>
        <v>76.294281613346101</v>
      </c>
      <c r="CD42" s="210">
        <f t="shared" si="38"/>
        <v>76.294281613346101</v>
      </c>
      <c r="CE42" s="210">
        <f t="shared" si="38"/>
        <v>76.294281613346101</v>
      </c>
      <c r="CF42" s="210">
        <f t="shared" si="38"/>
        <v>76.294281613346101</v>
      </c>
      <c r="CG42" s="210">
        <f t="shared" si="38"/>
        <v>76.294281613346101</v>
      </c>
      <c r="CH42" s="210">
        <f t="shared" si="38"/>
        <v>76.294281613346101</v>
      </c>
      <c r="CI42" s="210">
        <f t="shared" si="38"/>
        <v>76.294281613346101</v>
      </c>
      <c r="CJ42" s="210">
        <f t="shared" si="38"/>
        <v>76.294281613346101</v>
      </c>
      <c r="CK42" s="210">
        <f t="shared" si="38"/>
        <v>76.294281613346101</v>
      </c>
      <c r="CL42" s="210">
        <f t="shared" si="38"/>
        <v>76.294281613346101</v>
      </c>
      <c r="CM42" s="210">
        <f t="shared" si="38"/>
        <v>76.294281613346101</v>
      </c>
      <c r="CN42" s="210">
        <f t="shared" si="38"/>
        <v>76.294281613346101</v>
      </c>
      <c r="CO42" s="210">
        <f t="shared" si="38"/>
        <v>76.294281613346101</v>
      </c>
      <c r="CP42" s="210">
        <f t="shared" si="38"/>
        <v>6.8980461217762237</v>
      </c>
      <c r="CQ42" s="210">
        <f t="shared" si="38"/>
        <v>6.8980461217762237</v>
      </c>
      <c r="CR42" s="210">
        <f t="shared" si="38"/>
        <v>6.8980461217762237</v>
      </c>
      <c r="CS42" s="210">
        <f t="shared" si="38"/>
        <v>6.8980461217762237</v>
      </c>
      <c r="CT42" s="210">
        <f t="shared" si="38"/>
        <v>6.8980461217762237</v>
      </c>
      <c r="CU42" s="210">
        <f t="shared" si="38"/>
        <v>6.8980461217762237</v>
      </c>
      <c r="CV42" s="210">
        <f t="shared" si="38"/>
        <v>6.8980461217762237</v>
      </c>
      <c r="CW42" s="210">
        <f t="shared" si="38"/>
        <v>6.8980461217762237</v>
      </c>
      <c r="CX42" s="210">
        <f t="shared" si="38"/>
        <v>6.8980461217762237</v>
      </c>
      <c r="CY42" s="210">
        <f t="shared" si="38"/>
        <v>6.8980461217762237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30.961571101061871</v>
      </c>
      <c r="AG43" s="210">
        <f t="shared" si="39"/>
        <v>30.961571101061871</v>
      </c>
      <c r="AH43" s="210">
        <f t="shared" si="39"/>
        <v>30.961571101061871</v>
      </c>
      <c r="AI43" s="210">
        <f t="shared" si="39"/>
        <v>30.961571101061871</v>
      </c>
      <c r="AJ43" s="210">
        <f t="shared" si="39"/>
        <v>30.961571101061871</v>
      </c>
      <c r="AK43" s="210">
        <f t="shared" si="39"/>
        <v>30.961571101061871</v>
      </c>
      <c r="AL43" s="210">
        <f t="shared" ref="AL43:BQ43" si="40">IF(AL$22&lt;=$E$24,IF(AL$22&lt;=$D$24,IF(AL$22&lt;=$C$24,IF(AL$22&lt;=$B$24,$B109,($C26-$B26)/($C$24-$B$24)),($D26-$C26)/($D$24-$C$24)),($E26-$D26)/($E$24-$D$24)),$F109)</f>
        <v>30.961571101061871</v>
      </c>
      <c r="AM43" s="210">
        <f t="shared" si="40"/>
        <v>30.961571101061871</v>
      </c>
      <c r="AN43" s="210">
        <f t="shared" si="40"/>
        <v>30.961571101061871</v>
      </c>
      <c r="AO43" s="210">
        <f t="shared" si="40"/>
        <v>30.961571101061871</v>
      </c>
      <c r="AP43" s="210">
        <f t="shared" si="40"/>
        <v>30.961571101061871</v>
      </c>
      <c r="AQ43" s="210">
        <f t="shared" si="40"/>
        <v>30.961571101061871</v>
      </c>
      <c r="AR43" s="210">
        <f t="shared" si="40"/>
        <v>30.961571101061871</v>
      </c>
      <c r="AS43" s="210">
        <f t="shared" si="40"/>
        <v>30.961571101061871</v>
      </c>
      <c r="AT43" s="210">
        <f t="shared" si="40"/>
        <v>30.961571101061871</v>
      </c>
      <c r="AU43" s="210">
        <f t="shared" si="40"/>
        <v>30.961571101061871</v>
      </c>
      <c r="AV43" s="210">
        <f t="shared" si="40"/>
        <v>30.961571101061871</v>
      </c>
      <c r="AW43" s="210">
        <f t="shared" si="40"/>
        <v>30.961571101061871</v>
      </c>
      <c r="AX43" s="210">
        <f t="shared" si="40"/>
        <v>30.961571101061871</v>
      </c>
      <c r="AY43" s="210">
        <f t="shared" si="40"/>
        <v>30.961571101061871</v>
      </c>
      <c r="AZ43" s="210">
        <f t="shared" si="40"/>
        <v>30.961571101061871</v>
      </c>
      <c r="BA43" s="210">
        <f t="shared" si="40"/>
        <v>30.961571101061871</v>
      </c>
      <c r="BB43" s="210">
        <f t="shared" si="40"/>
        <v>30.961571101061871</v>
      </c>
      <c r="BC43" s="210">
        <f t="shared" si="40"/>
        <v>30.961571101061871</v>
      </c>
      <c r="BD43" s="210">
        <f t="shared" si="40"/>
        <v>30.961571101061871</v>
      </c>
      <c r="BE43" s="210">
        <f t="shared" si="40"/>
        <v>30.961571101061871</v>
      </c>
      <c r="BF43" s="210">
        <f t="shared" si="40"/>
        <v>30.961571101061871</v>
      </c>
      <c r="BG43" s="210">
        <f t="shared" si="40"/>
        <v>30.961571101061871</v>
      </c>
      <c r="BH43" s="210">
        <f t="shared" si="40"/>
        <v>30.961571101061871</v>
      </c>
      <c r="BI43" s="210">
        <f t="shared" si="40"/>
        <v>30.961571101061871</v>
      </c>
      <c r="BJ43" s="210">
        <f t="shared" si="40"/>
        <v>30.961571101061871</v>
      </c>
      <c r="BK43" s="210">
        <f t="shared" si="40"/>
        <v>30.961571101061871</v>
      </c>
      <c r="BL43" s="210">
        <f t="shared" si="40"/>
        <v>30.961571101061871</v>
      </c>
      <c r="BM43" s="210">
        <f t="shared" si="40"/>
        <v>30.961571101061871</v>
      </c>
      <c r="BN43" s="210">
        <f t="shared" si="40"/>
        <v>30.961571101061871</v>
      </c>
      <c r="BO43" s="210">
        <f t="shared" si="40"/>
        <v>30.961571101061871</v>
      </c>
      <c r="BP43" s="210">
        <f t="shared" si="40"/>
        <v>30.961571101061871</v>
      </c>
      <c r="BQ43" s="210">
        <f t="shared" si="40"/>
        <v>30.961571101061871</v>
      </c>
      <c r="BR43" s="210">
        <f t="shared" ref="BR43:DA43" si="41">IF(BR$22&lt;=$E$24,IF(BR$22&lt;=$D$24,IF(BR$22&lt;=$C$24,IF(BR$22&lt;=$B$24,$B109,($C26-$B26)/($C$24-$B$24)),($D26-$C26)/($D$24-$C$24)),($E26-$D26)/($E$24-$D$24)),$F109)</f>
        <v>30.961571101061871</v>
      </c>
      <c r="BS43" s="210">
        <f t="shared" si="41"/>
        <v>30.961571101061871</v>
      </c>
      <c r="BT43" s="210">
        <f t="shared" si="41"/>
        <v>183.36624245923937</v>
      </c>
      <c r="BU43" s="210">
        <f t="shared" si="41"/>
        <v>183.36624245923937</v>
      </c>
      <c r="BV43" s="210">
        <f t="shared" si="41"/>
        <v>183.36624245923937</v>
      </c>
      <c r="BW43" s="210">
        <f t="shared" si="41"/>
        <v>183.36624245923937</v>
      </c>
      <c r="BX43" s="210">
        <f t="shared" si="41"/>
        <v>183.36624245923937</v>
      </c>
      <c r="BY43" s="210">
        <f t="shared" si="41"/>
        <v>183.36624245923937</v>
      </c>
      <c r="BZ43" s="210">
        <f t="shared" si="41"/>
        <v>183.36624245923937</v>
      </c>
      <c r="CA43" s="210">
        <f t="shared" si="41"/>
        <v>183.36624245923937</v>
      </c>
      <c r="CB43" s="210">
        <f t="shared" si="41"/>
        <v>183.36624245923937</v>
      </c>
      <c r="CC43" s="210">
        <f t="shared" si="41"/>
        <v>183.36624245923937</v>
      </c>
      <c r="CD43" s="210">
        <f t="shared" si="41"/>
        <v>183.36624245923937</v>
      </c>
      <c r="CE43" s="210">
        <f t="shared" si="41"/>
        <v>183.36624245923937</v>
      </c>
      <c r="CF43" s="210">
        <f t="shared" si="41"/>
        <v>183.36624245923937</v>
      </c>
      <c r="CG43" s="210">
        <f t="shared" si="41"/>
        <v>183.36624245923937</v>
      </c>
      <c r="CH43" s="210">
        <f t="shared" si="41"/>
        <v>183.36624245923937</v>
      </c>
      <c r="CI43" s="210">
        <f t="shared" si="41"/>
        <v>183.36624245923937</v>
      </c>
      <c r="CJ43" s="210">
        <f t="shared" si="41"/>
        <v>183.36624245923937</v>
      </c>
      <c r="CK43" s="210">
        <f t="shared" si="41"/>
        <v>183.36624245923937</v>
      </c>
      <c r="CL43" s="210">
        <f t="shared" si="41"/>
        <v>183.36624245923937</v>
      </c>
      <c r="CM43" s="210">
        <f t="shared" si="41"/>
        <v>183.36624245923937</v>
      </c>
      <c r="CN43" s="210">
        <f t="shared" si="41"/>
        <v>183.36624245923937</v>
      </c>
      <c r="CO43" s="210">
        <f t="shared" si="41"/>
        <v>183.36624245923937</v>
      </c>
      <c r="CP43" s="210">
        <f t="shared" si="41"/>
        <v>223.90762981804602</v>
      </c>
      <c r="CQ43" s="210">
        <f t="shared" si="41"/>
        <v>223.90762981804602</v>
      </c>
      <c r="CR43" s="210">
        <f t="shared" si="41"/>
        <v>223.90762981804602</v>
      </c>
      <c r="CS43" s="210">
        <f t="shared" si="41"/>
        <v>223.90762981804602</v>
      </c>
      <c r="CT43" s="210">
        <f t="shared" si="41"/>
        <v>223.90762981804602</v>
      </c>
      <c r="CU43" s="210">
        <f t="shared" si="41"/>
        <v>223.90762981804602</v>
      </c>
      <c r="CV43" s="210">
        <f t="shared" si="41"/>
        <v>223.90762981804602</v>
      </c>
      <c r="CW43" s="210">
        <f t="shared" si="41"/>
        <v>223.90762981804602</v>
      </c>
      <c r="CX43" s="210">
        <f t="shared" si="41"/>
        <v>223.90762981804602</v>
      </c>
      <c r="CY43" s="210">
        <f t="shared" si="41"/>
        <v>223.90762981804602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3.8158646471241768</v>
      </c>
      <c r="AG44" s="210">
        <f t="shared" si="42"/>
        <v>3.8158646471241768</v>
      </c>
      <c r="AH44" s="210">
        <f t="shared" si="42"/>
        <v>3.8158646471241768</v>
      </c>
      <c r="AI44" s="210">
        <f t="shared" si="42"/>
        <v>3.8158646471241768</v>
      </c>
      <c r="AJ44" s="210">
        <f t="shared" si="42"/>
        <v>3.8158646471241768</v>
      </c>
      <c r="AK44" s="210">
        <f t="shared" si="42"/>
        <v>3.8158646471241768</v>
      </c>
      <c r="AL44" s="210">
        <f t="shared" ref="AL44:BQ44" si="43">IF(AL$22&lt;=$E$24,IF(AL$22&lt;=$D$24,IF(AL$22&lt;=$C$24,IF(AL$22&lt;=$B$24,$B110,($C27-$B27)/($C$24-$B$24)),($D27-$C27)/($D$24-$C$24)),($E27-$D27)/($E$24-$D$24)),$F110)</f>
        <v>3.8158646471241768</v>
      </c>
      <c r="AM44" s="210">
        <f t="shared" si="43"/>
        <v>3.8158646471241768</v>
      </c>
      <c r="AN44" s="210">
        <f t="shared" si="43"/>
        <v>3.8158646471241768</v>
      </c>
      <c r="AO44" s="210">
        <f t="shared" si="43"/>
        <v>3.8158646471241768</v>
      </c>
      <c r="AP44" s="210">
        <f t="shared" si="43"/>
        <v>3.8158646471241768</v>
      </c>
      <c r="AQ44" s="210">
        <f t="shared" si="43"/>
        <v>3.8158646471241768</v>
      </c>
      <c r="AR44" s="210">
        <f t="shared" si="43"/>
        <v>3.8158646471241768</v>
      </c>
      <c r="AS44" s="210">
        <f t="shared" si="43"/>
        <v>3.8158646471241768</v>
      </c>
      <c r="AT44" s="210">
        <f t="shared" si="43"/>
        <v>3.8158646471241768</v>
      </c>
      <c r="AU44" s="210">
        <f t="shared" si="43"/>
        <v>3.8158646471241768</v>
      </c>
      <c r="AV44" s="210">
        <f t="shared" si="43"/>
        <v>3.8158646471241768</v>
      </c>
      <c r="AW44" s="210">
        <f t="shared" si="43"/>
        <v>3.8158646471241768</v>
      </c>
      <c r="AX44" s="210">
        <f t="shared" si="43"/>
        <v>3.8158646471241768</v>
      </c>
      <c r="AY44" s="210">
        <f t="shared" si="43"/>
        <v>3.8158646471241768</v>
      </c>
      <c r="AZ44" s="210">
        <f t="shared" si="43"/>
        <v>3.8158646471241768</v>
      </c>
      <c r="BA44" s="210">
        <f t="shared" si="43"/>
        <v>3.8158646471241768</v>
      </c>
      <c r="BB44" s="210">
        <f t="shared" si="43"/>
        <v>3.8158646471241768</v>
      </c>
      <c r="BC44" s="210">
        <f t="shared" si="43"/>
        <v>3.8158646471241768</v>
      </c>
      <c r="BD44" s="210">
        <f t="shared" si="43"/>
        <v>3.8158646471241768</v>
      </c>
      <c r="BE44" s="210">
        <f t="shared" si="43"/>
        <v>3.8158646471241768</v>
      </c>
      <c r="BF44" s="210">
        <f t="shared" si="43"/>
        <v>3.8158646471241768</v>
      </c>
      <c r="BG44" s="210">
        <f t="shared" si="43"/>
        <v>3.8158646471241768</v>
      </c>
      <c r="BH44" s="210">
        <f t="shared" si="43"/>
        <v>3.8158646471241768</v>
      </c>
      <c r="BI44" s="210">
        <f t="shared" si="43"/>
        <v>3.8158646471241768</v>
      </c>
      <c r="BJ44" s="210">
        <f t="shared" si="43"/>
        <v>3.8158646471241768</v>
      </c>
      <c r="BK44" s="210">
        <f t="shared" si="43"/>
        <v>3.8158646471241768</v>
      </c>
      <c r="BL44" s="210">
        <f t="shared" si="43"/>
        <v>3.8158646471241768</v>
      </c>
      <c r="BM44" s="210">
        <f t="shared" si="43"/>
        <v>3.8158646471241768</v>
      </c>
      <c r="BN44" s="210">
        <f t="shared" si="43"/>
        <v>3.8158646471241768</v>
      </c>
      <c r="BO44" s="210">
        <f t="shared" si="43"/>
        <v>3.8158646471241768</v>
      </c>
      <c r="BP44" s="210">
        <f t="shared" si="43"/>
        <v>3.8158646471241768</v>
      </c>
      <c r="BQ44" s="210">
        <f t="shared" si="43"/>
        <v>3.8158646471241768</v>
      </c>
      <c r="BR44" s="210">
        <f t="shared" ref="BR44:DA44" si="44">IF(BR$22&lt;=$E$24,IF(BR$22&lt;=$D$24,IF(BR$22&lt;=$C$24,IF(BR$22&lt;=$B$24,$B110,($C27-$B27)/($C$24-$B$24)),($D27-$C27)/($D$24-$C$24)),($E27-$D27)/($E$24-$D$24)),$F110)</f>
        <v>3.8158646471241768</v>
      </c>
      <c r="BS44" s="210">
        <f t="shared" si="44"/>
        <v>3.8158646471241768</v>
      </c>
      <c r="BT44" s="210">
        <f t="shared" si="44"/>
        <v>13.898365255733488</v>
      </c>
      <c r="BU44" s="210">
        <f t="shared" si="44"/>
        <v>13.898365255733488</v>
      </c>
      <c r="BV44" s="210">
        <f t="shared" si="44"/>
        <v>13.898365255733488</v>
      </c>
      <c r="BW44" s="210">
        <f t="shared" si="44"/>
        <v>13.898365255733488</v>
      </c>
      <c r="BX44" s="210">
        <f t="shared" si="44"/>
        <v>13.898365255733488</v>
      </c>
      <c r="BY44" s="210">
        <f t="shared" si="44"/>
        <v>13.898365255733488</v>
      </c>
      <c r="BZ44" s="210">
        <f t="shared" si="44"/>
        <v>13.898365255733488</v>
      </c>
      <c r="CA44" s="210">
        <f t="shared" si="44"/>
        <v>13.898365255733488</v>
      </c>
      <c r="CB44" s="210">
        <f t="shared" si="44"/>
        <v>13.898365255733488</v>
      </c>
      <c r="CC44" s="210">
        <f t="shared" si="44"/>
        <v>13.898365255733488</v>
      </c>
      <c r="CD44" s="210">
        <f t="shared" si="44"/>
        <v>13.898365255733488</v>
      </c>
      <c r="CE44" s="210">
        <f t="shared" si="44"/>
        <v>13.898365255733488</v>
      </c>
      <c r="CF44" s="210">
        <f t="shared" si="44"/>
        <v>13.898365255733488</v>
      </c>
      <c r="CG44" s="210">
        <f t="shared" si="44"/>
        <v>13.898365255733488</v>
      </c>
      <c r="CH44" s="210">
        <f t="shared" si="44"/>
        <v>13.898365255733488</v>
      </c>
      <c r="CI44" s="210">
        <f t="shared" si="44"/>
        <v>13.898365255733488</v>
      </c>
      <c r="CJ44" s="210">
        <f t="shared" si="44"/>
        <v>13.898365255733488</v>
      </c>
      <c r="CK44" s="210">
        <f t="shared" si="44"/>
        <v>13.898365255733488</v>
      </c>
      <c r="CL44" s="210">
        <f t="shared" si="44"/>
        <v>13.898365255733488</v>
      </c>
      <c r="CM44" s="210">
        <f t="shared" si="44"/>
        <v>13.898365255733488</v>
      </c>
      <c r="CN44" s="210">
        <f t="shared" si="44"/>
        <v>13.898365255733488</v>
      </c>
      <c r="CO44" s="210">
        <f t="shared" si="44"/>
        <v>13.898365255733488</v>
      </c>
      <c r="CP44" s="210">
        <f t="shared" si="44"/>
        <v>119.56956610754109</v>
      </c>
      <c r="CQ44" s="210">
        <f t="shared" si="44"/>
        <v>119.56956610754109</v>
      </c>
      <c r="CR44" s="210">
        <f t="shared" si="44"/>
        <v>119.56956610754109</v>
      </c>
      <c r="CS44" s="210">
        <f t="shared" si="44"/>
        <v>119.56956610754109</v>
      </c>
      <c r="CT44" s="210">
        <f t="shared" si="44"/>
        <v>119.56956610754109</v>
      </c>
      <c r="CU44" s="210">
        <f t="shared" si="44"/>
        <v>119.56956610754109</v>
      </c>
      <c r="CV44" s="210">
        <f t="shared" si="44"/>
        <v>119.56956610754109</v>
      </c>
      <c r="CW44" s="210">
        <f t="shared" si="44"/>
        <v>119.56956610754109</v>
      </c>
      <c r="CX44" s="210">
        <f t="shared" si="44"/>
        <v>119.56956610754109</v>
      </c>
      <c r="CY44" s="210">
        <f t="shared" si="44"/>
        <v>119.56956610754109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18.517686065228393</v>
      </c>
      <c r="AG46" s="210">
        <f t="shared" si="48"/>
        <v>18.517686065228393</v>
      </c>
      <c r="AH46" s="210">
        <f t="shared" si="48"/>
        <v>18.517686065228393</v>
      </c>
      <c r="AI46" s="210">
        <f t="shared" si="48"/>
        <v>18.517686065228393</v>
      </c>
      <c r="AJ46" s="210">
        <f t="shared" si="48"/>
        <v>18.517686065228393</v>
      </c>
      <c r="AK46" s="210">
        <f t="shared" si="48"/>
        <v>18.517686065228393</v>
      </c>
      <c r="AL46" s="210">
        <f t="shared" ref="AL46:BQ46" si="49">IF(AL$22&lt;=$E$24,IF(AL$22&lt;=$D$24,IF(AL$22&lt;=$C$24,IF(AL$22&lt;=$B$24,$B112,($C29-$B29)/($C$24-$B$24)),($D29-$C29)/($D$24-$C$24)),($E29-$D29)/($E$24-$D$24)),$F112)</f>
        <v>18.517686065228393</v>
      </c>
      <c r="AM46" s="210">
        <f t="shared" si="49"/>
        <v>18.517686065228393</v>
      </c>
      <c r="AN46" s="210">
        <f t="shared" si="49"/>
        <v>18.517686065228393</v>
      </c>
      <c r="AO46" s="210">
        <f t="shared" si="49"/>
        <v>18.517686065228393</v>
      </c>
      <c r="AP46" s="210">
        <f t="shared" si="49"/>
        <v>18.517686065228393</v>
      </c>
      <c r="AQ46" s="210">
        <f t="shared" si="49"/>
        <v>18.517686065228393</v>
      </c>
      <c r="AR46" s="210">
        <f t="shared" si="49"/>
        <v>18.517686065228393</v>
      </c>
      <c r="AS46" s="210">
        <f t="shared" si="49"/>
        <v>18.517686065228393</v>
      </c>
      <c r="AT46" s="210">
        <f t="shared" si="49"/>
        <v>18.517686065228393</v>
      </c>
      <c r="AU46" s="210">
        <f t="shared" si="49"/>
        <v>18.517686065228393</v>
      </c>
      <c r="AV46" s="210">
        <f t="shared" si="49"/>
        <v>18.517686065228393</v>
      </c>
      <c r="AW46" s="210">
        <f t="shared" si="49"/>
        <v>18.517686065228393</v>
      </c>
      <c r="AX46" s="210">
        <f t="shared" si="49"/>
        <v>18.517686065228393</v>
      </c>
      <c r="AY46" s="210">
        <f t="shared" si="49"/>
        <v>18.517686065228393</v>
      </c>
      <c r="AZ46" s="210">
        <f t="shared" si="49"/>
        <v>18.517686065228393</v>
      </c>
      <c r="BA46" s="210">
        <f t="shared" si="49"/>
        <v>18.517686065228393</v>
      </c>
      <c r="BB46" s="210">
        <f t="shared" si="49"/>
        <v>18.517686065228393</v>
      </c>
      <c r="BC46" s="210">
        <f t="shared" si="49"/>
        <v>18.517686065228393</v>
      </c>
      <c r="BD46" s="210">
        <f t="shared" si="49"/>
        <v>18.517686065228393</v>
      </c>
      <c r="BE46" s="210">
        <f t="shared" si="49"/>
        <v>18.517686065228393</v>
      </c>
      <c r="BF46" s="210">
        <f t="shared" si="49"/>
        <v>18.517686065228393</v>
      </c>
      <c r="BG46" s="210">
        <f t="shared" si="49"/>
        <v>18.517686065228393</v>
      </c>
      <c r="BH46" s="210">
        <f t="shared" si="49"/>
        <v>18.517686065228393</v>
      </c>
      <c r="BI46" s="210">
        <f t="shared" si="49"/>
        <v>18.517686065228393</v>
      </c>
      <c r="BJ46" s="210">
        <f t="shared" si="49"/>
        <v>18.517686065228393</v>
      </c>
      <c r="BK46" s="210">
        <f t="shared" si="49"/>
        <v>18.517686065228393</v>
      </c>
      <c r="BL46" s="210">
        <f t="shared" si="49"/>
        <v>18.517686065228393</v>
      </c>
      <c r="BM46" s="210">
        <f t="shared" si="49"/>
        <v>18.517686065228393</v>
      </c>
      <c r="BN46" s="210">
        <f t="shared" si="49"/>
        <v>18.517686065228393</v>
      </c>
      <c r="BO46" s="210">
        <f t="shared" si="49"/>
        <v>18.517686065228393</v>
      </c>
      <c r="BP46" s="210">
        <f t="shared" si="49"/>
        <v>18.517686065228393</v>
      </c>
      <c r="BQ46" s="210">
        <f t="shared" si="49"/>
        <v>18.517686065228393</v>
      </c>
      <c r="BR46" s="210">
        <f t="shared" ref="BR46:DA46" si="50">IF(BR$22&lt;=$E$24,IF(BR$22&lt;=$D$24,IF(BR$22&lt;=$C$24,IF(BR$22&lt;=$B$24,$B112,($C29-$B29)/($C$24-$B$24)),($D29-$C29)/($D$24-$C$24)),($E29-$D29)/($E$24-$D$24)),$F112)</f>
        <v>18.517686065228393</v>
      </c>
      <c r="BS46" s="210">
        <f t="shared" si="50"/>
        <v>18.517686065228393</v>
      </c>
      <c r="BT46" s="210">
        <f t="shared" si="50"/>
        <v>197.5219846957695</v>
      </c>
      <c r="BU46" s="210">
        <f t="shared" si="50"/>
        <v>197.5219846957695</v>
      </c>
      <c r="BV46" s="210">
        <f t="shared" si="50"/>
        <v>197.5219846957695</v>
      </c>
      <c r="BW46" s="210">
        <f t="shared" si="50"/>
        <v>197.5219846957695</v>
      </c>
      <c r="BX46" s="210">
        <f t="shared" si="50"/>
        <v>197.5219846957695</v>
      </c>
      <c r="BY46" s="210">
        <f t="shared" si="50"/>
        <v>197.5219846957695</v>
      </c>
      <c r="BZ46" s="210">
        <f t="shared" si="50"/>
        <v>197.5219846957695</v>
      </c>
      <c r="CA46" s="210">
        <f t="shared" si="50"/>
        <v>197.5219846957695</v>
      </c>
      <c r="CB46" s="210">
        <f t="shared" si="50"/>
        <v>197.5219846957695</v>
      </c>
      <c r="CC46" s="210">
        <f t="shared" si="50"/>
        <v>197.5219846957695</v>
      </c>
      <c r="CD46" s="210">
        <f t="shared" si="50"/>
        <v>197.5219846957695</v>
      </c>
      <c r="CE46" s="210">
        <f t="shared" si="50"/>
        <v>197.5219846957695</v>
      </c>
      <c r="CF46" s="210">
        <f t="shared" si="50"/>
        <v>197.5219846957695</v>
      </c>
      <c r="CG46" s="210">
        <f t="shared" si="50"/>
        <v>197.5219846957695</v>
      </c>
      <c r="CH46" s="210">
        <f t="shared" si="50"/>
        <v>197.5219846957695</v>
      </c>
      <c r="CI46" s="210">
        <f t="shared" si="50"/>
        <v>197.5219846957695</v>
      </c>
      <c r="CJ46" s="210">
        <f t="shared" si="50"/>
        <v>197.5219846957695</v>
      </c>
      <c r="CK46" s="210">
        <f t="shared" si="50"/>
        <v>197.5219846957695</v>
      </c>
      <c r="CL46" s="210">
        <f t="shared" si="50"/>
        <v>197.5219846957695</v>
      </c>
      <c r="CM46" s="210">
        <f t="shared" si="50"/>
        <v>197.5219846957695</v>
      </c>
      <c r="CN46" s="210">
        <f t="shared" si="50"/>
        <v>197.5219846957695</v>
      </c>
      <c r="CO46" s="210">
        <f t="shared" si="50"/>
        <v>197.5219846957695</v>
      </c>
      <c r="CP46" s="210">
        <f t="shared" si="50"/>
        <v>936.58341076577403</v>
      </c>
      <c r="CQ46" s="210">
        <f t="shared" si="50"/>
        <v>936.58341076577403</v>
      </c>
      <c r="CR46" s="210">
        <f t="shared" si="50"/>
        <v>936.58341076577403</v>
      </c>
      <c r="CS46" s="210">
        <f t="shared" si="50"/>
        <v>936.58341076577403</v>
      </c>
      <c r="CT46" s="210">
        <f t="shared" si="50"/>
        <v>936.58341076577403</v>
      </c>
      <c r="CU46" s="210">
        <f t="shared" si="50"/>
        <v>936.58341076577403</v>
      </c>
      <c r="CV46" s="210">
        <f t="shared" si="50"/>
        <v>936.58341076577403</v>
      </c>
      <c r="CW46" s="210">
        <f t="shared" si="50"/>
        <v>936.58341076577403</v>
      </c>
      <c r="CX46" s="210">
        <f t="shared" si="50"/>
        <v>936.58341076577403</v>
      </c>
      <c r="CY46" s="210">
        <f t="shared" si="50"/>
        <v>936.58341076577403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14.666966986477666</v>
      </c>
      <c r="CQ47" s="210">
        <f t="shared" si="53"/>
        <v>14.666966986477666</v>
      </c>
      <c r="CR47" s="210">
        <f t="shared" si="53"/>
        <v>14.666966986477666</v>
      </c>
      <c r="CS47" s="210">
        <f t="shared" si="53"/>
        <v>14.666966986477666</v>
      </c>
      <c r="CT47" s="210">
        <f t="shared" si="53"/>
        <v>14.666966986477666</v>
      </c>
      <c r="CU47" s="210">
        <f t="shared" si="53"/>
        <v>14.666966986477666</v>
      </c>
      <c r="CV47" s="210">
        <f t="shared" si="53"/>
        <v>14.666966986477666</v>
      </c>
      <c r="CW47" s="210">
        <f t="shared" si="53"/>
        <v>14.666966986477666</v>
      </c>
      <c r="CX47" s="210">
        <f t="shared" si="53"/>
        <v>14.666966986477666</v>
      </c>
      <c r="CY47" s="210">
        <f t="shared" si="53"/>
        <v>14.666966986477666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64.786035808178099</v>
      </c>
      <c r="AG48" s="210">
        <f t="shared" si="54"/>
        <v>64.786035808178099</v>
      </c>
      <c r="AH48" s="210">
        <f t="shared" si="54"/>
        <v>64.786035808178099</v>
      </c>
      <c r="AI48" s="210">
        <f t="shared" si="54"/>
        <v>64.786035808178099</v>
      </c>
      <c r="AJ48" s="210">
        <f t="shared" si="54"/>
        <v>64.786035808178099</v>
      </c>
      <c r="AK48" s="210">
        <f t="shared" si="54"/>
        <v>64.786035808178099</v>
      </c>
      <c r="AL48" s="210">
        <f t="shared" ref="AL48:BQ48" si="55">IF(AL$22&lt;=$E$24,IF(AL$22&lt;=$D$24,IF(AL$22&lt;=$C$24,IF(AL$22&lt;=$B$24,$B114,($C31-$B31)/($C$24-$B$24)),($D31-$C31)/($D$24-$C$24)),($E31-$D31)/($E$24-$D$24)),$F114)</f>
        <v>64.786035808178099</v>
      </c>
      <c r="AM48" s="210">
        <f t="shared" si="55"/>
        <v>64.786035808178099</v>
      </c>
      <c r="AN48" s="210">
        <f t="shared" si="55"/>
        <v>64.786035808178099</v>
      </c>
      <c r="AO48" s="210">
        <f t="shared" si="55"/>
        <v>64.786035808178099</v>
      </c>
      <c r="AP48" s="210">
        <f t="shared" si="55"/>
        <v>64.786035808178099</v>
      </c>
      <c r="AQ48" s="210">
        <f t="shared" si="55"/>
        <v>64.786035808178099</v>
      </c>
      <c r="AR48" s="210">
        <f t="shared" si="55"/>
        <v>64.786035808178099</v>
      </c>
      <c r="AS48" s="210">
        <f t="shared" si="55"/>
        <v>64.786035808178099</v>
      </c>
      <c r="AT48" s="210">
        <f t="shared" si="55"/>
        <v>64.786035808178099</v>
      </c>
      <c r="AU48" s="210">
        <f t="shared" si="55"/>
        <v>64.786035808178099</v>
      </c>
      <c r="AV48" s="210">
        <f t="shared" si="55"/>
        <v>64.786035808178099</v>
      </c>
      <c r="AW48" s="210">
        <f t="shared" si="55"/>
        <v>64.786035808178099</v>
      </c>
      <c r="AX48" s="210">
        <f t="shared" si="55"/>
        <v>64.786035808178099</v>
      </c>
      <c r="AY48" s="210">
        <f t="shared" si="55"/>
        <v>64.786035808178099</v>
      </c>
      <c r="AZ48" s="210">
        <f t="shared" si="55"/>
        <v>64.786035808178099</v>
      </c>
      <c r="BA48" s="210">
        <f t="shared" si="55"/>
        <v>64.786035808178099</v>
      </c>
      <c r="BB48" s="210">
        <f t="shared" si="55"/>
        <v>64.786035808178099</v>
      </c>
      <c r="BC48" s="210">
        <f t="shared" si="55"/>
        <v>64.786035808178099</v>
      </c>
      <c r="BD48" s="210">
        <f t="shared" si="55"/>
        <v>64.786035808178099</v>
      </c>
      <c r="BE48" s="210">
        <f t="shared" si="55"/>
        <v>64.786035808178099</v>
      </c>
      <c r="BF48" s="210">
        <f t="shared" si="55"/>
        <v>64.786035808178099</v>
      </c>
      <c r="BG48" s="210">
        <f t="shared" si="55"/>
        <v>64.786035808178099</v>
      </c>
      <c r="BH48" s="210">
        <f t="shared" si="55"/>
        <v>64.786035808178099</v>
      </c>
      <c r="BI48" s="210">
        <f t="shared" si="55"/>
        <v>64.786035808178099</v>
      </c>
      <c r="BJ48" s="210">
        <f t="shared" si="55"/>
        <v>64.786035808178099</v>
      </c>
      <c r="BK48" s="210">
        <f t="shared" si="55"/>
        <v>64.786035808178099</v>
      </c>
      <c r="BL48" s="210">
        <f t="shared" si="55"/>
        <v>64.786035808178099</v>
      </c>
      <c r="BM48" s="210">
        <f t="shared" si="55"/>
        <v>64.786035808178099</v>
      </c>
      <c r="BN48" s="210">
        <f t="shared" si="55"/>
        <v>64.786035808178099</v>
      </c>
      <c r="BO48" s="210">
        <f t="shared" si="55"/>
        <v>64.786035808178099</v>
      </c>
      <c r="BP48" s="210">
        <f t="shared" si="55"/>
        <v>64.786035808178099</v>
      </c>
      <c r="BQ48" s="210">
        <f t="shared" si="55"/>
        <v>64.786035808178099</v>
      </c>
      <c r="BR48" s="210">
        <f t="shared" ref="BR48:DA48" si="56">IF(BR$22&lt;=$E$24,IF(BR$22&lt;=$D$24,IF(BR$22&lt;=$C$24,IF(BR$22&lt;=$B$24,$B114,($C31-$B31)/($C$24-$B$24)),($D31-$C31)/($D$24-$C$24)),($E31-$D31)/($E$24-$D$24)),$F114)</f>
        <v>64.786035808178099</v>
      </c>
      <c r="BS48" s="210">
        <f t="shared" si="56"/>
        <v>64.786035808178099</v>
      </c>
      <c r="BT48" s="210">
        <f t="shared" si="56"/>
        <v>-65.662997273021503</v>
      </c>
      <c r="BU48" s="210">
        <f t="shared" si="56"/>
        <v>-65.662997273021503</v>
      </c>
      <c r="BV48" s="210">
        <f t="shared" si="56"/>
        <v>-65.662997273021503</v>
      </c>
      <c r="BW48" s="210">
        <f t="shared" si="56"/>
        <v>-65.662997273021503</v>
      </c>
      <c r="BX48" s="210">
        <f t="shared" si="56"/>
        <v>-65.662997273021503</v>
      </c>
      <c r="BY48" s="210">
        <f t="shared" si="56"/>
        <v>-65.662997273021503</v>
      </c>
      <c r="BZ48" s="210">
        <f t="shared" si="56"/>
        <v>-65.662997273021503</v>
      </c>
      <c r="CA48" s="210">
        <f t="shared" si="56"/>
        <v>-65.662997273021503</v>
      </c>
      <c r="CB48" s="210">
        <f t="shared" si="56"/>
        <v>-65.662997273021503</v>
      </c>
      <c r="CC48" s="210">
        <f t="shared" si="56"/>
        <v>-65.662997273021503</v>
      </c>
      <c r="CD48" s="210">
        <f t="shared" si="56"/>
        <v>-65.662997273021503</v>
      </c>
      <c r="CE48" s="210">
        <f t="shared" si="56"/>
        <v>-65.662997273021503</v>
      </c>
      <c r="CF48" s="210">
        <f t="shared" si="56"/>
        <v>-65.662997273021503</v>
      </c>
      <c r="CG48" s="210">
        <f t="shared" si="56"/>
        <v>-65.662997273021503</v>
      </c>
      <c r="CH48" s="210">
        <f t="shared" si="56"/>
        <v>-65.662997273021503</v>
      </c>
      <c r="CI48" s="210">
        <f t="shared" si="56"/>
        <v>-65.662997273021503</v>
      </c>
      <c r="CJ48" s="210">
        <f t="shared" si="56"/>
        <v>-65.662997273021503</v>
      </c>
      <c r="CK48" s="210">
        <f t="shared" si="56"/>
        <v>-65.662997273021503</v>
      </c>
      <c r="CL48" s="210">
        <f t="shared" si="56"/>
        <v>-65.662997273021503</v>
      </c>
      <c r="CM48" s="210">
        <f t="shared" si="56"/>
        <v>-65.662997273021503</v>
      </c>
      <c r="CN48" s="210">
        <f t="shared" si="56"/>
        <v>-65.662997273021503</v>
      </c>
      <c r="CO48" s="210">
        <f t="shared" si="56"/>
        <v>-65.662997273021503</v>
      </c>
      <c r="CP48" s="210">
        <f t="shared" si="56"/>
        <v>-111.40239936841401</v>
      </c>
      <c r="CQ48" s="210">
        <f t="shared" si="56"/>
        <v>-111.40239936841401</v>
      </c>
      <c r="CR48" s="210">
        <f t="shared" si="56"/>
        <v>-111.40239936841401</v>
      </c>
      <c r="CS48" s="210">
        <f t="shared" si="56"/>
        <v>-111.40239936841401</v>
      </c>
      <c r="CT48" s="210">
        <f t="shared" si="56"/>
        <v>-111.40239936841401</v>
      </c>
      <c r="CU48" s="210">
        <f t="shared" si="56"/>
        <v>-111.40239936841401</v>
      </c>
      <c r="CV48" s="210">
        <f t="shared" si="56"/>
        <v>-111.40239936841401</v>
      </c>
      <c r="CW48" s="210">
        <f t="shared" si="56"/>
        <v>-111.40239936841401</v>
      </c>
      <c r="CX48" s="210">
        <f t="shared" si="56"/>
        <v>-111.40239936841401</v>
      </c>
      <c r="CY48" s="210">
        <f t="shared" si="56"/>
        <v>-111.40239936841401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4577.2427920166328</v>
      </c>
      <c r="CQ49" s="210">
        <f t="shared" si="59"/>
        <v>4577.2427920166328</v>
      </c>
      <c r="CR49" s="210">
        <f t="shared" si="59"/>
        <v>4577.2427920166328</v>
      </c>
      <c r="CS49" s="210">
        <f t="shared" si="59"/>
        <v>4577.2427920166328</v>
      </c>
      <c r="CT49" s="210">
        <f t="shared" si="59"/>
        <v>4577.2427920166328</v>
      </c>
      <c r="CU49" s="210">
        <f t="shared" si="59"/>
        <v>4577.2427920166328</v>
      </c>
      <c r="CV49" s="210">
        <f t="shared" si="59"/>
        <v>4577.2427920166328</v>
      </c>
      <c r="CW49" s="210">
        <f t="shared" si="59"/>
        <v>4577.2427920166328</v>
      </c>
      <c r="CX49" s="210">
        <f t="shared" si="59"/>
        <v>4577.2427920166328</v>
      </c>
      <c r="CY49" s="210">
        <f t="shared" si="59"/>
        <v>4577.2427920166328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28.245643811495039</v>
      </c>
      <c r="BU50" s="210">
        <f t="shared" si="62"/>
        <v>28.245643811495039</v>
      </c>
      <c r="BV50" s="210">
        <f t="shared" si="62"/>
        <v>28.245643811495039</v>
      </c>
      <c r="BW50" s="210">
        <f t="shared" si="62"/>
        <v>28.245643811495039</v>
      </c>
      <c r="BX50" s="210">
        <f t="shared" si="62"/>
        <v>28.245643811495039</v>
      </c>
      <c r="BY50" s="210">
        <f t="shared" si="62"/>
        <v>28.245643811495039</v>
      </c>
      <c r="BZ50" s="210">
        <f t="shared" si="62"/>
        <v>28.245643811495039</v>
      </c>
      <c r="CA50" s="210">
        <f t="shared" si="62"/>
        <v>28.245643811495039</v>
      </c>
      <c r="CB50" s="210">
        <f t="shared" si="62"/>
        <v>28.245643811495039</v>
      </c>
      <c r="CC50" s="210">
        <f t="shared" si="62"/>
        <v>28.245643811495039</v>
      </c>
      <c r="CD50" s="210">
        <f t="shared" si="62"/>
        <v>28.245643811495039</v>
      </c>
      <c r="CE50" s="210">
        <f t="shared" si="62"/>
        <v>28.245643811495039</v>
      </c>
      <c r="CF50" s="210">
        <f t="shared" si="62"/>
        <v>28.245643811495039</v>
      </c>
      <c r="CG50" s="210">
        <f t="shared" si="62"/>
        <v>28.245643811495039</v>
      </c>
      <c r="CH50" s="210">
        <f t="shared" si="62"/>
        <v>28.245643811495039</v>
      </c>
      <c r="CI50" s="210">
        <f t="shared" si="62"/>
        <v>28.245643811495039</v>
      </c>
      <c r="CJ50" s="210">
        <f t="shared" si="62"/>
        <v>28.245643811495039</v>
      </c>
      <c r="CK50" s="210">
        <f t="shared" si="62"/>
        <v>28.245643811495039</v>
      </c>
      <c r="CL50" s="210">
        <f t="shared" si="62"/>
        <v>28.245643811495039</v>
      </c>
      <c r="CM50" s="210">
        <f t="shared" si="62"/>
        <v>28.245643811495039</v>
      </c>
      <c r="CN50" s="210">
        <f t="shared" si="62"/>
        <v>28.245643811495039</v>
      </c>
      <c r="CO50" s="210">
        <f t="shared" si="62"/>
        <v>28.245643811495039</v>
      </c>
      <c r="CP50" s="210">
        <f t="shared" si="62"/>
        <v>-63.552698575863836</v>
      </c>
      <c r="CQ50" s="210">
        <f t="shared" si="62"/>
        <v>-63.552698575863836</v>
      </c>
      <c r="CR50" s="210">
        <f t="shared" si="62"/>
        <v>-63.552698575863836</v>
      </c>
      <c r="CS50" s="210">
        <f t="shared" si="62"/>
        <v>-63.552698575863836</v>
      </c>
      <c r="CT50" s="210">
        <f t="shared" si="62"/>
        <v>-63.552698575863836</v>
      </c>
      <c r="CU50" s="210">
        <f t="shared" si="62"/>
        <v>-63.552698575863836</v>
      </c>
      <c r="CV50" s="210">
        <f t="shared" si="62"/>
        <v>-63.552698575863836</v>
      </c>
      <c r="CW50" s="210">
        <f t="shared" si="62"/>
        <v>-63.552698575863836</v>
      </c>
      <c r="CX50" s="210">
        <f t="shared" si="62"/>
        <v>-63.552698575863836</v>
      </c>
      <c r="CY50" s="210">
        <f t="shared" si="62"/>
        <v>-63.552698575863836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142.21582898095406</v>
      </c>
      <c r="BU51" s="210">
        <f t="shared" si="65"/>
        <v>142.21582898095406</v>
      </c>
      <c r="BV51" s="210">
        <f t="shared" si="65"/>
        <v>142.21582898095406</v>
      </c>
      <c r="BW51" s="210">
        <f t="shared" si="65"/>
        <v>142.21582898095406</v>
      </c>
      <c r="BX51" s="210">
        <f t="shared" si="65"/>
        <v>142.21582898095406</v>
      </c>
      <c r="BY51" s="210">
        <f t="shared" si="65"/>
        <v>142.21582898095406</v>
      </c>
      <c r="BZ51" s="210">
        <f t="shared" si="65"/>
        <v>142.21582898095406</v>
      </c>
      <c r="CA51" s="210">
        <f t="shared" si="65"/>
        <v>142.21582898095406</v>
      </c>
      <c r="CB51" s="210">
        <f t="shared" si="65"/>
        <v>142.21582898095406</v>
      </c>
      <c r="CC51" s="210">
        <f t="shared" si="65"/>
        <v>142.21582898095406</v>
      </c>
      <c r="CD51" s="210">
        <f t="shared" si="65"/>
        <v>142.21582898095406</v>
      </c>
      <c r="CE51" s="210">
        <f t="shared" si="65"/>
        <v>142.21582898095406</v>
      </c>
      <c r="CF51" s="210">
        <f t="shared" si="65"/>
        <v>142.21582898095406</v>
      </c>
      <c r="CG51" s="210">
        <f t="shared" si="65"/>
        <v>142.21582898095406</v>
      </c>
      <c r="CH51" s="210">
        <f t="shared" si="65"/>
        <v>142.21582898095406</v>
      </c>
      <c r="CI51" s="210">
        <f t="shared" si="65"/>
        <v>142.21582898095406</v>
      </c>
      <c r="CJ51" s="210">
        <f t="shared" si="65"/>
        <v>142.21582898095406</v>
      </c>
      <c r="CK51" s="210">
        <f t="shared" si="65"/>
        <v>142.21582898095406</v>
      </c>
      <c r="CL51" s="210">
        <f t="shared" si="65"/>
        <v>142.21582898095406</v>
      </c>
      <c r="CM51" s="210">
        <f t="shared" si="65"/>
        <v>142.21582898095406</v>
      </c>
      <c r="CN51" s="210">
        <f t="shared" si="65"/>
        <v>142.21582898095406</v>
      </c>
      <c r="CO51" s="210">
        <f t="shared" si="65"/>
        <v>142.21582898095406</v>
      </c>
      <c r="CP51" s="210">
        <f t="shared" si="65"/>
        <v>-319.98561520714662</v>
      </c>
      <c r="CQ51" s="210">
        <f t="shared" si="65"/>
        <v>-319.98561520714662</v>
      </c>
      <c r="CR51" s="210">
        <f t="shared" si="65"/>
        <v>-319.98561520714662</v>
      </c>
      <c r="CS51" s="210">
        <f t="shared" si="65"/>
        <v>-319.98561520714662</v>
      </c>
      <c r="CT51" s="210">
        <f t="shared" si="65"/>
        <v>-319.98561520714662</v>
      </c>
      <c r="CU51" s="210">
        <f t="shared" si="65"/>
        <v>-319.98561520714662</v>
      </c>
      <c r="CV51" s="210">
        <f t="shared" si="65"/>
        <v>-319.98561520714662</v>
      </c>
      <c r="CW51" s="210">
        <f t="shared" si="65"/>
        <v>-319.98561520714662</v>
      </c>
      <c r="CX51" s="210">
        <f t="shared" si="65"/>
        <v>-319.98561520714662</v>
      </c>
      <c r="CY51" s="210">
        <f t="shared" si="65"/>
        <v>-319.98561520714662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-16.573193867698912</v>
      </c>
      <c r="CQ52" s="210">
        <f t="shared" si="68"/>
        <v>-16.573193867698912</v>
      </c>
      <c r="CR52" s="210">
        <f t="shared" si="68"/>
        <v>-16.573193867698912</v>
      </c>
      <c r="CS52" s="210">
        <f t="shared" si="68"/>
        <v>-16.573193867698912</v>
      </c>
      <c r="CT52" s="210">
        <f t="shared" si="68"/>
        <v>-16.573193867698912</v>
      </c>
      <c r="CU52" s="210">
        <f t="shared" si="68"/>
        <v>-16.573193867698912</v>
      </c>
      <c r="CV52" s="210">
        <f t="shared" si="68"/>
        <v>-16.573193867698912</v>
      </c>
      <c r="CW52" s="210">
        <f t="shared" si="68"/>
        <v>-16.573193867698912</v>
      </c>
      <c r="CX52" s="210">
        <f t="shared" si="68"/>
        <v>-16.573193867698912</v>
      </c>
      <c r="CY52" s="210">
        <f t="shared" si="68"/>
        <v>-16.573193867698912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-2450.6552641204121</v>
      </c>
      <c r="CQ53" s="210">
        <f t="shared" si="71"/>
        <v>-2450.6552641204121</v>
      </c>
      <c r="CR53" s="210">
        <f t="shared" si="71"/>
        <v>-2450.6552641204121</v>
      </c>
      <c r="CS53" s="210">
        <f t="shared" si="71"/>
        <v>-2450.6552641204121</v>
      </c>
      <c r="CT53" s="210">
        <f t="shared" si="71"/>
        <v>-2450.6552641204121</v>
      </c>
      <c r="CU53" s="210">
        <f t="shared" si="71"/>
        <v>-2450.6552641204121</v>
      </c>
      <c r="CV53" s="210">
        <f t="shared" si="71"/>
        <v>-2450.6552641204121</v>
      </c>
      <c r="CW53" s="210">
        <f t="shared" si="71"/>
        <v>-2450.6552641204121</v>
      </c>
      <c r="CX53" s="210">
        <f t="shared" si="71"/>
        <v>-2450.6552641204121</v>
      </c>
      <c r="CY53" s="210">
        <f t="shared" si="71"/>
        <v>-2450.6552641204121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3956.4575360895724</v>
      </c>
      <c r="G59" s="204">
        <f t="shared" si="75"/>
        <v>3956.4575360895724</v>
      </c>
      <c r="H59" s="204">
        <f t="shared" si="75"/>
        <v>3956.4575360895724</v>
      </c>
      <c r="I59" s="204">
        <f t="shared" si="75"/>
        <v>3956.4575360895724</v>
      </c>
      <c r="J59" s="204">
        <f t="shared" si="75"/>
        <v>3956.4575360895724</v>
      </c>
      <c r="K59" s="204">
        <f t="shared" si="75"/>
        <v>3956.4575360895724</v>
      </c>
      <c r="L59" s="204">
        <f t="shared" si="75"/>
        <v>3956.4575360895724</v>
      </c>
      <c r="M59" s="204">
        <f t="shared" si="75"/>
        <v>3956.4575360895724</v>
      </c>
      <c r="N59" s="204">
        <f t="shared" si="75"/>
        <v>3956.4575360895724</v>
      </c>
      <c r="O59" s="204">
        <f t="shared" si="75"/>
        <v>3956.4575360895724</v>
      </c>
      <c r="P59" s="204">
        <f t="shared" si="75"/>
        <v>3956.4575360895724</v>
      </c>
      <c r="Q59" s="204">
        <f t="shared" si="75"/>
        <v>3956.4575360895724</v>
      </c>
      <c r="R59" s="204">
        <f t="shared" si="75"/>
        <v>3956.4575360895724</v>
      </c>
      <c r="S59" s="204">
        <f t="shared" si="75"/>
        <v>3956.4575360895724</v>
      </c>
      <c r="T59" s="204">
        <f t="shared" si="75"/>
        <v>3956.4575360895724</v>
      </c>
      <c r="U59" s="204">
        <f t="shared" si="75"/>
        <v>3956.4575360895724</v>
      </c>
      <c r="V59" s="204">
        <f t="shared" si="75"/>
        <v>3956.4575360895724</v>
      </c>
      <c r="W59" s="204">
        <f t="shared" si="75"/>
        <v>3956.4575360895724</v>
      </c>
      <c r="X59" s="204">
        <f t="shared" si="75"/>
        <v>3956.4575360895724</v>
      </c>
      <c r="Y59" s="204">
        <f t="shared" si="75"/>
        <v>3956.4575360895724</v>
      </c>
      <c r="Z59" s="204">
        <f t="shared" si="75"/>
        <v>3956.4575360895724</v>
      </c>
      <c r="AA59" s="204">
        <f t="shared" si="75"/>
        <v>3956.4575360895724</v>
      </c>
      <c r="AB59" s="204">
        <f t="shared" si="75"/>
        <v>3956.4575360895724</v>
      </c>
      <c r="AC59" s="204">
        <f t="shared" si="75"/>
        <v>3956.4575360895724</v>
      </c>
      <c r="AD59" s="204">
        <f t="shared" si="75"/>
        <v>3956.4575360895724</v>
      </c>
      <c r="AE59" s="204">
        <f t="shared" si="75"/>
        <v>3956.4575360895724</v>
      </c>
      <c r="AF59" s="204">
        <f t="shared" si="75"/>
        <v>3967.0771574856803</v>
      </c>
      <c r="AG59" s="204">
        <f t="shared" si="75"/>
        <v>3977.6967788817888</v>
      </c>
      <c r="AH59" s="204">
        <f t="shared" si="75"/>
        <v>3988.3164002778967</v>
      </c>
      <c r="AI59" s="204">
        <f t="shared" si="75"/>
        <v>3998.9360216740047</v>
      </c>
      <c r="AJ59" s="204">
        <f t="shared" si="75"/>
        <v>4009.5556430701131</v>
      </c>
      <c r="AK59" s="204">
        <f t="shared" si="75"/>
        <v>4020.1752644662211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4030.794885862329</v>
      </c>
      <c r="AM59" s="204">
        <f t="shared" si="76"/>
        <v>4041.4145072584374</v>
      </c>
      <c r="AN59" s="204">
        <f t="shared" si="76"/>
        <v>4052.0341286545454</v>
      </c>
      <c r="AO59" s="204">
        <f t="shared" si="76"/>
        <v>4062.6537500506538</v>
      </c>
      <c r="AP59" s="204">
        <f t="shared" si="76"/>
        <v>4073.2733714467618</v>
      </c>
      <c r="AQ59" s="204">
        <f t="shared" si="76"/>
        <v>4083.8929928428697</v>
      </c>
      <c r="AR59" s="204">
        <f t="shared" si="76"/>
        <v>4094.5126142389781</v>
      </c>
      <c r="AS59" s="204">
        <f t="shared" si="76"/>
        <v>4105.1322356350856</v>
      </c>
      <c r="AT59" s="204">
        <f t="shared" si="76"/>
        <v>4115.751857031194</v>
      </c>
      <c r="AU59" s="204">
        <f t="shared" si="76"/>
        <v>4126.3714784273025</v>
      </c>
      <c r="AV59" s="204">
        <f t="shared" si="76"/>
        <v>4136.99109982341</v>
      </c>
      <c r="AW59" s="204">
        <f t="shared" si="76"/>
        <v>4147.6107212195184</v>
      </c>
      <c r="AX59" s="204">
        <f t="shared" si="76"/>
        <v>4158.2303426156268</v>
      </c>
      <c r="AY59" s="204">
        <f t="shared" si="76"/>
        <v>4168.8499640117352</v>
      </c>
      <c r="AZ59" s="204">
        <f t="shared" si="76"/>
        <v>4179.4695854078427</v>
      </c>
      <c r="BA59" s="204">
        <f t="shared" si="76"/>
        <v>4190.0892068039511</v>
      </c>
      <c r="BB59" s="204">
        <f t="shared" si="76"/>
        <v>4200.7088282000595</v>
      </c>
      <c r="BC59" s="204">
        <f t="shared" si="76"/>
        <v>4211.328449596167</v>
      </c>
      <c r="BD59" s="204">
        <f t="shared" si="76"/>
        <v>4221.9480709922755</v>
      </c>
      <c r="BE59" s="204">
        <f t="shared" si="76"/>
        <v>4232.5676923883839</v>
      </c>
      <c r="BF59" s="204">
        <f t="shared" si="76"/>
        <v>4243.1873137844914</v>
      </c>
      <c r="BG59" s="204">
        <f t="shared" si="76"/>
        <v>4253.8069351805998</v>
      </c>
      <c r="BH59" s="204">
        <f t="shared" si="76"/>
        <v>4264.4265565767082</v>
      </c>
      <c r="BI59" s="204">
        <f t="shared" si="76"/>
        <v>4275.0461779728157</v>
      </c>
      <c r="BJ59" s="204">
        <f t="shared" si="76"/>
        <v>4285.6657993689241</v>
      </c>
      <c r="BK59" s="204">
        <f t="shared" si="76"/>
        <v>4296.2854207650325</v>
      </c>
      <c r="BL59" s="204">
        <f t="shared" si="76"/>
        <v>4306.90504216114</v>
      </c>
      <c r="BM59" s="204">
        <f t="shared" si="76"/>
        <v>4317.5246635572485</v>
      </c>
      <c r="BN59" s="204">
        <f t="shared" si="76"/>
        <v>4328.1442849533569</v>
      </c>
      <c r="BO59" s="204">
        <f t="shared" si="76"/>
        <v>4338.7639063494644</v>
      </c>
      <c r="BP59" s="204">
        <f t="shared" si="76"/>
        <v>4349.3835277455728</v>
      </c>
      <c r="BQ59" s="204">
        <f t="shared" si="76"/>
        <v>4360.0031491416812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4370.6227705377887</v>
      </c>
      <c r="BS59" s="204">
        <f t="shared" si="77"/>
        <v>4381.2423919338971</v>
      </c>
      <c r="BT59" s="204">
        <f t="shared" si="77"/>
        <v>4457.5366735472435</v>
      </c>
      <c r="BU59" s="204">
        <f t="shared" si="77"/>
        <v>4533.8309551605889</v>
      </c>
      <c r="BV59" s="204">
        <f t="shared" si="77"/>
        <v>4610.1252367739353</v>
      </c>
      <c r="BW59" s="204">
        <f t="shared" si="77"/>
        <v>4686.4195183872816</v>
      </c>
      <c r="BX59" s="204">
        <f t="shared" si="77"/>
        <v>4762.713800000628</v>
      </c>
      <c r="BY59" s="204">
        <f t="shared" si="77"/>
        <v>4839.0080816139734</v>
      </c>
      <c r="BZ59" s="204">
        <f t="shared" si="77"/>
        <v>4915.3023632273198</v>
      </c>
      <c r="CA59" s="204">
        <f t="shared" si="77"/>
        <v>4991.5966448406662</v>
      </c>
      <c r="CB59" s="204">
        <f t="shared" si="77"/>
        <v>5067.8909264540125</v>
      </c>
      <c r="CC59" s="204">
        <f t="shared" si="77"/>
        <v>5144.185208067358</v>
      </c>
      <c r="CD59" s="204">
        <f t="shared" si="77"/>
        <v>5220.4794896807043</v>
      </c>
      <c r="CE59" s="204">
        <f t="shared" si="77"/>
        <v>5296.7737712940507</v>
      </c>
      <c r="CF59" s="204">
        <f t="shared" si="77"/>
        <v>5373.0680529073961</v>
      </c>
      <c r="CG59" s="204">
        <f t="shared" si="77"/>
        <v>5449.3623345207425</v>
      </c>
      <c r="CH59" s="204">
        <f t="shared" si="77"/>
        <v>5525.6566161340888</v>
      </c>
      <c r="CI59" s="204">
        <f t="shared" si="77"/>
        <v>5601.9508977474343</v>
      </c>
      <c r="CJ59" s="204">
        <f t="shared" si="77"/>
        <v>5678.2451793607806</v>
      </c>
      <c r="CK59" s="204">
        <f t="shared" si="77"/>
        <v>5754.539460974127</v>
      </c>
      <c r="CL59" s="204">
        <f t="shared" si="77"/>
        <v>5830.8337425874734</v>
      </c>
      <c r="CM59" s="204">
        <f t="shared" si="77"/>
        <v>5907.1280242008197</v>
      </c>
      <c r="CN59" s="204">
        <f t="shared" si="77"/>
        <v>5983.4223058141652</v>
      </c>
      <c r="CO59" s="204">
        <f t="shared" si="77"/>
        <v>6059.7165874275115</v>
      </c>
      <c r="CP59" s="204">
        <f t="shared" si="77"/>
        <v>6101.3127512950723</v>
      </c>
      <c r="CQ59" s="204">
        <f t="shared" si="77"/>
        <v>6108.2107974168484</v>
      </c>
      <c r="CR59" s="204">
        <f t="shared" si="77"/>
        <v>6115.1088435386246</v>
      </c>
      <c r="CS59" s="204">
        <f t="shared" si="77"/>
        <v>6122.0068896604007</v>
      </c>
      <c r="CT59" s="204">
        <f t="shared" si="77"/>
        <v>6128.9049357821768</v>
      </c>
      <c r="CU59" s="204">
        <f t="shared" si="77"/>
        <v>6135.8029819039539</v>
      </c>
      <c r="CV59" s="204">
        <f t="shared" si="77"/>
        <v>6142.70102802573</v>
      </c>
      <c r="CW59" s="204">
        <f t="shared" si="77"/>
        <v>6149.5990741475061</v>
      </c>
      <c r="CX59" s="204">
        <f t="shared" si="77"/>
        <v>6156.4971202692823</v>
      </c>
      <c r="CY59" s="204">
        <f t="shared" si="77"/>
        <v>6163.3951663910584</v>
      </c>
      <c r="CZ59" s="204">
        <f t="shared" si="77"/>
        <v>6220.0241894519468</v>
      </c>
      <c r="DA59" s="204">
        <f t="shared" si="77"/>
        <v>6326.3841894519464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30.961571101061871</v>
      </c>
      <c r="AG60" s="204">
        <f t="shared" si="78"/>
        <v>61.923142202123742</v>
      </c>
      <c r="AH60" s="204">
        <f t="shared" si="78"/>
        <v>92.884713303185606</v>
      </c>
      <c r="AI60" s="204">
        <f t="shared" si="78"/>
        <v>123.84628440424748</v>
      </c>
      <c r="AJ60" s="204">
        <f t="shared" si="78"/>
        <v>154.80785550530936</v>
      </c>
      <c r="AK60" s="204">
        <f t="shared" si="78"/>
        <v>185.76942660637121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216.73099770743309</v>
      </c>
      <c r="AM60" s="204">
        <f t="shared" si="79"/>
        <v>247.69256880849497</v>
      </c>
      <c r="AN60" s="204">
        <f t="shared" si="79"/>
        <v>278.65413990955682</v>
      </c>
      <c r="AO60" s="204">
        <f t="shared" si="79"/>
        <v>309.61571101061872</v>
      </c>
      <c r="AP60" s="204">
        <f t="shared" si="79"/>
        <v>340.57728211168057</v>
      </c>
      <c r="AQ60" s="204">
        <f t="shared" si="79"/>
        <v>371.53885321274242</v>
      </c>
      <c r="AR60" s="204">
        <f t="shared" si="79"/>
        <v>402.50042431380433</v>
      </c>
      <c r="AS60" s="204">
        <f t="shared" si="79"/>
        <v>433.46199541486618</v>
      </c>
      <c r="AT60" s="204">
        <f t="shared" si="79"/>
        <v>464.42356651592809</v>
      </c>
      <c r="AU60" s="204">
        <f t="shared" si="79"/>
        <v>495.38513761698994</v>
      </c>
      <c r="AV60" s="204">
        <f t="shared" si="79"/>
        <v>526.34670871805179</v>
      </c>
      <c r="AW60" s="204">
        <f t="shared" si="79"/>
        <v>557.30827981911364</v>
      </c>
      <c r="AX60" s="204">
        <f t="shared" si="79"/>
        <v>588.2698509201756</v>
      </c>
      <c r="AY60" s="204">
        <f t="shared" si="79"/>
        <v>619.23142202123745</v>
      </c>
      <c r="AZ60" s="204">
        <f t="shared" si="79"/>
        <v>650.1929931222993</v>
      </c>
      <c r="BA60" s="204">
        <f t="shared" si="79"/>
        <v>681.15456422336115</v>
      </c>
      <c r="BB60" s="204">
        <f t="shared" si="79"/>
        <v>712.116135324423</v>
      </c>
      <c r="BC60" s="204">
        <f t="shared" si="79"/>
        <v>743.07770642548485</v>
      </c>
      <c r="BD60" s="204">
        <f t="shared" si="79"/>
        <v>774.03927752654681</v>
      </c>
      <c r="BE60" s="204">
        <f t="shared" si="79"/>
        <v>805.00084862760866</v>
      </c>
      <c r="BF60" s="204">
        <f t="shared" si="79"/>
        <v>835.96241972867051</v>
      </c>
      <c r="BG60" s="204">
        <f t="shared" si="79"/>
        <v>866.92399082973236</v>
      </c>
      <c r="BH60" s="204">
        <f t="shared" si="79"/>
        <v>897.88556193079421</v>
      </c>
      <c r="BI60" s="204">
        <f t="shared" si="79"/>
        <v>928.84713303185617</v>
      </c>
      <c r="BJ60" s="204">
        <f t="shared" si="79"/>
        <v>959.80870413291802</v>
      </c>
      <c r="BK60" s="204">
        <f t="shared" si="79"/>
        <v>990.77027523397987</v>
      </c>
      <c r="BL60" s="204">
        <f t="shared" si="79"/>
        <v>1021.7318463350417</v>
      </c>
      <c r="BM60" s="204">
        <f t="shared" si="79"/>
        <v>1052.6934174361036</v>
      </c>
      <c r="BN60" s="204">
        <f t="shared" si="79"/>
        <v>1083.6549885371655</v>
      </c>
      <c r="BO60" s="204">
        <f t="shared" si="79"/>
        <v>1114.6165596382273</v>
      </c>
      <c r="BP60" s="204">
        <f t="shared" si="79"/>
        <v>1145.5781307392892</v>
      </c>
      <c r="BQ60" s="204">
        <f t="shared" si="79"/>
        <v>1176.5397018403512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1207.5012729414129</v>
      </c>
      <c r="BS60" s="204">
        <f t="shared" si="80"/>
        <v>1238.4628440424749</v>
      </c>
      <c r="BT60" s="204">
        <f t="shared" si="80"/>
        <v>1421.8290865017143</v>
      </c>
      <c r="BU60" s="204">
        <f t="shared" si="80"/>
        <v>1605.1953289609537</v>
      </c>
      <c r="BV60" s="204">
        <f t="shared" si="80"/>
        <v>1788.5615714201931</v>
      </c>
      <c r="BW60" s="204">
        <f t="shared" si="80"/>
        <v>1971.9278138794325</v>
      </c>
      <c r="BX60" s="204">
        <f t="shared" si="80"/>
        <v>2155.2940563386719</v>
      </c>
      <c r="BY60" s="204">
        <f t="shared" si="80"/>
        <v>2338.6602987979113</v>
      </c>
      <c r="BZ60" s="204">
        <f t="shared" si="80"/>
        <v>2522.0265412571507</v>
      </c>
      <c r="CA60" s="204">
        <f t="shared" si="80"/>
        <v>2705.3927837163901</v>
      </c>
      <c r="CB60" s="204">
        <f t="shared" si="80"/>
        <v>2888.7590261756295</v>
      </c>
      <c r="CC60" s="204">
        <f t="shared" si="80"/>
        <v>3072.1252686348689</v>
      </c>
      <c r="CD60" s="204">
        <f t="shared" si="80"/>
        <v>3255.4915110941083</v>
      </c>
      <c r="CE60" s="204">
        <f t="shared" si="80"/>
        <v>3438.8577535533473</v>
      </c>
      <c r="CF60" s="204">
        <f t="shared" si="80"/>
        <v>3622.2239960125867</v>
      </c>
      <c r="CG60" s="204">
        <f t="shared" si="80"/>
        <v>3805.5902384718261</v>
      </c>
      <c r="CH60" s="204">
        <f t="shared" si="80"/>
        <v>3988.9564809310655</v>
      </c>
      <c r="CI60" s="204">
        <f t="shared" si="80"/>
        <v>4172.3227233903053</v>
      </c>
      <c r="CJ60" s="204">
        <f t="shared" si="80"/>
        <v>4355.6889658495438</v>
      </c>
      <c r="CK60" s="204">
        <f t="shared" si="80"/>
        <v>4539.0552083087841</v>
      </c>
      <c r="CL60" s="204">
        <f t="shared" si="80"/>
        <v>4722.4214507680226</v>
      </c>
      <c r="CM60" s="204">
        <f t="shared" si="80"/>
        <v>4905.7876932272629</v>
      </c>
      <c r="CN60" s="204">
        <f t="shared" si="80"/>
        <v>5089.1539356865014</v>
      </c>
      <c r="CO60" s="204">
        <f t="shared" si="80"/>
        <v>5272.5201781457417</v>
      </c>
      <c r="CP60" s="204">
        <f t="shared" si="80"/>
        <v>5476.1571142843841</v>
      </c>
      <c r="CQ60" s="204">
        <f t="shared" si="80"/>
        <v>5700.0647441024303</v>
      </c>
      <c r="CR60" s="204">
        <f t="shared" si="80"/>
        <v>5923.9723739204765</v>
      </c>
      <c r="CS60" s="204">
        <f t="shared" si="80"/>
        <v>6147.8800037385217</v>
      </c>
      <c r="CT60" s="204">
        <f t="shared" si="80"/>
        <v>6371.7876335565679</v>
      </c>
      <c r="CU60" s="204">
        <f t="shared" si="80"/>
        <v>6595.6952633746141</v>
      </c>
      <c r="CV60" s="204">
        <f t="shared" si="80"/>
        <v>6819.6028931926603</v>
      </c>
      <c r="CW60" s="204">
        <f t="shared" si="80"/>
        <v>7043.5105230107056</v>
      </c>
      <c r="CX60" s="204">
        <f t="shared" si="80"/>
        <v>7267.4181528287518</v>
      </c>
      <c r="CY60" s="204">
        <f t="shared" si="80"/>
        <v>7491.325782646798</v>
      </c>
      <c r="CZ60" s="204">
        <f t="shared" si="80"/>
        <v>7965.7095975558213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8690.569597555821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279.81896093684895</v>
      </c>
      <c r="G61" s="204">
        <f t="shared" si="81"/>
        <v>279.81896093684895</v>
      </c>
      <c r="H61" s="204">
        <f t="shared" si="81"/>
        <v>279.81896093684895</v>
      </c>
      <c r="I61" s="204">
        <f t="shared" si="81"/>
        <v>279.81896093684895</v>
      </c>
      <c r="J61" s="204">
        <f t="shared" si="81"/>
        <v>279.81896093684895</v>
      </c>
      <c r="K61" s="204">
        <f t="shared" si="81"/>
        <v>279.81896093684895</v>
      </c>
      <c r="L61" s="204">
        <f t="shared" si="81"/>
        <v>279.81896093684895</v>
      </c>
      <c r="M61" s="204">
        <f t="shared" si="81"/>
        <v>279.81896093684895</v>
      </c>
      <c r="N61" s="204">
        <f t="shared" si="81"/>
        <v>279.81896093684895</v>
      </c>
      <c r="O61" s="204">
        <f t="shared" si="81"/>
        <v>279.81896093684895</v>
      </c>
      <c r="P61" s="204">
        <f t="shared" si="81"/>
        <v>279.81896093684895</v>
      </c>
      <c r="Q61" s="204">
        <f t="shared" si="81"/>
        <v>279.81896093684895</v>
      </c>
      <c r="R61" s="204">
        <f t="shared" si="81"/>
        <v>279.81896093684895</v>
      </c>
      <c r="S61" s="204">
        <f t="shared" si="81"/>
        <v>279.81896093684895</v>
      </c>
      <c r="T61" s="204">
        <f t="shared" si="81"/>
        <v>279.81896093684895</v>
      </c>
      <c r="U61" s="204">
        <f t="shared" si="81"/>
        <v>279.81896093684895</v>
      </c>
      <c r="V61" s="204">
        <f t="shared" si="81"/>
        <v>279.81896093684895</v>
      </c>
      <c r="W61" s="204">
        <f t="shared" si="81"/>
        <v>279.81896093684895</v>
      </c>
      <c r="X61" s="204">
        <f t="shared" si="81"/>
        <v>279.81896093684895</v>
      </c>
      <c r="Y61" s="204">
        <f t="shared" si="81"/>
        <v>279.81896093684895</v>
      </c>
      <c r="Z61" s="204">
        <f t="shared" si="81"/>
        <v>279.81896093684895</v>
      </c>
      <c r="AA61" s="204">
        <f t="shared" si="81"/>
        <v>279.81896093684895</v>
      </c>
      <c r="AB61" s="204">
        <f t="shared" si="81"/>
        <v>279.81896093684895</v>
      </c>
      <c r="AC61" s="204">
        <f t="shared" si="81"/>
        <v>279.81896093684895</v>
      </c>
      <c r="AD61" s="204">
        <f t="shared" si="81"/>
        <v>279.81896093684895</v>
      </c>
      <c r="AE61" s="204">
        <f t="shared" si="81"/>
        <v>279.81896093684895</v>
      </c>
      <c r="AF61" s="204">
        <f t="shared" si="81"/>
        <v>283.63482558397311</v>
      </c>
      <c r="AG61" s="204">
        <f t="shared" si="81"/>
        <v>287.45069023109733</v>
      </c>
      <c r="AH61" s="204">
        <f t="shared" si="81"/>
        <v>291.26655487822148</v>
      </c>
      <c r="AI61" s="204">
        <f t="shared" si="81"/>
        <v>295.08241952534564</v>
      </c>
      <c r="AJ61" s="204">
        <f t="shared" si="81"/>
        <v>298.89828417246986</v>
      </c>
      <c r="AK61" s="204">
        <f t="shared" si="81"/>
        <v>302.71414881959402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306.53001346671817</v>
      </c>
      <c r="AM61" s="204">
        <f t="shared" si="82"/>
        <v>310.34587811384239</v>
      </c>
      <c r="AN61" s="204">
        <f t="shared" si="82"/>
        <v>314.16174276096655</v>
      </c>
      <c r="AO61" s="204">
        <f t="shared" si="82"/>
        <v>317.97760740809071</v>
      </c>
      <c r="AP61" s="204">
        <f t="shared" si="82"/>
        <v>321.79347205521492</v>
      </c>
      <c r="AQ61" s="204">
        <f t="shared" si="82"/>
        <v>325.60933670233908</v>
      </c>
      <c r="AR61" s="204">
        <f t="shared" si="82"/>
        <v>329.42520134946324</v>
      </c>
      <c r="AS61" s="204">
        <f t="shared" si="82"/>
        <v>333.24106599658745</v>
      </c>
      <c r="AT61" s="204">
        <f t="shared" si="82"/>
        <v>337.05693064371161</v>
      </c>
      <c r="AU61" s="204">
        <f t="shared" si="82"/>
        <v>340.87279529083577</v>
      </c>
      <c r="AV61" s="204">
        <f t="shared" si="82"/>
        <v>344.68865993795998</v>
      </c>
      <c r="AW61" s="204">
        <f t="shared" si="82"/>
        <v>348.50452458508414</v>
      </c>
      <c r="AX61" s="204">
        <f t="shared" si="82"/>
        <v>352.3203892322083</v>
      </c>
      <c r="AY61" s="204">
        <f t="shared" si="82"/>
        <v>356.13625387933246</v>
      </c>
      <c r="AZ61" s="204">
        <f t="shared" si="82"/>
        <v>359.95211852645667</v>
      </c>
      <c r="BA61" s="204">
        <f t="shared" si="82"/>
        <v>363.76798317358083</v>
      </c>
      <c r="BB61" s="204">
        <f t="shared" si="82"/>
        <v>367.58384782070505</v>
      </c>
      <c r="BC61" s="204">
        <f t="shared" si="82"/>
        <v>371.3997124678292</v>
      </c>
      <c r="BD61" s="204">
        <f t="shared" si="82"/>
        <v>375.21557711495336</v>
      </c>
      <c r="BE61" s="204">
        <f t="shared" si="82"/>
        <v>379.03144176207752</v>
      </c>
      <c r="BF61" s="204">
        <f t="shared" si="82"/>
        <v>382.84730640920174</v>
      </c>
      <c r="BG61" s="204">
        <f t="shared" si="82"/>
        <v>386.66317105632589</v>
      </c>
      <c r="BH61" s="204">
        <f t="shared" si="82"/>
        <v>390.47903570345011</v>
      </c>
      <c r="BI61" s="204">
        <f t="shared" si="82"/>
        <v>394.29490035057427</v>
      </c>
      <c r="BJ61" s="204">
        <f t="shared" si="82"/>
        <v>398.11076499769842</v>
      </c>
      <c r="BK61" s="204">
        <f t="shared" si="82"/>
        <v>401.92662964482258</v>
      </c>
      <c r="BL61" s="204">
        <f t="shared" si="82"/>
        <v>405.7424942919468</v>
      </c>
      <c r="BM61" s="204">
        <f t="shared" si="82"/>
        <v>409.55835893907096</v>
      </c>
      <c r="BN61" s="204">
        <f t="shared" si="82"/>
        <v>413.37422358619517</v>
      </c>
      <c r="BO61" s="204">
        <f t="shared" si="82"/>
        <v>417.19008823331933</v>
      </c>
      <c r="BP61" s="204">
        <f t="shared" si="82"/>
        <v>421.00595288044349</v>
      </c>
      <c r="BQ61" s="204">
        <f t="shared" si="82"/>
        <v>424.82181752756765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428.63768217469186</v>
      </c>
      <c r="BS61" s="204">
        <f t="shared" si="83"/>
        <v>432.45354682181602</v>
      </c>
      <c r="BT61" s="204">
        <f t="shared" si="83"/>
        <v>446.35191207754951</v>
      </c>
      <c r="BU61" s="204">
        <f t="shared" si="83"/>
        <v>460.25027733328301</v>
      </c>
      <c r="BV61" s="204">
        <f t="shared" si="83"/>
        <v>474.1486425890165</v>
      </c>
      <c r="BW61" s="204">
        <f t="shared" si="83"/>
        <v>488.04700784474994</v>
      </c>
      <c r="BX61" s="204">
        <f t="shared" si="83"/>
        <v>501.94537310048349</v>
      </c>
      <c r="BY61" s="204">
        <f t="shared" si="83"/>
        <v>515.84373835621693</v>
      </c>
      <c r="BZ61" s="204">
        <f t="shared" si="83"/>
        <v>529.74210361195037</v>
      </c>
      <c r="CA61" s="204">
        <f t="shared" si="83"/>
        <v>543.64046886768392</v>
      </c>
      <c r="CB61" s="204">
        <f t="shared" si="83"/>
        <v>557.53883412341747</v>
      </c>
      <c r="CC61" s="204">
        <f t="shared" si="83"/>
        <v>571.43719937915091</v>
      </c>
      <c r="CD61" s="204">
        <f t="shared" si="83"/>
        <v>585.33556463488435</v>
      </c>
      <c r="CE61" s="204">
        <f t="shared" si="83"/>
        <v>599.2339298906179</v>
      </c>
      <c r="CF61" s="204">
        <f t="shared" si="83"/>
        <v>613.13229514635134</v>
      </c>
      <c r="CG61" s="204">
        <f t="shared" si="83"/>
        <v>627.03066040208478</v>
      </c>
      <c r="CH61" s="204">
        <f t="shared" si="83"/>
        <v>640.92902565781833</v>
      </c>
      <c r="CI61" s="204">
        <f t="shared" si="83"/>
        <v>654.82739091355188</v>
      </c>
      <c r="CJ61" s="204">
        <f t="shared" si="83"/>
        <v>668.72575616928532</v>
      </c>
      <c r="CK61" s="204">
        <f t="shared" si="83"/>
        <v>682.62412142501876</v>
      </c>
      <c r="CL61" s="204">
        <f t="shared" si="83"/>
        <v>696.52248668075231</v>
      </c>
      <c r="CM61" s="204">
        <f t="shared" si="83"/>
        <v>710.42085193648586</v>
      </c>
      <c r="CN61" s="204">
        <f t="shared" si="83"/>
        <v>724.31921719221918</v>
      </c>
      <c r="CO61" s="204">
        <f t="shared" si="83"/>
        <v>738.21758244795274</v>
      </c>
      <c r="CP61" s="204">
        <f t="shared" si="83"/>
        <v>804.95154812959004</v>
      </c>
      <c r="CQ61" s="204">
        <f t="shared" si="83"/>
        <v>924.52111423713109</v>
      </c>
      <c r="CR61" s="204">
        <f t="shared" si="83"/>
        <v>1044.0906803446724</v>
      </c>
      <c r="CS61" s="204">
        <f t="shared" si="83"/>
        <v>1163.6602464522134</v>
      </c>
      <c r="CT61" s="204">
        <f t="shared" si="83"/>
        <v>1283.2298125597545</v>
      </c>
      <c r="CU61" s="204">
        <f t="shared" si="83"/>
        <v>1402.7993786672955</v>
      </c>
      <c r="CV61" s="204">
        <f t="shared" si="83"/>
        <v>1522.3689447748366</v>
      </c>
      <c r="CW61" s="204">
        <f t="shared" si="83"/>
        <v>1641.9385108823776</v>
      </c>
      <c r="CX61" s="204">
        <f t="shared" si="83"/>
        <v>1761.5080769899187</v>
      </c>
      <c r="CY61" s="204">
        <f t="shared" si="83"/>
        <v>1881.0776430974599</v>
      </c>
      <c r="CZ61" s="204">
        <f t="shared" si="83"/>
        <v>1945.0779261512305</v>
      </c>
      <c r="DA61" s="204">
        <f t="shared" si="83"/>
        <v>1953.5089261512305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18.517686065228393</v>
      </c>
      <c r="AG63" s="204">
        <f t="shared" si="87"/>
        <v>37.035372130456786</v>
      </c>
      <c r="AH63" s="204">
        <f t="shared" si="87"/>
        <v>55.553058195685182</v>
      </c>
      <c r="AI63" s="204">
        <f t="shared" si="87"/>
        <v>74.070744260913571</v>
      </c>
      <c r="AJ63" s="204">
        <f t="shared" si="87"/>
        <v>92.58843032614196</v>
      </c>
      <c r="AK63" s="204">
        <f t="shared" si="87"/>
        <v>111.10611639137036</v>
      </c>
      <c r="AL63" s="204">
        <f t="shared" si="87"/>
        <v>129.62380245659875</v>
      </c>
      <c r="AM63" s="204">
        <f t="shared" si="87"/>
        <v>148.14148852182714</v>
      </c>
      <c r="AN63" s="204">
        <f t="shared" si="87"/>
        <v>166.65917458705553</v>
      </c>
      <c r="AO63" s="204">
        <f t="shared" si="87"/>
        <v>185.17686065228392</v>
      </c>
      <c r="AP63" s="204">
        <f t="shared" si="87"/>
        <v>203.69454671751231</v>
      </c>
      <c r="AQ63" s="204">
        <f t="shared" si="87"/>
        <v>222.21223278274073</v>
      </c>
      <c r="AR63" s="204">
        <f t="shared" si="87"/>
        <v>240.72991884796912</v>
      </c>
      <c r="AS63" s="204">
        <f t="shared" si="87"/>
        <v>259.24760491319751</v>
      </c>
      <c r="AT63" s="204">
        <f t="shared" si="87"/>
        <v>277.76529097842587</v>
      </c>
      <c r="AU63" s="204">
        <f t="shared" si="87"/>
        <v>296.28297704365428</v>
      </c>
      <c r="AV63" s="204">
        <f t="shared" si="87"/>
        <v>314.8006631088827</v>
      </c>
      <c r="AW63" s="204">
        <f t="shared" si="87"/>
        <v>333.31834917411106</v>
      </c>
      <c r="AX63" s="204">
        <f t="shared" si="87"/>
        <v>351.83603523933948</v>
      </c>
      <c r="AY63" s="204">
        <f t="shared" si="87"/>
        <v>370.35372130456784</v>
      </c>
      <c r="AZ63" s="204">
        <f t="shared" si="87"/>
        <v>388.87140736979626</v>
      </c>
      <c r="BA63" s="204">
        <f t="shared" si="87"/>
        <v>407.38909343502462</v>
      </c>
      <c r="BB63" s="204">
        <f t="shared" si="87"/>
        <v>425.90677950025304</v>
      </c>
      <c r="BC63" s="204">
        <f t="shared" si="87"/>
        <v>444.42446556548146</v>
      </c>
      <c r="BD63" s="204">
        <f t="shared" si="87"/>
        <v>462.94215163070982</v>
      </c>
      <c r="BE63" s="204">
        <f t="shared" si="87"/>
        <v>481.45983769593823</v>
      </c>
      <c r="BF63" s="204">
        <f t="shared" si="87"/>
        <v>499.97752376116659</v>
      </c>
      <c r="BG63" s="204">
        <f t="shared" si="87"/>
        <v>518.49520982639501</v>
      </c>
      <c r="BH63" s="204">
        <f t="shared" si="87"/>
        <v>537.01289589162343</v>
      </c>
      <c r="BI63" s="204">
        <f t="shared" si="87"/>
        <v>555.53058195685173</v>
      </c>
      <c r="BJ63" s="204">
        <f t="shared" si="87"/>
        <v>574.04826802208015</v>
      </c>
      <c r="BK63" s="204">
        <f t="shared" si="87"/>
        <v>592.56595408730857</v>
      </c>
      <c r="BL63" s="204">
        <f t="shared" si="87"/>
        <v>611.08364015253699</v>
      </c>
      <c r="BM63" s="204">
        <f t="shared" si="87"/>
        <v>629.6013262177654</v>
      </c>
      <c r="BN63" s="204">
        <f t="shared" si="87"/>
        <v>648.11901228299371</v>
      </c>
      <c r="BO63" s="204">
        <f t="shared" si="87"/>
        <v>666.63669834822213</v>
      </c>
      <c r="BP63" s="204">
        <f t="shared" si="87"/>
        <v>685.15438441345054</v>
      </c>
      <c r="BQ63" s="204">
        <f t="shared" si="87"/>
        <v>703.67207047867896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722.18975654390727</v>
      </c>
      <c r="BS63" s="204">
        <f t="shared" si="89"/>
        <v>740.70744260913568</v>
      </c>
      <c r="BT63" s="204">
        <f t="shared" si="89"/>
        <v>938.22942730490513</v>
      </c>
      <c r="BU63" s="204">
        <f t="shared" si="89"/>
        <v>1135.7514120006747</v>
      </c>
      <c r="BV63" s="204">
        <f t="shared" si="89"/>
        <v>1333.2733966964443</v>
      </c>
      <c r="BW63" s="204">
        <f t="shared" si="89"/>
        <v>1530.7953813922136</v>
      </c>
      <c r="BX63" s="204">
        <f t="shared" si="89"/>
        <v>1728.3173660879834</v>
      </c>
      <c r="BY63" s="204">
        <f t="shared" si="89"/>
        <v>1925.8393507837527</v>
      </c>
      <c r="BZ63" s="204">
        <f t="shared" si="89"/>
        <v>2123.361335479522</v>
      </c>
      <c r="CA63" s="204">
        <f t="shared" si="89"/>
        <v>2320.8833201752918</v>
      </c>
      <c r="CB63" s="204">
        <f t="shared" si="89"/>
        <v>2518.4053048710612</v>
      </c>
      <c r="CC63" s="204">
        <f t="shared" si="89"/>
        <v>2715.927289566831</v>
      </c>
      <c r="CD63" s="204">
        <f t="shared" si="89"/>
        <v>2913.4492742626003</v>
      </c>
      <c r="CE63" s="204">
        <f t="shared" si="89"/>
        <v>3110.9712589583696</v>
      </c>
      <c r="CF63" s="204">
        <f t="shared" si="89"/>
        <v>3308.4932436541394</v>
      </c>
      <c r="CG63" s="204">
        <f t="shared" si="89"/>
        <v>3506.0152283499087</v>
      </c>
      <c r="CH63" s="204">
        <f t="shared" si="89"/>
        <v>3703.5372130456785</v>
      </c>
      <c r="CI63" s="204">
        <f t="shared" si="89"/>
        <v>3901.0591977414479</v>
      </c>
      <c r="CJ63" s="204">
        <f t="shared" si="89"/>
        <v>4098.5811824372167</v>
      </c>
      <c r="CK63" s="204">
        <f t="shared" si="89"/>
        <v>4296.1031671329865</v>
      </c>
      <c r="CL63" s="204">
        <f t="shared" si="89"/>
        <v>4493.6251518287563</v>
      </c>
      <c r="CM63" s="204">
        <f t="shared" si="89"/>
        <v>4691.1471365245261</v>
      </c>
      <c r="CN63" s="204">
        <f t="shared" si="89"/>
        <v>4888.669121220295</v>
      </c>
      <c r="CO63" s="204">
        <f t="shared" si="89"/>
        <v>5086.1911059160648</v>
      </c>
      <c r="CP63" s="204">
        <f t="shared" si="89"/>
        <v>5653.2438036468366</v>
      </c>
      <c r="CQ63" s="204">
        <f t="shared" si="89"/>
        <v>6589.8272144126113</v>
      </c>
      <c r="CR63" s="204">
        <f t="shared" si="89"/>
        <v>7526.4106251783851</v>
      </c>
      <c r="CS63" s="204">
        <f t="shared" si="89"/>
        <v>8462.9940359441589</v>
      </c>
      <c r="CT63" s="204">
        <f t="shared" si="89"/>
        <v>9399.5774467099327</v>
      </c>
      <c r="CU63" s="204">
        <f t="shared" si="89"/>
        <v>10336.160857475707</v>
      </c>
      <c r="CV63" s="204">
        <f t="shared" si="89"/>
        <v>11272.74426824148</v>
      </c>
      <c r="CW63" s="204">
        <f t="shared" si="89"/>
        <v>12209.327679007256</v>
      </c>
      <c r="CX63" s="204">
        <f t="shared" si="89"/>
        <v>13145.911089773028</v>
      </c>
      <c r="CY63" s="204">
        <f t="shared" si="89"/>
        <v>14082.494500538804</v>
      </c>
      <c r="CZ63" s="204">
        <f t="shared" si="89"/>
        <v>14550.78620592169</v>
      </c>
      <c r="DA63" s="204">
        <f t="shared" si="89"/>
        <v>14550.78620592169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7.3334834932388331</v>
      </c>
      <c r="CQ64" s="204">
        <f t="shared" si="91"/>
        <v>22.000450479716498</v>
      </c>
      <c r="CR64" s="204">
        <f t="shared" si="91"/>
        <v>36.667417466194166</v>
      </c>
      <c r="CS64" s="204">
        <f t="shared" si="91"/>
        <v>51.334384452671834</v>
      </c>
      <c r="CT64" s="204">
        <f t="shared" si="91"/>
        <v>66.001351439149502</v>
      </c>
      <c r="CU64" s="204">
        <f t="shared" si="91"/>
        <v>80.668318425627163</v>
      </c>
      <c r="CV64" s="204">
        <f t="shared" si="91"/>
        <v>95.335285412104824</v>
      </c>
      <c r="CW64" s="204">
        <f t="shared" si="91"/>
        <v>110.0022523985825</v>
      </c>
      <c r="CX64" s="204">
        <f t="shared" si="91"/>
        <v>124.66921938506016</v>
      </c>
      <c r="CY64" s="204">
        <f t="shared" si="91"/>
        <v>139.33618637153782</v>
      </c>
      <c r="CZ64" s="204">
        <f t="shared" si="91"/>
        <v>172.76466986477661</v>
      </c>
      <c r="DA64" s="204">
        <f t="shared" si="91"/>
        <v>224.95466986477649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64.786035808178099</v>
      </c>
      <c r="AG65" s="204">
        <f t="shared" si="92"/>
        <v>129.5720716163562</v>
      </c>
      <c r="AH65" s="204">
        <f t="shared" si="92"/>
        <v>194.3581074245343</v>
      </c>
      <c r="AI65" s="204">
        <f t="shared" si="92"/>
        <v>259.14414323271239</v>
      </c>
      <c r="AJ65" s="204">
        <f t="shared" si="92"/>
        <v>323.93017904089049</v>
      </c>
      <c r="AK65" s="204">
        <f t="shared" si="92"/>
        <v>388.71621484906859</v>
      </c>
      <c r="AL65" s="204">
        <f t="shared" si="92"/>
        <v>453.50225065724669</v>
      </c>
      <c r="AM65" s="204">
        <f t="shared" si="92"/>
        <v>518.28828646542479</v>
      </c>
      <c r="AN65" s="204">
        <f t="shared" si="92"/>
        <v>583.07432227360289</v>
      </c>
      <c r="AO65" s="204">
        <f t="shared" si="92"/>
        <v>647.86035808178099</v>
      </c>
      <c r="AP65" s="204">
        <f t="shared" si="92"/>
        <v>712.64639388995909</v>
      </c>
      <c r="AQ65" s="204">
        <f t="shared" si="92"/>
        <v>777.43242969813718</v>
      </c>
      <c r="AR65" s="204">
        <f t="shared" si="92"/>
        <v>842.21846550631528</v>
      </c>
      <c r="AS65" s="204">
        <f t="shared" si="92"/>
        <v>907.00450131449338</v>
      </c>
      <c r="AT65" s="204">
        <f t="shared" si="92"/>
        <v>971.79053712267148</v>
      </c>
      <c r="AU65" s="204">
        <f t="shared" si="92"/>
        <v>1036.5765729308496</v>
      </c>
      <c r="AV65" s="204">
        <f t="shared" si="92"/>
        <v>1101.3626087390276</v>
      </c>
      <c r="AW65" s="204">
        <f t="shared" si="92"/>
        <v>1166.1486445472058</v>
      </c>
      <c r="AX65" s="204">
        <f t="shared" si="92"/>
        <v>1230.934680355384</v>
      </c>
      <c r="AY65" s="204">
        <f t="shared" si="92"/>
        <v>1295.720716163562</v>
      </c>
      <c r="AZ65" s="204">
        <f t="shared" si="92"/>
        <v>1360.50675197174</v>
      </c>
      <c r="BA65" s="204">
        <f t="shared" si="92"/>
        <v>1425.2927877799182</v>
      </c>
      <c r="BB65" s="204">
        <f t="shared" si="92"/>
        <v>1490.0788235880964</v>
      </c>
      <c r="BC65" s="204">
        <f t="shared" si="92"/>
        <v>1554.8648593962744</v>
      </c>
      <c r="BD65" s="204">
        <f t="shared" si="92"/>
        <v>1619.6508952044524</v>
      </c>
      <c r="BE65" s="204">
        <f t="shared" si="92"/>
        <v>1684.4369310126306</v>
      </c>
      <c r="BF65" s="204">
        <f t="shared" si="92"/>
        <v>1749.2229668208088</v>
      </c>
      <c r="BG65" s="204">
        <f t="shared" si="92"/>
        <v>1814.0090026289868</v>
      </c>
      <c r="BH65" s="204">
        <f t="shared" si="92"/>
        <v>1878.7950384371647</v>
      </c>
      <c r="BI65" s="204">
        <f t="shared" si="92"/>
        <v>1943.581074245343</v>
      </c>
      <c r="BJ65" s="204">
        <f t="shared" si="92"/>
        <v>2008.3671100535212</v>
      </c>
      <c r="BK65" s="204">
        <f t="shared" si="92"/>
        <v>2073.1531458616992</v>
      </c>
      <c r="BL65" s="204">
        <f t="shared" si="92"/>
        <v>2137.9391816698771</v>
      </c>
      <c r="BM65" s="204">
        <f t="shared" si="92"/>
        <v>2202.7252174780551</v>
      </c>
      <c r="BN65" s="204">
        <f t="shared" si="92"/>
        <v>2267.5112532862336</v>
      </c>
      <c r="BO65" s="204">
        <f t="shared" si="92"/>
        <v>2332.2972890944116</v>
      </c>
      <c r="BP65" s="204">
        <f t="shared" si="92"/>
        <v>2397.0833249025895</v>
      </c>
      <c r="BQ65" s="204">
        <f t="shared" si="92"/>
        <v>2461.869360710768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2526.655396518946</v>
      </c>
      <c r="BS65" s="204">
        <f t="shared" si="93"/>
        <v>2591.4414323271239</v>
      </c>
      <c r="BT65" s="204">
        <f t="shared" si="93"/>
        <v>2525.7784350541024</v>
      </c>
      <c r="BU65" s="204">
        <f t="shared" si="93"/>
        <v>2460.1154377810808</v>
      </c>
      <c r="BV65" s="204">
        <f t="shared" si="93"/>
        <v>2394.4524405080592</v>
      </c>
      <c r="BW65" s="204">
        <f t="shared" si="93"/>
        <v>2328.7894432350381</v>
      </c>
      <c r="BX65" s="204">
        <f t="shared" si="93"/>
        <v>2263.1264459620165</v>
      </c>
      <c r="BY65" s="204">
        <f t="shared" si="93"/>
        <v>2197.463448688995</v>
      </c>
      <c r="BZ65" s="204">
        <f t="shared" si="93"/>
        <v>2131.8004514159734</v>
      </c>
      <c r="CA65" s="204">
        <f t="shared" si="93"/>
        <v>2066.1374541429518</v>
      </c>
      <c r="CB65" s="204">
        <f t="shared" si="93"/>
        <v>2000.4744568699305</v>
      </c>
      <c r="CC65" s="204">
        <f t="shared" si="93"/>
        <v>1934.8114595969089</v>
      </c>
      <c r="CD65" s="204">
        <f t="shared" si="93"/>
        <v>1869.1484623238875</v>
      </c>
      <c r="CE65" s="204">
        <f t="shared" si="93"/>
        <v>1803.485465050866</v>
      </c>
      <c r="CF65" s="204">
        <f t="shared" si="93"/>
        <v>1737.8224677778444</v>
      </c>
      <c r="CG65" s="204">
        <f t="shared" si="93"/>
        <v>1672.1594705048228</v>
      </c>
      <c r="CH65" s="204">
        <f t="shared" si="93"/>
        <v>1606.4964732318012</v>
      </c>
      <c r="CI65" s="204">
        <f t="shared" si="93"/>
        <v>1540.8334759587799</v>
      </c>
      <c r="CJ65" s="204">
        <f t="shared" si="93"/>
        <v>1475.1704786857583</v>
      </c>
      <c r="CK65" s="204">
        <f t="shared" si="93"/>
        <v>1409.507481412737</v>
      </c>
      <c r="CL65" s="204">
        <f t="shared" si="93"/>
        <v>1343.8444841397154</v>
      </c>
      <c r="CM65" s="204">
        <f t="shared" si="93"/>
        <v>1278.1814868666938</v>
      </c>
      <c r="CN65" s="204">
        <f t="shared" si="93"/>
        <v>1212.5184895936725</v>
      </c>
      <c r="CO65" s="204">
        <f t="shared" si="93"/>
        <v>1146.8554923206509</v>
      </c>
      <c r="CP65" s="204">
        <f t="shared" si="93"/>
        <v>1058.3227939999331</v>
      </c>
      <c r="CQ65" s="204">
        <f t="shared" si="93"/>
        <v>946.92039463151912</v>
      </c>
      <c r="CR65" s="204">
        <f t="shared" si="93"/>
        <v>835.51799526310515</v>
      </c>
      <c r="CS65" s="204">
        <f t="shared" si="93"/>
        <v>724.11559589469107</v>
      </c>
      <c r="CT65" s="204">
        <f t="shared" si="93"/>
        <v>612.7131965262771</v>
      </c>
      <c r="CU65" s="204">
        <f t="shared" si="93"/>
        <v>501.31079715786302</v>
      </c>
      <c r="CV65" s="204">
        <f t="shared" si="93"/>
        <v>389.90839778944905</v>
      </c>
      <c r="CW65" s="204">
        <f t="shared" si="93"/>
        <v>278.50599842103509</v>
      </c>
      <c r="CX65" s="204">
        <f t="shared" si="93"/>
        <v>167.10359905262101</v>
      </c>
      <c r="CY65" s="204">
        <f t="shared" si="93"/>
        <v>55.70119968420704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2288.6213960083164</v>
      </c>
      <c r="CQ66" s="204">
        <f t="shared" si="95"/>
        <v>6865.8641880249488</v>
      </c>
      <c r="CR66" s="204">
        <f t="shared" si="95"/>
        <v>11443.106980041583</v>
      </c>
      <c r="CS66" s="204">
        <f t="shared" si="95"/>
        <v>16020.349772058215</v>
      </c>
      <c r="CT66" s="204">
        <f t="shared" si="95"/>
        <v>20597.592564074846</v>
      </c>
      <c r="CU66" s="204">
        <f t="shared" si="95"/>
        <v>25174.83535609148</v>
      </c>
      <c r="CV66" s="204">
        <f t="shared" si="95"/>
        <v>29752.078148108114</v>
      </c>
      <c r="CW66" s="204">
        <f t="shared" si="95"/>
        <v>34329.320940124744</v>
      </c>
      <c r="CX66" s="204">
        <f t="shared" si="95"/>
        <v>38906.563732141381</v>
      </c>
      <c r="CY66" s="204">
        <f t="shared" si="95"/>
        <v>43483.806524158012</v>
      </c>
      <c r="CZ66" s="204">
        <f t="shared" si="95"/>
        <v>47108.277920166329</v>
      </c>
      <c r="DA66" s="204">
        <f t="shared" si="95"/>
        <v>49779.977920166333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28.245643811495039</v>
      </c>
      <c r="BU67" s="204">
        <f t="shared" si="97"/>
        <v>56.491287622990079</v>
      </c>
      <c r="BV67" s="204">
        <f t="shared" si="97"/>
        <v>84.736931434485115</v>
      </c>
      <c r="BW67" s="204">
        <f t="shared" si="97"/>
        <v>112.98257524598016</v>
      </c>
      <c r="BX67" s="204">
        <f t="shared" si="97"/>
        <v>141.2282190574752</v>
      </c>
      <c r="BY67" s="204">
        <f t="shared" si="97"/>
        <v>169.47386286897023</v>
      </c>
      <c r="BZ67" s="204">
        <f t="shared" si="97"/>
        <v>197.71950668046529</v>
      </c>
      <c r="CA67" s="204">
        <f t="shared" si="97"/>
        <v>225.96515049196032</v>
      </c>
      <c r="CB67" s="204">
        <f t="shared" si="97"/>
        <v>254.21079430345534</v>
      </c>
      <c r="CC67" s="204">
        <f t="shared" si="97"/>
        <v>282.4564381149504</v>
      </c>
      <c r="CD67" s="204">
        <f t="shared" si="97"/>
        <v>310.70208192644543</v>
      </c>
      <c r="CE67" s="204">
        <f t="shared" si="97"/>
        <v>338.94772573794046</v>
      </c>
      <c r="CF67" s="204">
        <f t="shared" si="97"/>
        <v>367.19336954943549</v>
      </c>
      <c r="CG67" s="204">
        <f t="shared" si="97"/>
        <v>395.43901336093057</v>
      </c>
      <c r="CH67" s="204">
        <f t="shared" si="97"/>
        <v>423.6846571724256</v>
      </c>
      <c r="CI67" s="204">
        <f t="shared" si="97"/>
        <v>451.93030098392063</v>
      </c>
      <c r="CJ67" s="204">
        <f t="shared" si="97"/>
        <v>480.17594479541566</v>
      </c>
      <c r="CK67" s="204">
        <f t="shared" si="97"/>
        <v>508.42158860691069</v>
      </c>
      <c r="CL67" s="204">
        <f t="shared" si="97"/>
        <v>536.66723241840577</v>
      </c>
      <c r="CM67" s="204">
        <f t="shared" si="97"/>
        <v>564.9128762299008</v>
      </c>
      <c r="CN67" s="204">
        <f t="shared" si="97"/>
        <v>593.15852004139583</v>
      </c>
      <c r="CO67" s="204">
        <f t="shared" si="97"/>
        <v>621.40416385289086</v>
      </c>
      <c r="CP67" s="204">
        <f t="shared" si="97"/>
        <v>603.75063647070647</v>
      </c>
      <c r="CQ67" s="204">
        <f t="shared" si="97"/>
        <v>540.19793789484265</v>
      </c>
      <c r="CR67" s="204">
        <f t="shared" si="97"/>
        <v>476.64523931897878</v>
      </c>
      <c r="CS67" s="204">
        <f t="shared" si="97"/>
        <v>413.09254074311491</v>
      </c>
      <c r="CT67" s="204">
        <f t="shared" si="97"/>
        <v>349.53984216725109</v>
      </c>
      <c r="CU67" s="204">
        <f t="shared" si="97"/>
        <v>285.98714359138728</v>
      </c>
      <c r="CV67" s="204">
        <f t="shared" si="97"/>
        <v>222.43444501552347</v>
      </c>
      <c r="CW67" s="204">
        <f t="shared" si="97"/>
        <v>158.88174643965959</v>
      </c>
      <c r="CX67" s="204">
        <f t="shared" si="97"/>
        <v>95.329047863795722</v>
      </c>
      <c r="CY67" s="204">
        <f t="shared" si="97"/>
        <v>31.776349287931907</v>
      </c>
      <c r="CZ67" s="204">
        <f t="shared" si="97"/>
        <v>414.76499999999999</v>
      </c>
      <c r="DA67" s="204">
        <f t="shared" si="97"/>
        <v>1244.2950000000001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142.21582898095406</v>
      </c>
      <c r="BU68" s="204">
        <f t="shared" si="99"/>
        <v>284.43165796190812</v>
      </c>
      <c r="BV68" s="204">
        <f t="shared" si="99"/>
        <v>426.6474869428622</v>
      </c>
      <c r="BW68" s="204">
        <f t="shared" si="99"/>
        <v>568.86331592381623</v>
      </c>
      <c r="BX68" s="204">
        <f t="shared" si="99"/>
        <v>711.07914490477026</v>
      </c>
      <c r="BY68" s="204">
        <f t="shared" si="99"/>
        <v>853.2949738857244</v>
      </c>
      <c r="BZ68" s="204">
        <f t="shared" si="99"/>
        <v>995.51080286667843</v>
      </c>
      <c r="CA68" s="204">
        <f t="shared" si="99"/>
        <v>1137.7266318476325</v>
      </c>
      <c r="CB68" s="204">
        <f t="shared" si="99"/>
        <v>1279.9424608285865</v>
      </c>
      <c r="CC68" s="204">
        <f t="shared" si="99"/>
        <v>1422.1582898095405</v>
      </c>
      <c r="CD68" s="204">
        <f t="shared" si="99"/>
        <v>1564.3741187904945</v>
      </c>
      <c r="CE68" s="204">
        <f t="shared" si="99"/>
        <v>1706.5899477714488</v>
      </c>
      <c r="CF68" s="204">
        <f t="shared" si="99"/>
        <v>1848.8057767524028</v>
      </c>
      <c r="CG68" s="204">
        <f t="shared" si="99"/>
        <v>1991.0216057333569</v>
      </c>
      <c r="CH68" s="204">
        <f t="shared" si="99"/>
        <v>2133.2374347143109</v>
      </c>
      <c r="CI68" s="204">
        <f t="shared" si="99"/>
        <v>2275.4532636952649</v>
      </c>
      <c r="CJ68" s="204">
        <f t="shared" si="99"/>
        <v>2417.669092676219</v>
      </c>
      <c r="CK68" s="204">
        <f t="shared" si="99"/>
        <v>2559.884921657173</v>
      </c>
      <c r="CL68" s="204">
        <f t="shared" si="99"/>
        <v>2702.100750638127</v>
      </c>
      <c r="CM68" s="204">
        <f t="shared" si="99"/>
        <v>2844.316579619081</v>
      </c>
      <c r="CN68" s="204">
        <f t="shared" si="99"/>
        <v>2986.5324086000351</v>
      </c>
      <c r="CO68" s="204">
        <f t="shared" si="99"/>
        <v>3128.7482375809891</v>
      </c>
      <c r="CP68" s="204">
        <f t="shared" si="99"/>
        <v>3039.8633444678926</v>
      </c>
      <c r="CQ68" s="204">
        <f t="shared" si="99"/>
        <v>2719.877729260746</v>
      </c>
      <c r="CR68" s="204">
        <f t="shared" si="99"/>
        <v>2399.8921140535995</v>
      </c>
      <c r="CS68" s="204">
        <f t="shared" si="99"/>
        <v>2079.9064988464529</v>
      </c>
      <c r="CT68" s="204">
        <f t="shared" si="99"/>
        <v>1759.9208836393063</v>
      </c>
      <c r="CU68" s="204">
        <f t="shared" si="99"/>
        <v>1439.9352684321598</v>
      </c>
      <c r="CV68" s="204">
        <f t="shared" si="99"/>
        <v>1119.9496532250132</v>
      </c>
      <c r="CW68" s="204">
        <f t="shared" si="99"/>
        <v>799.96403801786664</v>
      </c>
      <c r="CX68" s="204">
        <f t="shared" si="99"/>
        <v>479.97842281071962</v>
      </c>
      <c r="CY68" s="204">
        <f t="shared" si="99"/>
        <v>159.99280760357306</v>
      </c>
      <c r="CZ68" s="204">
        <f t="shared" si="99"/>
        <v>3101.75</v>
      </c>
      <c r="DA68" s="204">
        <f t="shared" si="99"/>
        <v>9305.25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1491.5874480929031</v>
      </c>
      <c r="G69" s="204">
        <f t="shared" si="100"/>
        <v>1491.5874480929031</v>
      </c>
      <c r="H69" s="204">
        <f t="shared" si="100"/>
        <v>1491.5874480929031</v>
      </c>
      <c r="I69" s="204">
        <f t="shared" si="100"/>
        <v>1491.5874480929031</v>
      </c>
      <c r="J69" s="204">
        <f t="shared" si="100"/>
        <v>1491.5874480929031</v>
      </c>
      <c r="K69" s="204">
        <f t="shared" si="100"/>
        <v>1491.5874480929031</v>
      </c>
      <c r="L69" s="204">
        <f t="shared" si="88"/>
        <v>1491.5874480929031</v>
      </c>
      <c r="M69" s="204">
        <f t="shared" si="100"/>
        <v>1491.5874480929031</v>
      </c>
      <c r="N69" s="204">
        <f t="shared" si="100"/>
        <v>1491.5874480929031</v>
      </c>
      <c r="O69" s="204">
        <f t="shared" si="100"/>
        <v>1491.5874480929031</v>
      </c>
      <c r="P69" s="204">
        <f t="shared" si="100"/>
        <v>1491.5874480929031</v>
      </c>
      <c r="Q69" s="204">
        <f t="shared" si="100"/>
        <v>1491.5874480929031</v>
      </c>
      <c r="R69" s="204">
        <f t="shared" si="100"/>
        <v>1491.5874480929031</v>
      </c>
      <c r="S69" s="204">
        <f t="shared" si="100"/>
        <v>1491.5874480929031</v>
      </c>
      <c r="T69" s="204">
        <f t="shared" si="100"/>
        <v>1491.5874480929031</v>
      </c>
      <c r="U69" s="204">
        <f t="shared" si="100"/>
        <v>1491.5874480929031</v>
      </c>
      <c r="V69" s="204">
        <f t="shared" si="100"/>
        <v>1491.5874480929031</v>
      </c>
      <c r="W69" s="204">
        <f t="shared" si="100"/>
        <v>1491.5874480929031</v>
      </c>
      <c r="X69" s="204">
        <f t="shared" si="100"/>
        <v>1491.5874480929031</v>
      </c>
      <c r="Y69" s="204">
        <f t="shared" si="100"/>
        <v>1491.5874480929031</v>
      </c>
      <c r="Z69" s="204">
        <f t="shared" si="100"/>
        <v>1491.5874480929031</v>
      </c>
      <c r="AA69" s="204">
        <f t="shared" si="100"/>
        <v>1491.5874480929031</v>
      </c>
      <c r="AB69" s="204">
        <f t="shared" si="100"/>
        <v>1491.5874480929031</v>
      </c>
      <c r="AC69" s="204">
        <f t="shared" si="100"/>
        <v>1491.5874480929031</v>
      </c>
      <c r="AD69" s="204">
        <f t="shared" si="100"/>
        <v>1491.5874480929031</v>
      </c>
      <c r="AE69" s="204">
        <f t="shared" si="100"/>
        <v>1491.5874480929031</v>
      </c>
      <c r="AF69" s="204">
        <f t="shared" si="100"/>
        <v>1491.5874480929031</v>
      </c>
      <c r="AG69" s="204">
        <f t="shared" si="100"/>
        <v>1491.5874480929031</v>
      </c>
      <c r="AH69" s="204">
        <f t="shared" si="100"/>
        <v>1491.5874480929031</v>
      </c>
      <c r="AI69" s="204">
        <f t="shared" si="100"/>
        <v>1491.5874480929031</v>
      </c>
      <c r="AJ69" s="204">
        <f t="shared" si="100"/>
        <v>1491.5874480929031</v>
      </c>
      <c r="AK69" s="204">
        <f t="shared" si="100"/>
        <v>1491.5874480929031</v>
      </c>
      <c r="AL69" s="204">
        <f t="shared" si="100"/>
        <v>1491.5874480929031</v>
      </c>
      <c r="AM69" s="204">
        <f t="shared" si="100"/>
        <v>1491.5874480929031</v>
      </c>
      <c r="AN69" s="204">
        <f t="shared" si="100"/>
        <v>1491.5874480929031</v>
      </c>
      <c r="AO69" s="204">
        <f t="shared" si="100"/>
        <v>1491.5874480929031</v>
      </c>
      <c r="AP69" s="204">
        <f t="shared" si="100"/>
        <v>1491.5874480929031</v>
      </c>
      <c r="AQ69" s="204">
        <f t="shared" si="100"/>
        <v>1491.5874480929031</v>
      </c>
      <c r="AR69" s="204">
        <f t="shared" si="100"/>
        <v>1491.5874480929031</v>
      </c>
      <c r="AS69" s="204">
        <f t="shared" si="100"/>
        <v>1491.5874480929031</v>
      </c>
      <c r="AT69" s="204">
        <f t="shared" si="100"/>
        <v>1491.5874480929031</v>
      </c>
      <c r="AU69" s="204">
        <f t="shared" si="100"/>
        <v>1491.5874480929031</v>
      </c>
      <c r="AV69" s="204">
        <f t="shared" si="100"/>
        <v>1491.5874480929031</v>
      </c>
      <c r="AW69" s="204">
        <f t="shared" si="100"/>
        <v>1491.5874480929031</v>
      </c>
      <c r="AX69" s="204">
        <f t="shared" si="100"/>
        <v>1491.5874480929031</v>
      </c>
      <c r="AY69" s="204">
        <f t="shared" si="100"/>
        <v>1491.5874480929031</v>
      </c>
      <c r="AZ69" s="204">
        <f t="shared" si="100"/>
        <v>1491.5874480929031</v>
      </c>
      <c r="BA69" s="204">
        <f t="shared" si="100"/>
        <v>1491.5874480929031</v>
      </c>
      <c r="BB69" s="204">
        <f t="shared" si="100"/>
        <v>1491.5874480929031</v>
      </c>
      <c r="BC69" s="204">
        <f t="shared" si="100"/>
        <v>1491.5874480929031</v>
      </c>
      <c r="BD69" s="204">
        <f t="shared" si="100"/>
        <v>1491.5874480929031</v>
      </c>
      <c r="BE69" s="204">
        <f t="shared" si="100"/>
        <v>1491.5874480929031</v>
      </c>
      <c r="BF69" s="204">
        <f t="shared" si="100"/>
        <v>1491.5874480929031</v>
      </c>
      <c r="BG69" s="204">
        <f t="shared" si="100"/>
        <v>1491.5874480929031</v>
      </c>
      <c r="BH69" s="204">
        <f t="shared" si="100"/>
        <v>1491.5874480929031</v>
      </c>
      <c r="BI69" s="204">
        <f t="shared" si="100"/>
        <v>1491.5874480929031</v>
      </c>
      <c r="BJ69" s="204">
        <f t="shared" si="100"/>
        <v>1491.5874480929031</v>
      </c>
      <c r="BK69" s="204">
        <f t="shared" si="100"/>
        <v>1491.5874480929031</v>
      </c>
      <c r="BL69" s="204">
        <f t="shared" si="100"/>
        <v>1491.5874480929031</v>
      </c>
      <c r="BM69" s="204">
        <f t="shared" si="100"/>
        <v>1491.5874480929031</v>
      </c>
      <c r="BN69" s="204">
        <f t="shared" si="100"/>
        <v>1491.5874480929031</v>
      </c>
      <c r="BO69" s="204">
        <f t="shared" si="100"/>
        <v>1491.5874480929031</v>
      </c>
      <c r="BP69" s="204">
        <f t="shared" si="100"/>
        <v>1491.5874480929031</v>
      </c>
      <c r="BQ69" s="204">
        <f t="shared" si="100"/>
        <v>1491.5874480929031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1491.5874480929031</v>
      </c>
      <c r="BS69" s="204">
        <f t="shared" si="101"/>
        <v>1491.5874480929031</v>
      </c>
      <c r="BT69" s="204">
        <f t="shared" si="101"/>
        <v>1491.5874480929031</v>
      </c>
      <c r="BU69" s="204">
        <f t="shared" si="101"/>
        <v>1491.5874480929031</v>
      </c>
      <c r="BV69" s="204">
        <f t="shared" si="101"/>
        <v>1491.5874480929031</v>
      </c>
      <c r="BW69" s="204">
        <f t="shared" si="101"/>
        <v>1491.5874480929031</v>
      </c>
      <c r="BX69" s="204">
        <f t="shared" si="101"/>
        <v>1491.5874480929031</v>
      </c>
      <c r="BY69" s="204">
        <f t="shared" si="101"/>
        <v>1491.5874480929031</v>
      </c>
      <c r="BZ69" s="204">
        <f t="shared" si="101"/>
        <v>1491.5874480929031</v>
      </c>
      <c r="CA69" s="204">
        <f t="shared" si="101"/>
        <v>1491.5874480929031</v>
      </c>
      <c r="CB69" s="204">
        <f t="shared" si="101"/>
        <v>1491.5874480929031</v>
      </c>
      <c r="CC69" s="204">
        <f t="shared" si="101"/>
        <v>1491.5874480929031</v>
      </c>
      <c r="CD69" s="204">
        <f t="shared" si="101"/>
        <v>1491.5874480929031</v>
      </c>
      <c r="CE69" s="204">
        <f t="shared" si="101"/>
        <v>1491.5874480929031</v>
      </c>
      <c r="CF69" s="204">
        <f t="shared" si="101"/>
        <v>1491.5874480929031</v>
      </c>
      <c r="CG69" s="204">
        <f t="shared" si="101"/>
        <v>1491.5874480929031</v>
      </c>
      <c r="CH69" s="204">
        <f t="shared" si="101"/>
        <v>1491.5874480929031</v>
      </c>
      <c r="CI69" s="204">
        <f t="shared" si="101"/>
        <v>1491.5874480929031</v>
      </c>
      <c r="CJ69" s="204">
        <f t="shared" si="101"/>
        <v>1491.5874480929031</v>
      </c>
      <c r="CK69" s="204">
        <f t="shared" si="101"/>
        <v>1491.5874480929031</v>
      </c>
      <c r="CL69" s="204">
        <f t="shared" si="101"/>
        <v>1491.5874480929031</v>
      </c>
      <c r="CM69" s="204">
        <f t="shared" si="101"/>
        <v>1491.5874480929031</v>
      </c>
      <c r="CN69" s="204">
        <f t="shared" si="101"/>
        <v>1491.5874480929031</v>
      </c>
      <c r="CO69" s="204">
        <f t="shared" si="101"/>
        <v>1491.5874480929031</v>
      </c>
      <c r="CP69" s="204">
        <f t="shared" si="101"/>
        <v>1483.3008511590535</v>
      </c>
      <c r="CQ69" s="204">
        <f t="shared" si="101"/>
        <v>1466.7276572913547</v>
      </c>
      <c r="CR69" s="204">
        <f t="shared" si="101"/>
        <v>1450.1544634236557</v>
      </c>
      <c r="CS69" s="204">
        <f t="shared" si="101"/>
        <v>1433.5812695559569</v>
      </c>
      <c r="CT69" s="204">
        <f t="shared" si="101"/>
        <v>1417.008075688258</v>
      </c>
      <c r="CU69" s="204">
        <f t="shared" si="101"/>
        <v>1400.434881820559</v>
      </c>
      <c r="CV69" s="204">
        <f t="shared" si="101"/>
        <v>1383.8616879528602</v>
      </c>
      <c r="CW69" s="204">
        <f t="shared" si="101"/>
        <v>1367.2884940851611</v>
      </c>
      <c r="CX69" s="204">
        <f t="shared" si="101"/>
        <v>1350.7153002174623</v>
      </c>
      <c r="CY69" s="204">
        <f t="shared" si="101"/>
        <v>1334.1421063497635</v>
      </c>
      <c r="CZ69" s="204">
        <f t="shared" si="101"/>
        <v>1333.220509415914</v>
      </c>
      <c r="DA69" s="204">
        <f t="shared" si="101"/>
        <v>1347.950509415914</v>
      </c>
    </row>
    <row r="70" spans="1:105" s="204" customFormat="1">
      <c r="A70" s="204" t="str">
        <f>Income!A85</f>
        <v>Cash transfer - official</v>
      </c>
      <c r="F70" s="204">
        <f t="shared" si="100"/>
        <v>32620.755772506334</v>
      </c>
      <c r="G70" s="204">
        <f t="shared" si="100"/>
        <v>32620.755772506334</v>
      </c>
      <c r="H70" s="204">
        <f t="shared" si="100"/>
        <v>32620.755772506334</v>
      </c>
      <c r="I70" s="204">
        <f t="shared" si="100"/>
        <v>32620.755772506334</v>
      </c>
      <c r="J70" s="204">
        <f t="shared" si="100"/>
        <v>32620.755772506334</v>
      </c>
      <c r="K70" s="204">
        <f t="shared" si="100"/>
        <v>32620.755772506334</v>
      </c>
      <c r="L70" s="204">
        <f t="shared" si="100"/>
        <v>32620.755772506334</v>
      </c>
      <c r="M70" s="204">
        <f t="shared" si="100"/>
        <v>32620.755772506334</v>
      </c>
      <c r="N70" s="204">
        <f t="shared" si="100"/>
        <v>32620.755772506334</v>
      </c>
      <c r="O70" s="204">
        <f t="shared" si="100"/>
        <v>32620.755772506334</v>
      </c>
      <c r="P70" s="204">
        <f t="shared" si="100"/>
        <v>32620.755772506334</v>
      </c>
      <c r="Q70" s="204">
        <f t="shared" si="100"/>
        <v>32620.755772506334</v>
      </c>
      <c r="R70" s="204">
        <f t="shared" si="100"/>
        <v>32620.755772506334</v>
      </c>
      <c r="S70" s="204">
        <f t="shared" si="100"/>
        <v>32620.755772506334</v>
      </c>
      <c r="T70" s="204">
        <f t="shared" si="100"/>
        <v>32620.755772506334</v>
      </c>
      <c r="U70" s="204">
        <f t="shared" si="100"/>
        <v>32620.755772506334</v>
      </c>
      <c r="V70" s="204">
        <f t="shared" si="100"/>
        <v>32620.755772506334</v>
      </c>
      <c r="W70" s="204">
        <f t="shared" si="100"/>
        <v>32620.755772506334</v>
      </c>
      <c r="X70" s="204">
        <f t="shared" si="100"/>
        <v>32620.755772506334</v>
      </c>
      <c r="Y70" s="204">
        <f t="shared" si="100"/>
        <v>32620.755772506334</v>
      </c>
      <c r="Z70" s="204">
        <f t="shared" si="100"/>
        <v>32620.755772506334</v>
      </c>
      <c r="AA70" s="204">
        <f t="shared" si="100"/>
        <v>32620.755772506334</v>
      </c>
      <c r="AB70" s="204">
        <f t="shared" si="100"/>
        <v>32620.755772506334</v>
      </c>
      <c r="AC70" s="204">
        <f t="shared" si="100"/>
        <v>32620.755772506334</v>
      </c>
      <c r="AD70" s="204">
        <f t="shared" si="100"/>
        <v>32620.755772506334</v>
      </c>
      <c r="AE70" s="204">
        <f t="shared" si="100"/>
        <v>32620.755772506334</v>
      </c>
      <c r="AF70" s="204">
        <f t="shared" si="100"/>
        <v>32620.755772506334</v>
      </c>
      <c r="AG70" s="204">
        <f t="shared" si="100"/>
        <v>32620.755772506334</v>
      </c>
      <c r="AH70" s="204">
        <f t="shared" si="100"/>
        <v>32620.755772506334</v>
      </c>
      <c r="AI70" s="204">
        <f t="shared" si="100"/>
        <v>32620.755772506334</v>
      </c>
      <c r="AJ70" s="204">
        <f t="shared" si="100"/>
        <v>32620.755772506334</v>
      </c>
      <c r="AK70" s="204">
        <f t="shared" si="100"/>
        <v>32620.755772506334</v>
      </c>
      <c r="AL70" s="204">
        <f t="shared" si="100"/>
        <v>32620.755772506334</v>
      </c>
      <c r="AM70" s="204">
        <f t="shared" si="100"/>
        <v>32620.755772506334</v>
      </c>
      <c r="AN70" s="204">
        <f t="shared" si="100"/>
        <v>32620.755772506334</v>
      </c>
      <c r="AO70" s="204">
        <f t="shared" si="100"/>
        <v>32620.755772506334</v>
      </c>
      <c r="AP70" s="204">
        <f t="shared" si="100"/>
        <v>32620.755772506334</v>
      </c>
      <c r="AQ70" s="204">
        <f t="shared" si="100"/>
        <v>32620.755772506334</v>
      </c>
      <c r="AR70" s="204">
        <f t="shared" si="100"/>
        <v>32620.755772506334</v>
      </c>
      <c r="AS70" s="204">
        <f t="shared" si="100"/>
        <v>32620.755772506334</v>
      </c>
      <c r="AT70" s="204">
        <f t="shared" si="100"/>
        <v>32620.755772506334</v>
      </c>
      <c r="AU70" s="204">
        <f t="shared" si="100"/>
        <v>32620.755772506334</v>
      </c>
      <c r="AV70" s="204">
        <f t="shared" si="100"/>
        <v>32620.755772506334</v>
      </c>
      <c r="AW70" s="204">
        <f t="shared" si="100"/>
        <v>32620.755772506334</v>
      </c>
      <c r="AX70" s="204">
        <f t="shared" si="100"/>
        <v>32620.755772506334</v>
      </c>
      <c r="AY70" s="204">
        <f t="shared" si="100"/>
        <v>32620.755772506334</v>
      </c>
      <c r="AZ70" s="204">
        <f t="shared" si="100"/>
        <v>32620.755772506334</v>
      </c>
      <c r="BA70" s="204">
        <f t="shared" si="100"/>
        <v>32620.755772506334</v>
      </c>
      <c r="BB70" s="204">
        <f t="shared" si="100"/>
        <v>32620.755772506334</v>
      </c>
      <c r="BC70" s="204">
        <f t="shared" si="100"/>
        <v>32620.755772506334</v>
      </c>
      <c r="BD70" s="204">
        <f t="shared" si="100"/>
        <v>32620.755772506334</v>
      </c>
      <c r="BE70" s="204">
        <f t="shared" si="100"/>
        <v>32620.755772506334</v>
      </c>
      <c r="BF70" s="204">
        <f t="shared" si="100"/>
        <v>32620.755772506334</v>
      </c>
      <c r="BG70" s="204">
        <f t="shared" si="100"/>
        <v>32620.755772506334</v>
      </c>
      <c r="BH70" s="204">
        <f t="shared" si="100"/>
        <v>32620.755772506334</v>
      </c>
      <c r="BI70" s="204">
        <f t="shared" si="100"/>
        <v>32620.755772506334</v>
      </c>
      <c r="BJ70" s="204">
        <f t="shared" si="100"/>
        <v>32620.755772506334</v>
      </c>
      <c r="BK70" s="204">
        <f t="shared" si="100"/>
        <v>32620.755772506334</v>
      </c>
      <c r="BL70" s="204">
        <f t="shared" si="100"/>
        <v>32620.755772506334</v>
      </c>
      <c r="BM70" s="204">
        <f t="shared" si="100"/>
        <v>32620.755772506334</v>
      </c>
      <c r="BN70" s="204">
        <f t="shared" si="100"/>
        <v>32620.755772506334</v>
      </c>
      <c r="BO70" s="204">
        <f t="shared" si="100"/>
        <v>32620.755772506334</v>
      </c>
      <c r="BP70" s="204">
        <f t="shared" si="100"/>
        <v>32620.755772506334</v>
      </c>
      <c r="BQ70" s="204">
        <f t="shared" si="100"/>
        <v>32620.755772506334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32620.755772506334</v>
      </c>
      <c r="BS70" s="204">
        <f t="shared" si="102"/>
        <v>32620.755772506334</v>
      </c>
      <c r="BT70" s="204">
        <f t="shared" si="102"/>
        <v>32620.755772506334</v>
      </c>
      <c r="BU70" s="204">
        <f t="shared" si="102"/>
        <v>32620.755772506334</v>
      </c>
      <c r="BV70" s="204">
        <f t="shared" si="102"/>
        <v>32620.755772506334</v>
      </c>
      <c r="BW70" s="204">
        <f t="shared" si="102"/>
        <v>32620.755772506334</v>
      </c>
      <c r="BX70" s="204">
        <f t="shared" si="102"/>
        <v>32620.755772506334</v>
      </c>
      <c r="BY70" s="204">
        <f t="shared" si="102"/>
        <v>32620.755772506334</v>
      </c>
      <c r="BZ70" s="204">
        <f t="shared" si="102"/>
        <v>32620.755772506334</v>
      </c>
      <c r="CA70" s="204">
        <f t="shared" si="102"/>
        <v>32620.755772506334</v>
      </c>
      <c r="CB70" s="204">
        <f t="shared" si="102"/>
        <v>32620.755772506334</v>
      </c>
      <c r="CC70" s="204">
        <f t="shared" si="102"/>
        <v>32620.755772506334</v>
      </c>
      <c r="CD70" s="204">
        <f t="shared" si="102"/>
        <v>32620.755772506334</v>
      </c>
      <c r="CE70" s="204">
        <f t="shared" si="102"/>
        <v>32620.755772506334</v>
      </c>
      <c r="CF70" s="204">
        <f t="shared" si="102"/>
        <v>32620.755772506334</v>
      </c>
      <c r="CG70" s="204">
        <f t="shared" si="102"/>
        <v>32620.755772506334</v>
      </c>
      <c r="CH70" s="204">
        <f t="shared" si="102"/>
        <v>32620.755772506334</v>
      </c>
      <c r="CI70" s="204">
        <f t="shared" si="102"/>
        <v>32620.755772506334</v>
      </c>
      <c r="CJ70" s="204">
        <f t="shared" si="102"/>
        <v>32620.755772506334</v>
      </c>
      <c r="CK70" s="204">
        <f t="shared" si="102"/>
        <v>32620.755772506334</v>
      </c>
      <c r="CL70" s="204">
        <f t="shared" si="102"/>
        <v>32620.755772506334</v>
      </c>
      <c r="CM70" s="204">
        <f t="shared" si="102"/>
        <v>32620.755772506334</v>
      </c>
      <c r="CN70" s="204">
        <f t="shared" si="102"/>
        <v>32620.755772506334</v>
      </c>
      <c r="CO70" s="204">
        <f t="shared" si="102"/>
        <v>32620.755772506334</v>
      </c>
      <c r="CP70" s="204">
        <f t="shared" si="102"/>
        <v>31395.428140446129</v>
      </c>
      <c r="CQ70" s="204">
        <f t="shared" si="102"/>
        <v>28944.772876325718</v>
      </c>
      <c r="CR70" s="204">
        <f t="shared" si="102"/>
        <v>26494.117612205304</v>
      </c>
      <c r="CS70" s="204">
        <f t="shared" si="102"/>
        <v>24043.46234808489</v>
      </c>
      <c r="CT70" s="204">
        <f t="shared" si="102"/>
        <v>21592.807083964479</v>
      </c>
      <c r="CU70" s="204">
        <f t="shared" si="102"/>
        <v>19142.151819844068</v>
      </c>
      <c r="CV70" s="204">
        <f t="shared" si="102"/>
        <v>16691.496555723657</v>
      </c>
      <c r="CW70" s="204">
        <f t="shared" si="102"/>
        <v>14240.841291603243</v>
      </c>
      <c r="CX70" s="204">
        <f t="shared" si="102"/>
        <v>11790.186027482832</v>
      </c>
      <c r="CY70" s="204">
        <f t="shared" si="102"/>
        <v>9339.5307633624179</v>
      </c>
      <c r="CZ70" s="204">
        <f t="shared" si="102"/>
        <v>7550.2881313022126</v>
      </c>
      <c r="DA70" s="204">
        <f t="shared" si="102"/>
        <v>6422.4581313022127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148.16499999999999</v>
      </c>
      <c r="DA71" s="204">
        <f t="shared" si="104"/>
        <v>444.495</v>
      </c>
    </row>
    <row r="72" spans="1:105" s="204" customFormat="1">
      <c r="A72" s="204" t="str">
        <f>Income!A88</f>
        <v>TOTAL</v>
      </c>
      <c r="F72" s="204">
        <f>SUM(F59:F71)</f>
        <v>38348.619717625661</v>
      </c>
      <c r="G72" s="204">
        <f t="shared" ref="G72:BR72" si="105">SUM(G59:G71)</f>
        <v>38348.619717625661</v>
      </c>
      <c r="H72" s="204">
        <f t="shared" si="105"/>
        <v>38348.619717625661</v>
      </c>
      <c r="I72" s="204">
        <f t="shared" si="105"/>
        <v>38348.619717625661</v>
      </c>
      <c r="J72" s="204">
        <f t="shared" si="105"/>
        <v>38348.619717625661</v>
      </c>
      <c r="K72" s="204">
        <f t="shared" si="105"/>
        <v>38348.619717625661</v>
      </c>
      <c r="L72" s="204">
        <f t="shared" si="105"/>
        <v>38348.619717625661</v>
      </c>
      <c r="M72" s="204">
        <f t="shared" si="105"/>
        <v>38348.619717625661</v>
      </c>
      <c r="N72" s="204">
        <f t="shared" si="105"/>
        <v>38348.619717625661</v>
      </c>
      <c r="O72" s="204">
        <f t="shared" si="105"/>
        <v>38348.619717625661</v>
      </c>
      <c r="P72" s="204">
        <f t="shared" si="105"/>
        <v>38348.619717625661</v>
      </c>
      <c r="Q72" s="204">
        <f t="shared" si="105"/>
        <v>38348.619717625661</v>
      </c>
      <c r="R72" s="204">
        <f t="shared" si="105"/>
        <v>38348.619717625661</v>
      </c>
      <c r="S72" s="204">
        <f t="shared" si="105"/>
        <v>38348.619717625661</v>
      </c>
      <c r="T72" s="204">
        <f t="shared" si="105"/>
        <v>38348.619717625661</v>
      </c>
      <c r="U72" s="204">
        <f t="shared" si="105"/>
        <v>38348.619717625661</v>
      </c>
      <c r="V72" s="204">
        <f t="shared" si="105"/>
        <v>38348.619717625661</v>
      </c>
      <c r="W72" s="204">
        <f t="shared" si="105"/>
        <v>38348.619717625661</v>
      </c>
      <c r="X72" s="204">
        <f t="shared" si="105"/>
        <v>38348.619717625661</v>
      </c>
      <c r="Y72" s="204">
        <f t="shared" si="105"/>
        <v>38348.619717625661</v>
      </c>
      <c r="Z72" s="204">
        <f t="shared" si="105"/>
        <v>38348.619717625661</v>
      </c>
      <c r="AA72" s="204">
        <f t="shared" si="105"/>
        <v>38348.619717625661</v>
      </c>
      <c r="AB72" s="204">
        <f t="shared" si="105"/>
        <v>38348.619717625661</v>
      </c>
      <c r="AC72" s="204">
        <f t="shared" si="105"/>
        <v>38348.619717625661</v>
      </c>
      <c r="AD72" s="204">
        <f t="shared" si="105"/>
        <v>38348.619717625661</v>
      </c>
      <c r="AE72" s="204">
        <f t="shared" si="105"/>
        <v>38348.619717625661</v>
      </c>
      <c r="AF72" s="204">
        <f t="shared" si="105"/>
        <v>38477.320496643362</v>
      </c>
      <c r="AG72" s="204">
        <f t="shared" si="105"/>
        <v>38606.021275661056</v>
      </c>
      <c r="AH72" s="204">
        <f t="shared" si="105"/>
        <v>38734.722054678758</v>
      </c>
      <c r="AI72" s="204">
        <f t="shared" si="105"/>
        <v>38863.422833696459</v>
      </c>
      <c r="AJ72" s="204">
        <f t="shared" si="105"/>
        <v>38992.12361271416</v>
      </c>
      <c r="AK72" s="204">
        <f t="shared" si="105"/>
        <v>39120.824391731861</v>
      </c>
      <c r="AL72" s="204">
        <f t="shared" si="105"/>
        <v>39249.525170749563</v>
      </c>
      <c r="AM72" s="204">
        <f t="shared" si="105"/>
        <v>39378.225949767264</v>
      </c>
      <c r="AN72" s="204">
        <f t="shared" si="105"/>
        <v>39506.926728784965</v>
      </c>
      <c r="AO72" s="204">
        <f t="shared" si="105"/>
        <v>39635.627507802667</v>
      </c>
      <c r="AP72" s="204">
        <f t="shared" si="105"/>
        <v>39764.328286820368</v>
      </c>
      <c r="AQ72" s="204">
        <f t="shared" si="105"/>
        <v>39893.029065838069</v>
      </c>
      <c r="AR72" s="204">
        <f t="shared" si="105"/>
        <v>40021.72984485577</v>
      </c>
      <c r="AS72" s="204">
        <f t="shared" si="105"/>
        <v>40150.430623873472</v>
      </c>
      <c r="AT72" s="204">
        <f t="shared" si="105"/>
        <v>40279.131402891166</v>
      </c>
      <c r="AU72" s="204">
        <f t="shared" si="105"/>
        <v>40407.832181908867</v>
      </c>
      <c r="AV72" s="204">
        <f t="shared" si="105"/>
        <v>40536.532960926568</v>
      </c>
      <c r="AW72" s="204">
        <f t="shared" si="105"/>
        <v>40665.233739944269</v>
      </c>
      <c r="AX72" s="204">
        <f t="shared" si="105"/>
        <v>40793.934518961971</v>
      </c>
      <c r="AY72" s="204">
        <f t="shared" si="105"/>
        <v>40922.635297979672</v>
      </c>
      <c r="AZ72" s="204">
        <f t="shared" si="105"/>
        <v>41051.336076997373</v>
      </c>
      <c r="BA72" s="204">
        <f t="shared" si="105"/>
        <v>41180.036856015075</v>
      </c>
      <c r="BB72" s="204">
        <f t="shared" si="105"/>
        <v>41308.737635032776</v>
      </c>
      <c r="BC72" s="204">
        <f t="shared" si="105"/>
        <v>41437.43841405047</v>
      </c>
      <c r="BD72" s="204">
        <f t="shared" si="105"/>
        <v>41566.139193068171</v>
      </c>
      <c r="BE72" s="204">
        <f t="shared" si="105"/>
        <v>41694.839972085872</v>
      </c>
      <c r="BF72" s="204">
        <f t="shared" si="105"/>
        <v>41823.540751103574</v>
      </c>
      <c r="BG72" s="204">
        <f t="shared" si="105"/>
        <v>41952.241530121275</v>
      </c>
      <c r="BH72" s="204">
        <f t="shared" si="105"/>
        <v>42080.942309138976</v>
      </c>
      <c r="BI72" s="204">
        <f t="shared" si="105"/>
        <v>42209.643088156678</v>
      </c>
      <c r="BJ72" s="204">
        <f t="shared" si="105"/>
        <v>42338.343867174379</v>
      </c>
      <c r="BK72" s="204">
        <f t="shared" si="105"/>
        <v>42467.04464619208</v>
      </c>
      <c r="BL72" s="204">
        <f t="shared" si="105"/>
        <v>42595.745425209781</v>
      </c>
      <c r="BM72" s="204">
        <f t="shared" si="105"/>
        <v>42724.446204227483</v>
      </c>
      <c r="BN72" s="204">
        <f t="shared" si="105"/>
        <v>42853.146983245184</v>
      </c>
      <c r="BO72" s="204">
        <f t="shared" si="105"/>
        <v>42981.847762262885</v>
      </c>
      <c r="BP72" s="204">
        <f t="shared" si="105"/>
        <v>43110.548541280587</v>
      </c>
      <c r="BQ72" s="204">
        <f t="shared" si="105"/>
        <v>43239.249320298288</v>
      </c>
      <c r="BR72" s="204">
        <f t="shared" si="105"/>
        <v>43367.950099315982</v>
      </c>
      <c r="BS72" s="204">
        <f t="shared" ref="BS72:DA72" si="106">SUM(BS59:BS71)</f>
        <v>43496.650878333683</v>
      </c>
      <c r="BT72" s="204">
        <f t="shared" si="106"/>
        <v>44072.5302278772</v>
      </c>
      <c r="BU72" s="204">
        <f t="shared" si="106"/>
        <v>44648.409577420716</v>
      </c>
      <c r="BV72" s="204">
        <f t="shared" si="106"/>
        <v>45224.288926964233</v>
      </c>
      <c r="BW72" s="204">
        <f t="shared" si="106"/>
        <v>45800.168276507749</v>
      </c>
      <c r="BX72" s="204">
        <f t="shared" si="106"/>
        <v>46376.047626051266</v>
      </c>
      <c r="BY72" s="204">
        <f t="shared" si="106"/>
        <v>46951.926975594783</v>
      </c>
      <c r="BZ72" s="204">
        <f t="shared" si="106"/>
        <v>47527.806325138299</v>
      </c>
      <c r="CA72" s="204">
        <f t="shared" si="106"/>
        <v>48103.685674681816</v>
      </c>
      <c r="CB72" s="204">
        <f t="shared" si="106"/>
        <v>48679.565024225332</v>
      </c>
      <c r="CC72" s="204">
        <f t="shared" si="106"/>
        <v>49255.444373768842</v>
      </c>
      <c r="CD72" s="204">
        <f t="shared" si="106"/>
        <v>49831.323723312365</v>
      </c>
      <c r="CE72" s="204">
        <f t="shared" si="106"/>
        <v>50407.203072855875</v>
      </c>
      <c r="CF72" s="204">
        <f t="shared" si="106"/>
        <v>50983.082422399391</v>
      </c>
      <c r="CG72" s="204">
        <f t="shared" si="106"/>
        <v>51558.961771942908</v>
      </c>
      <c r="CH72" s="204">
        <f t="shared" si="106"/>
        <v>52134.841121486425</v>
      </c>
      <c r="CI72" s="204">
        <f t="shared" si="106"/>
        <v>52710.720471029941</v>
      </c>
      <c r="CJ72" s="204">
        <f t="shared" si="106"/>
        <v>53286.599820573465</v>
      </c>
      <c r="CK72" s="204">
        <f t="shared" si="106"/>
        <v>53862.479170116974</v>
      </c>
      <c r="CL72" s="204">
        <f t="shared" si="106"/>
        <v>54438.358519660491</v>
      </c>
      <c r="CM72" s="204">
        <f t="shared" si="106"/>
        <v>55014.237869204007</v>
      </c>
      <c r="CN72" s="204">
        <f t="shared" si="106"/>
        <v>55590.117218747524</v>
      </c>
      <c r="CO72" s="204">
        <f t="shared" si="106"/>
        <v>56165.996568291041</v>
      </c>
      <c r="CP72" s="204">
        <f t="shared" si="106"/>
        <v>57912.28586340115</v>
      </c>
      <c r="CQ72" s="204">
        <f t="shared" si="106"/>
        <v>60828.985104077867</v>
      </c>
      <c r="CR72" s="204">
        <f t="shared" si="106"/>
        <v>63745.684344754569</v>
      </c>
      <c r="CS72" s="204">
        <f t="shared" si="106"/>
        <v>66662.383585431293</v>
      </c>
      <c r="CT72" s="204">
        <f t="shared" si="106"/>
        <v>69579.082826108002</v>
      </c>
      <c r="CU72" s="204">
        <f t="shared" si="106"/>
        <v>72495.782066784712</v>
      </c>
      <c r="CV72" s="204">
        <f t="shared" si="106"/>
        <v>75412.481307461421</v>
      </c>
      <c r="CW72" s="204">
        <f t="shared" si="106"/>
        <v>78329.180548138131</v>
      </c>
      <c r="CX72" s="204">
        <f t="shared" si="106"/>
        <v>81245.879788814855</v>
      </c>
      <c r="CY72" s="204">
        <f t="shared" si="106"/>
        <v>84162.579029491564</v>
      </c>
      <c r="CZ72" s="204">
        <f t="shared" si="106"/>
        <v>90510.829149829908</v>
      </c>
      <c r="DA72" s="204">
        <f t="shared" si="106"/>
        <v>100290.63014982991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80</v>
      </c>
      <c r="E107" s="214">
        <f>D23</f>
        <v>95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76.294281613346101</v>
      </c>
      <c r="E108" s="212">
        <f>CR42</f>
        <v>6.8980461217762237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183.36624245923937</v>
      </c>
      <c r="E109" s="212">
        <f t="shared" ref="E109:E120" si="109">CR43</f>
        <v>223.90762981804602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13.898365255733488</v>
      </c>
      <c r="E110" s="212">
        <f t="shared" si="109"/>
        <v>119.56956610754109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30971.005216102127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0.43106904447754762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197.5219846957695</v>
      </c>
      <c r="E112" s="212">
        <f t="shared" si="109"/>
        <v>936.58341076577403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14.666966986477666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-65.662997273021503</v>
      </c>
      <c r="E114" s="212">
        <f t="shared" si="109"/>
        <v>-111.40239936841401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4577.2427920166328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28.245643811495039</v>
      </c>
      <c r="E116" s="212">
        <f t="shared" si="109"/>
        <v>-63.552698575863836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142.21582898095406</v>
      </c>
      <c r="E117" s="212">
        <f t="shared" si="109"/>
        <v>-319.98561520714662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-16.573193867698912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0</v>
      </c>
      <c r="E119" s="212">
        <f t="shared" si="109"/>
        <v>-2450.6552641204121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2016-08-05T13:04:37Z</dcterms:modified>
  <cp:category/>
</cp:coreProperties>
</file>