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7880" windowHeight="16060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7" i="1" l="1"/>
  <c r="E48" i="1"/>
  <c r="E46" i="1"/>
  <c r="E45" i="1"/>
  <c r="E44" i="1"/>
  <c r="E43" i="1"/>
  <c r="E42" i="1"/>
  <c r="E41" i="1"/>
  <c r="G37" i="7"/>
  <c r="G37" i="8"/>
  <c r="E37" i="7"/>
  <c r="E37" i="8"/>
  <c r="F37" i="7"/>
  <c r="F37" i="8"/>
  <c r="H91" i="8"/>
  <c r="B80" i="8"/>
  <c r="B82" i="8"/>
  <c r="B81" i="8"/>
  <c r="B83" i="8"/>
  <c r="B37" i="8"/>
  <c r="B91" i="8"/>
  <c r="C37" i="8"/>
  <c r="C91" i="8"/>
  <c r="D91" i="8"/>
  <c r="I91" i="8"/>
  <c r="G38" i="8"/>
  <c r="E38" i="7"/>
  <c r="E38" i="8"/>
  <c r="F38" i="7"/>
  <c r="F38" i="8"/>
  <c r="H92" i="8"/>
  <c r="B38" i="8"/>
  <c r="B92" i="8"/>
  <c r="C38" i="8"/>
  <c r="C92" i="8"/>
  <c r="D92" i="8"/>
  <c r="I92" i="8"/>
  <c r="G39" i="8"/>
  <c r="E39" i="7"/>
  <c r="E39" i="8"/>
  <c r="F39" i="7"/>
  <c r="F39" i="8"/>
  <c r="H93" i="8"/>
  <c r="B39" i="8"/>
  <c r="B93" i="8"/>
  <c r="C39" i="8"/>
  <c r="C93" i="8"/>
  <c r="D93" i="8"/>
  <c r="I93" i="8"/>
  <c r="G40" i="8"/>
  <c r="E40" i="7"/>
  <c r="E40" i="8"/>
  <c r="F40" i="7"/>
  <c r="F40" i="8"/>
  <c r="H94" i="8"/>
  <c r="B40" i="8"/>
  <c r="B94" i="8"/>
  <c r="C40" i="8"/>
  <c r="C94" i="8"/>
  <c r="D94" i="8"/>
  <c r="I94" i="8"/>
  <c r="G41" i="8"/>
  <c r="E41" i="7"/>
  <c r="E41" i="8"/>
  <c r="F41" i="7"/>
  <c r="F41" i="8"/>
  <c r="H95" i="8"/>
  <c r="B41" i="8"/>
  <c r="B95" i="8"/>
  <c r="C41" i="8"/>
  <c r="C95" i="8"/>
  <c r="D95" i="8"/>
  <c r="I95" i="8"/>
  <c r="G42" i="8"/>
  <c r="E42" i="7"/>
  <c r="E42" i="8"/>
  <c r="F42" i="7"/>
  <c r="F42" i="8"/>
  <c r="H96" i="8"/>
  <c r="B42" i="8"/>
  <c r="B96" i="8"/>
  <c r="C42" i="8"/>
  <c r="C96" i="8"/>
  <c r="D96" i="8"/>
  <c r="I96" i="8"/>
  <c r="G43" i="8"/>
  <c r="E43" i="7"/>
  <c r="E43" i="8"/>
  <c r="F43" i="7"/>
  <c r="F43" i="8"/>
  <c r="H97" i="8"/>
  <c r="B43" i="8"/>
  <c r="B97" i="8"/>
  <c r="C43" i="8"/>
  <c r="C97" i="8"/>
  <c r="D97" i="8"/>
  <c r="I97" i="8"/>
  <c r="G44" i="8"/>
  <c r="E44" i="7"/>
  <c r="E44" i="8"/>
  <c r="F44" i="7"/>
  <c r="F44" i="8"/>
  <c r="H98" i="8"/>
  <c r="B44" i="8"/>
  <c r="B98" i="8"/>
  <c r="C44" i="8"/>
  <c r="C98" i="8"/>
  <c r="D98" i="8"/>
  <c r="I98" i="8"/>
  <c r="G45" i="8"/>
  <c r="E45" i="7"/>
  <c r="E45" i="8"/>
  <c r="F45" i="7"/>
  <c r="F45" i="8"/>
  <c r="H99" i="8"/>
  <c r="B45" i="8"/>
  <c r="B99" i="8"/>
  <c r="C45" i="8"/>
  <c r="C99" i="8"/>
  <c r="D99" i="8"/>
  <c r="I99" i="8"/>
  <c r="G46" i="8"/>
  <c r="E46" i="7"/>
  <c r="E46" i="8"/>
  <c r="F46" i="7"/>
  <c r="F46" i="8"/>
  <c r="H100" i="8"/>
  <c r="B46" i="8"/>
  <c r="B100" i="8"/>
  <c r="C46" i="8"/>
  <c r="C100" i="8"/>
  <c r="D100" i="8"/>
  <c r="I100" i="8"/>
  <c r="G47" i="8"/>
  <c r="E47" i="7"/>
  <c r="E47" i="8"/>
  <c r="F47" i="7"/>
  <c r="F47" i="8"/>
  <c r="H101" i="8"/>
  <c r="B47" i="8"/>
  <c r="B101" i="8"/>
  <c r="C47" i="8"/>
  <c r="C101" i="8"/>
  <c r="D101" i="8"/>
  <c r="I101" i="8"/>
  <c r="G48" i="8"/>
  <c r="E48" i="7"/>
  <c r="E48" i="8"/>
  <c r="F48" i="7"/>
  <c r="F48" i="8"/>
  <c r="H102" i="8"/>
  <c r="B48" i="8"/>
  <c r="B102" i="8"/>
  <c r="C48" i="8"/>
  <c r="C102" i="8"/>
  <c r="D102" i="8"/>
  <c r="I102" i="8"/>
  <c r="G49" i="8"/>
  <c r="F49" i="7"/>
  <c r="F49" i="8"/>
  <c r="H103" i="8"/>
  <c r="B49" i="8"/>
  <c r="B103" i="8"/>
  <c r="C49" i="8"/>
  <c r="C103" i="8"/>
  <c r="D103" i="8"/>
  <c r="I103" i="8"/>
  <c r="G50" i="8"/>
  <c r="E50" i="7"/>
  <c r="E50" i="8"/>
  <c r="F50" i="7"/>
  <c r="F50" i="8"/>
  <c r="H104" i="8"/>
  <c r="B50" i="8"/>
  <c r="B104" i="8"/>
  <c r="C50" i="8"/>
  <c r="C104" i="8"/>
  <c r="D104" i="8"/>
  <c r="I104" i="8"/>
  <c r="G51" i="8"/>
  <c r="F51" i="7"/>
  <c r="F51" i="8"/>
  <c r="E51" i="7"/>
  <c r="E51" i="8"/>
  <c r="H105" i="8"/>
  <c r="B51" i="8"/>
  <c r="B105" i="8"/>
  <c r="C51" i="8"/>
  <c r="C105" i="8"/>
  <c r="D105" i="8"/>
  <c r="I105" i="8"/>
  <c r="G52" i="8"/>
  <c r="F52" i="7"/>
  <c r="F52" i="8"/>
  <c r="H106" i="8"/>
  <c r="B52" i="8"/>
  <c r="B106" i="8"/>
  <c r="C52" i="8"/>
  <c r="C106" i="8"/>
  <c r="D106" i="8"/>
  <c r="I106" i="8"/>
  <c r="G53" i="8"/>
  <c r="F53" i="7"/>
  <c r="F53" i="8"/>
  <c r="H107" i="8"/>
  <c r="B53" i="8"/>
  <c r="B107" i="8"/>
  <c r="C53" i="8"/>
  <c r="C107" i="8"/>
  <c r="D107" i="8"/>
  <c r="I107" i="8"/>
  <c r="G54" i="8"/>
  <c r="H108" i="8"/>
  <c r="B54" i="8"/>
  <c r="B108" i="8"/>
  <c r="C54" i="8"/>
  <c r="C108" i="8"/>
  <c r="D108" i="8"/>
  <c r="I108" i="8"/>
  <c r="G55" i="8"/>
  <c r="H109" i="8"/>
  <c r="B55" i="8"/>
  <c r="B109" i="8"/>
  <c r="C55" i="8"/>
  <c r="C109" i="8"/>
  <c r="D109" i="8"/>
  <c r="I109" i="8"/>
  <c r="G56" i="8"/>
  <c r="H110" i="8"/>
  <c r="B56" i="8"/>
  <c r="B110" i="8"/>
  <c r="C56" i="8"/>
  <c r="C110" i="8"/>
  <c r="D110" i="8"/>
  <c r="I110" i="8"/>
  <c r="G57" i="8"/>
  <c r="H111" i="8"/>
  <c r="B57" i="8"/>
  <c r="B111" i="8"/>
  <c r="C57" i="8"/>
  <c r="C111" i="8"/>
  <c r="D111" i="8"/>
  <c r="I111" i="8"/>
  <c r="G58" i="8"/>
  <c r="H112" i="8"/>
  <c r="B58" i="8"/>
  <c r="B112" i="8"/>
  <c r="C58" i="8"/>
  <c r="C112" i="8"/>
  <c r="D112" i="8"/>
  <c r="I112" i="8"/>
  <c r="G59" i="8"/>
  <c r="H113" i="8"/>
  <c r="B59" i="8"/>
  <c r="B113" i="8"/>
  <c r="C59" i="8"/>
  <c r="C113" i="8"/>
  <c r="D113" i="8"/>
  <c r="I113" i="8"/>
  <c r="G60" i="8"/>
  <c r="H114" i="8"/>
  <c r="B60" i="8"/>
  <c r="B114" i="8"/>
  <c r="C60" i="8"/>
  <c r="C114" i="8"/>
  <c r="D114" i="8"/>
  <c r="I114" i="8"/>
  <c r="G61" i="8"/>
  <c r="H115" i="8"/>
  <c r="B61" i="8"/>
  <c r="B115" i="8"/>
  <c r="C61" i="8"/>
  <c r="C115" i="8"/>
  <c r="D115" i="8"/>
  <c r="I115" i="8"/>
  <c r="G62" i="8"/>
  <c r="H116" i="8"/>
  <c r="B62" i="8"/>
  <c r="B116" i="8"/>
  <c r="C62" i="8"/>
  <c r="C116" i="8"/>
  <c r="D116" i="8"/>
  <c r="I116" i="8"/>
  <c r="G63" i="8"/>
  <c r="H117" i="8"/>
  <c r="B63" i="8"/>
  <c r="B117" i="8"/>
  <c r="C63" i="8"/>
  <c r="C117" i="8"/>
  <c r="D117" i="8"/>
  <c r="I117" i="8"/>
  <c r="G64" i="8"/>
  <c r="H118" i="8"/>
  <c r="B64" i="8"/>
  <c r="B118" i="8"/>
  <c r="C64" i="8"/>
  <c r="C118" i="8"/>
  <c r="D118" i="8"/>
  <c r="I118" i="8"/>
  <c r="I119" i="8"/>
  <c r="F70" i="7"/>
  <c r="F70" i="8"/>
  <c r="H124" i="8"/>
  <c r="B70" i="8"/>
  <c r="B124" i="8"/>
  <c r="I124" i="8"/>
  <c r="I30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I32" i="8"/>
  <c r="F71" i="7"/>
  <c r="F71" i="8"/>
  <c r="H125" i="8"/>
  <c r="I128" i="8"/>
  <c r="B71" i="8"/>
  <c r="B125" i="8"/>
  <c r="I131" i="8"/>
  <c r="F73" i="7"/>
  <c r="F73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30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F72" i="7"/>
  <c r="F72" i="8"/>
  <c r="H126" i="8"/>
  <c r="B128" i="8"/>
  <c r="K128" i="8"/>
  <c r="L128" i="8"/>
  <c r="B72" i="8"/>
  <c r="B126" i="8"/>
  <c r="B73" i="8"/>
  <c r="B127" i="8"/>
  <c r="L127" i="8"/>
  <c r="K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H91" i="7"/>
  <c r="B80" i="7"/>
  <c r="B82" i="7"/>
  <c r="B81" i="7"/>
  <c r="B83" i="7"/>
  <c r="B37" i="7"/>
  <c r="B91" i="7"/>
  <c r="C37" i="7"/>
  <c r="C91" i="7"/>
  <c r="D91" i="7"/>
  <c r="I91" i="7"/>
  <c r="G38" i="1"/>
  <c r="G38" i="7"/>
  <c r="H92" i="7"/>
  <c r="B38" i="7"/>
  <c r="B92" i="7"/>
  <c r="C38" i="7"/>
  <c r="C92" i="7"/>
  <c r="D92" i="7"/>
  <c r="I92" i="7"/>
  <c r="G39" i="1"/>
  <c r="G39" i="7"/>
  <c r="H93" i="7"/>
  <c r="B39" i="7"/>
  <c r="B93" i="7"/>
  <c r="C39" i="7"/>
  <c r="C93" i="7"/>
  <c r="D93" i="7"/>
  <c r="I93" i="7"/>
  <c r="G40" i="1"/>
  <c r="G40" i="7"/>
  <c r="H94" i="7"/>
  <c r="B40" i="7"/>
  <c r="B94" i="7"/>
  <c r="C40" i="7"/>
  <c r="C94" i="7"/>
  <c r="D94" i="7"/>
  <c r="I94" i="7"/>
  <c r="G41" i="1"/>
  <c r="G41" i="7"/>
  <c r="H95" i="7"/>
  <c r="B41" i="7"/>
  <c r="B95" i="7"/>
  <c r="C41" i="7"/>
  <c r="C95" i="7"/>
  <c r="D95" i="7"/>
  <c r="I95" i="7"/>
  <c r="G42" i="1"/>
  <c r="G42" i="7"/>
  <c r="H96" i="7"/>
  <c r="B42" i="7"/>
  <c r="B96" i="7"/>
  <c r="C42" i="7"/>
  <c r="C96" i="7"/>
  <c r="D96" i="7"/>
  <c r="I96" i="7"/>
  <c r="G43" i="1"/>
  <c r="G43" i="7"/>
  <c r="H97" i="7"/>
  <c r="B43" i="7"/>
  <c r="B97" i="7"/>
  <c r="C43" i="7"/>
  <c r="C97" i="7"/>
  <c r="D97" i="7"/>
  <c r="I97" i="7"/>
  <c r="G44" i="1"/>
  <c r="G44" i="7"/>
  <c r="H98" i="7"/>
  <c r="B44" i="7"/>
  <c r="B98" i="7"/>
  <c r="C44" i="7"/>
  <c r="C98" i="7"/>
  <c r="D98" i="7"/>
  <c r="I98" i="7"/>
  <c r="G45" i="1"/>
  <c r="G45" i="7"/>
  <c r="H99" i="7"/>
  <c r="B45" i="7"/>
  <c r="B99" i="7"/>
  <c r="C45" i="7"/>
  <c r="C99" i="7"/>
  <c r="D99" i="7"/>
  <c r="I99" i="7"/>
  <c r="G46" i="1"/>
  <c r="G46" i="7"/>
  <c r="H100" i="7"/>
  <c r="B46" i="7"/>
  <c r="B100" i="7"/>
  <c r="C46" i="7"/>
  <c r="C100" i="7"/>
  <c r="D100" i="7"/>
  <c r="I100" i="7"/>
  <c r="G47" i="1"/>
  <c r="G47" i="7"/>
  <c r="H101" i="7"/>
  <c r="B47" i="7"/>
  <c r="B101" i="7"/>
  <c r="C47" i="7"/>
  <c r="C101" i="7"/>
  <c r="D101" i="7"/>
  <c r="I101" i="7"/>
  <c r="G48" i="1"/>
  <c r="G48" i="7"/>
  <c r="H102" i="7"/>
  <c r="B48" i="7"/>
  <c r="B102" i="7"/>
  <c r="C48" i="7"/>
  <c r="C102" i="7"/>
  <c r="D102" i="7"/>
  <c r="I102" i="7"/>
  <c r="G49" i="1"/>
  <c r="G49" i="7"/>
  <c r="H103" i="7"/>
  <c r="B49" i="7"/>
  <c r="B103" i="7"/>
  <c r="C49" i="7"/>
  <c r="C103" i="7"/>
  <c r="D103" i="7"/>
  <c r="I103" i="7"/>
  <c r="G50" i="1"/>
  <c r="G50" i="7"/>
  <c r="H104" i="7"/>
  <c r="B50" i="7"/>
  <c r="B104" i="7"/>
  <c r="C50" i="7"/>
  <c r="C104" i="7"/>
  <c r="D104" i="7"/>
  <c r="I104" i="7"/>
  <c r="G51" i="1"/>
  <c r="G51" i="7"/>
  <c r="H105" i="7"/>
  <c r="B51" i="7"/>
  <c r="B105" i="7"/>
  <c r="C51" i="7"/>
  <c r="C105" i="7"/>
  <c r="D105" i="7"/>
  <c r="I105" i="7"/>
  <c r="G52" i="1"/>
  <c r="G52" i="7"/>
  <c r="H106" i="7"/>
  <c r="B52" i="7"/>
  <c r="B106" i="7"/>
  <c r="C52" i="7"/>
  <c r="C106" i="7"/>
  <c r="D106" i="7"/>
  <c r="I106" i="7"/>
  <c r="G53" i="1"/>
  <c r="G53" i="7"/>
  <c r="H107" i="7"/>
  <c r="B53" i="7"/>
  <c r="B107" i="7"/>
  <c r="C53" i="7"/>
  <c r="C107" i="7"/>
  <c r="D107" i="7"/>
  <c r="I107" i="7"/>
  <c r="G54" i="1"/>
  <c r="G54" i="7"/>
  <c r="H108" i="7"/>
  <c r="B54" i="7"/>
  <c r="B108" i="7"/>
  <c r="C54" i="7"/>
  <c r="C108" i="7"/>
  <c r="D108" i="7"/>
  <c r="I108" i="7"/>
  <c r="G55" i="1"/>
  <c r="G55" i="7"/>
  <c r="H109" i="7"/>
  <c r="B55" i="7"/>
  <c r="B109" i="7"/>
  <c r="C55" i="7"/>
  <c r="C109" i="7"/>
  <c r="D109" i="7"/>
  <c r="I109" i="7"/>
  <c r="G56" i="1"/>
  <c r="G56" i="7"/>
  <c r="H110" i="7"/>
  <c r="B56" i="7"/>
  <c r="B110" i="7"/>
  <c r="C56" i="7"/>
  <c r="C110" i="7"/>
  <c r="D110" i="7"/>
  <c r="I110" i="7"/>
  <c r="G57" i="1"/>
  <c r="G57" i="7"/>
  <c r="H111" i="7"/>
  <c r="B57" i="7"/>
  <c r="B111" i="7"/>
  <c r="C57" i="7"/>
  <c r="C111" i="7"/>
  <c r="D111" i="7"/>
  <c r="I111" i="7"/>
  <c r="G58" i="1"/>
  <c r="G58" i="7"/>
  <c r="H112" i="7"/>
  <c r="B58" i="7"/>
  <c r="B112" i="7"/>
  <c r="C58" i="7"/>
  <c r="C112" i="7"/>
  <c r="D112" i="7"/>
  <c r="I112" i="7"/>
  <c r="G59" i="1"/>
  <c r="G59" i="7"/>
  <c r="H113" i="7"/>
  <c r="B59" i="7"/>
  <c r="B113" i="7"/>
  <c r="C59" i="7"/>
  <c r="C113" i="7"/>
  <c r="D113" i="7"/>
  <c r="I113" i="7"/>
  <c r="G60" i="1"/>
  <c r="G60" i="7"/>
  <c r="H114" i="7"/>
  <c r="B60" i="7"/>
  <c r="B114" i="7"/>
  <c r="C60" i="7"/>
  <c r="C114" i="7"/>
  <c r="D114" i="7"/>
  <c r="I114" i="7"/>
  <c r="G61" i="1"/>
  <c r="G61" i="7"/>
  <c r="H115" i="7"/>
  <c r="B61" i="7"/>
  <c r="B115" i="7"/>
  <c r="C61" i="7"/>
  <c r="C115" i="7"/>
  <c r="D115" i="7"/>
  <c r="I115" i="7"/>
  <c r="G62" i="1"/>
  <c r="G62" i="7"/>
  <c r="H116" i="7"/>
  <c r="B62" i="7"/>
  <c r="B116" i="7"/>
  <c r="C62" i="7"/>
  <c r="C116" i="7"/>
  <c r="D116" i="7"/>
  <c r="I116" i="7"/>
  <c r="G63" i="1"/>
  <c r="G63" i="7"/>
  <c r="H117" i="7"/>
  <c r="B63" i="7"/>
  <c r="B117" i="7"/>
  <c r="C63" i="7"/>
  <c r="C117" i="7"/>
  <c r="D117" i="7"/>
  <c r="I117" i="7"/>
  <c r="G64" i="1"/>
  <c r="G64" i="7"/>
  <c r="H118" i="7"/>
  <c r="B64" i="7"/>
  <c r="B118" i="7"/>
  <c r="C64" i="7"/>
  <c r="C118" i="7"/>
  <c r="D118" i="7"/>
  <c r="I118" i="7"/>
  <c r="I119" i="7"/>
  <c r="H124" i="7"/>
  <c r="B70" i="7"/>
  <c r="B124" i="7"/>
  <c r="I124" i="7"/>
  <c r="I30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I32" i="7"/>
  <c r="H125" i="7"/>
  <c r="I128" i="7"/>
  <c r="B71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B30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72" i="7"/>
  <c r="B126" i="7"/>
  <c r="B73" i="7"/>
  <c r="B127" i="7"/>
  <c r="L127" i="7"/>
  <c r="K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F7" i="1"/>
  <c r="H91" i="1"/>
  <c r="B80" i="1"/>
  <c r="B82" i="1"/>
  <c r="B81" i="1"/>
  <c r="B83" i="1"/>
  <c r="B37" i="1"/>
  <c r="B91" i="1"/>
  <c r="C37" i="1"/>
  <c r="C91" i="1"/>
  <c r="D91" i="1"/>
  <c r="I91" i="1"/>
  <c r="H92" i="1"/>
  <c r="B38" i="1"/>
  <c r="B92" i="1"/>
  <c r="C38" i="1"/>
  <c r="C92" i="1"/>
  <c r="D92" i="1"/>
  <c r="I92" i="1"/>
  <c r="H93" i="1"/>
  <c r="B39" i="1"/>
  <c r="B93" i="1"/>
  <c r="C39" i="1"/>
  <c r="C93" i="1"/>
  <c r="D93" i="1"/>
  <c r="I93" i="1"/>
  <c r="H94" i="1"/>
  <c r="B40" i="1"/>
  <c r="B94" i="1"/>
  <c r="C40" i="1"/>
  <c r="C94" i="1"/>
  <c r="D94" i="1"/>
  <c r="I94" i="1"/>
  <c r="H95" i="1"/>
  <c r="B41" i="1"/>
  <c r="B95" i="1"/>
  <c r="C41" i="1"/>
  <c r="C95" i="1"/>
  <c r="D95" i="1"/>
  <c r="I95" i="1"/>
  <c r="H96" i="1"/>
  <c r="B42" i="1"/>
  <c r="B96" i="1"/>
  <c r="C42" i="1"/>
  <c r="C96" i="1"/>
  <c r="D96" i="1"/>
  <c r="I96" i="1"/>
  <c r="H97" i="1"/>
  <c r="B43" i="1"/>
  <c r="B97" i="1"/>
  <c r="C43" i="1"/>
  <c r="C97" i="1"/>
  <c r="D97" i="1"/>
  <c r="I97" i="1"/>
  <c r="H98" i="1"/>
  <c r="B44" i="1"/>
  <c r="B98" i="1"/>
  <c r="C44" i="1"/>
  <c r="C98" i="1"/>
  <c r="D98" i="1"/>
  <c r="I98" i="1"/>
  <c r="H99" i="1"/>
  <c r="B45" i="1"/>
  <c r="B99" i="1"/>
  <c r="C45" i="1"/>
  <c r="C99" i="1"/>
  <c r="D99" i="1"/>
  <c r="I99" i="1"/>
  <c r="H100" i="1"/>
  <c r="B46" i="1"/>
  <c r="B100" i="1"/>
  <c r="C46" i="1"/>
  <c r="C100" i="1"/>
  <c r="D100" i="1"/>
  <c r="I100" i="1"/>
  <c r="H101" i="1"/>
  <c r="B47" i="1"/>
  <c r="B101" i="1"/>
  <c r="C47" i="1"/>
  <c r="C101" i="1"/>
  <c r="D101" i="1"/>
  <c r="I101" i="1"/>
  <c r="H102" i="1"/>
  <c r="B48" i="1"/>
  <c r="B102" i="1"/>
  <c r="C48" i="1"/>
  <c r="C102" i="1"/>
  <c r="D102" i="1"/>
  <c r="I102" i="1"/>
  <c r="H103" i="1"/>
  <c r="B49" i="1"/>
  <c r="B103" i="1"/>
  <c r="C49" i="1"/>
  <c r="C103" i="1"/>
  <c r="D103" i="1"/>
  <c r="I103" i="1"/>
  <c r="H104" i="1"/>
  <c r="B50" i="1"/>
  <c r="B104" i="1"/>
  <c r="C50" i="1"/>
  <c r="C104" i="1"/>
  <c r="D104" i="1"/>
  <c r="I104" i="1"/>
  <c r="H105" i="1"/>
  <c r="B51" i="1"/>
  <c r="B105" i="1"/>
  <c r="C51" i="1"/>
  <c r="C105" i="1"/>
  <c r="D105" i="1"/>
  <c r="I105" i="1"/>
  <c r="H106" i="1"/>
  <c r="B52" i="1"/>
  <c r="B106" i="1"/>
  <c r="C52" i="1"/>
  <c r="C106" i="1"/>
  <c r="D106" i="1"/>
  <c r="I106" i="1"/>
  <c r="H107" i="1"/>
  <c r="B53" i="1"/>
  <c r="B107" i="1"/>
  <c r="C53" i="1"/>
  <c r="C107" i="1"/>
  <c r="D107" i="1"/>
  <c r="I107" i="1"/>
  <c r="H108" i="1"/>
  <c r="B54" i="1"/>
  <c r="B108" i="1"/>
  <c r="C54" i="1"/>
  <c r="C108" i="1"/>
  <c r="D108" i="1"/>
  <c r="I108" i="1"/>
  <c r="H109" i="1"/>
  <c r="B55" i="1"/>
  <c r="B109" i="1"/>
  <c r="C55" i="1"/>
  <c r="C109" i="1"/>
  <c r="D109" i="1"/>
  <c r="I109" i="1"/>
  <c r="H110" i="1"/>
  <c r="B56" i="1"/>
  <c r="B110" i="1"/>
  <c r="C56" i="1"/>
  <c r="C110" i="1"/>
  <c r="D110" i="1"/>
  <c r="I110" i="1"/>
  <c r="H111" i="1"/>
  <c r="B57" i="1"/>
  <c r="B111" i="1"/>
  <c r="C57" i="1"/>
  <c r="C111" i="1"/>
  <c r="D111" i="1"/>
  <c r="I111" i="1"/>
  <c r="H112" i="1"/>
  <c r="B58" i="1"/>
  <c r="B112" i="1"/>
  <c r="C58" i="1"/>
  <c r="C112" i="1"/>
  <c r="D112" i="1"/>
  <c r="I112" i="1"/>
  <c r="H113" i="1"/>
  <c r="B59" i="1"/>
  <c r="B113" i="1"/>
  <c r="C59" i="1"/>
  <c r="C113" i="1"/>
  <c r="D113" i="1"/>
  <c r="I113" i="1"/>
  <c r="H114" i="1"/>
  <c r="B60" i="1"/>
  <c r="B114" i="1"/>
  <c r="C60" i="1"/>
  <c r="C114" i="1"/>
  <c r="D114" i="1"/>
  <c r="I114" i="1"/>
  <c r="H115" i="1"/>
  <c r="B61" i="1"/>
  <c r="B115" i="1"/>
  <c r="C61" i="1"/>
  <c r="C115" i="1"/>
  <c r="D115" i="1"/>
  <c r="I115" i="1"/>
  <c r="H116" i="1"/>
  <c r="B62" i="1"/>
  <c r="B116" i="1"/>
  <c r="C62" i="1"/>
  <c r="C116" i="1"/>
  <c r="D116" i="1"/>
  <c r="I116" i="1"/>
  <c r="H117" i="1"/>
  <c r="B63" i="1"/>
  <c r="B117" i="1"/>
  <c r="C63" i="1"/>
  <c r="C117" i="1"/>
  <c r="D117" i="1"/>
  <c r="I117" i="1"/>
  <c r="H118" i="1"/>
  <c r="B64" i="1"/>
  <c r="B118" i="1"/>
  <c r="C64" i="1"/>
  <c r="C118" i="1"/>
  <c r="D118" i="1"/>
  <c r="I118" i="1"/>
  <c r="I119" i="1"/>
  <c r="H124" i="1"/>
  <c r="B70" i="1"/>
  <c r="B124" i="1"/>
  <c r="I124" i="1"/>
  <c r="I30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I32" i="1"/>
  <c r="H125" i="1"/>
  <c r="I128" i="1"/>
  <c r="B71" i="1"/>
  <c r="B125" i="1"/>
  <c r="I131" i="1"/>
  <c r="H127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B30" i="1"/>
  <c r="K30" i="1"/>
  <c r="L30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32" i="1"/>
  <c r="H126" i="1"/>
  <c r="B128" i="1"/>
  <c r="K128" i="1"/>
  <c r="L128" i="1"/>
  <c r="B72" i="1"/>
  <c r="B126" i="1"/>
  <c r="B73" i="1"/>
  <c r="B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H83" i="8"/>
  <c r="I83" i="8"/>
  <c r="T22" i="8"/>
  <c r="S22" i="8"/>
  <c r="H70" i="8"/>
  <c r="I84" i="8"/>
  <c r="B84" i="8"/>
  <c r="H84" i="8"/>
  <c r="R22" i="8"/>
  <c r="J107" i="8"/>
  <c r="M107" i="8"/>
  <c r="T21" i="8"/>
  <c r="S21" i="8"/>
  <c r="R21" i="8"/>
  <c r="J105" i="8"/>
  <c r="M105" i="8"/>
  <c r="T20" i="8"/>
  <c r="S20" i="8"/>
  <c r="R20" i="8"/>
  <c r="M22" i="8"/>
  <c r="T19" i="8"/>
  <c r="S19" i="8"/>
  <c r="R19" i="8"/>
  <c r="M26" i="8"/>
  <c r="T18" i="8"/>
  <c r="S18" i="8"/>
  <c r="R18" i="8"/>
  <c r="J104" i="8"/>
  <c r="M104" i="8"/>
  <c r="T17" i="8"/>
  <c r="S17" i="8"/>
  <c r="R17" i="8"/>
  <c r="T16" i="8"/>
  <c r="S16" i="8"/>
  <c r="R16" i="8"/>
  <c r="J106" i="8"/>
  <c r="M106" i="8"/>
  <c r="T15" i="8"/>
  <c r="S15" i="8"/>
  <c r="R15" i="8"/>
  <c r="T14" i="8"/>
  <c r="S14" i="8"/>
  <c r="R14" i="8"/>
  <c r="T13" i="8"/>
  <c r="S13" i="8"/>
  <c r="R13" i="8"/>
  <c r="M20" i="8"/>
  <c r="M21" i="8"/>
  <c r="J103" i="8"/>
  <c r="M103" i="8"/>
  <c r="T12" i="8"/>
  <c r="S12" i="8"/>
  <c r="R12" i="8"/>
  <c r="J93" i="8"/>
  <c r="M93" i="8"/>
  <c r="J94" i="8"/>
  <c r="M94" i="8"/>
  <c r="T11" i="8"/>
  <c r="S11" i="8"/>
  <c r="R11" i="8"/>
  <c r="J91" i="8"/>
  <c r="M91" i="8"/>
  <c r="J92" i="8"/>
  <c r="M92" i="8"/>
  <c r="T10" i="8"/>
  <c r="S10" i="8"/>
  <c r="R10" i="8"/>
  <c r="M6" i="8"/>
  <c r="M7" i="8"/>
  <c r="M8" i="8"/>
  <c r="T9" i="8"/>
  <c r="S9" i="8"/>
  <c r="R9" i="8"/>
  <c r="J95" i="8"/>
  <c r="M95" i="8"/>
  <c r="J96" i="8"/>
  <c r="M96" i="8"/>
  <c r="J97" i="8"/>
  <c r="M97" i="8"/>
  <c r="J98" i="8"/>
  <c r="M98" i="8"/>
  <c r="J99" i="8"/>
  <c r="M99" i="8"/>
  <c r="J100" i="8"/>
  <c r="M100" i="8"/>
  <c r="J101" i="8"/>
  <c r="M101" i="8"/>
  <c r="J102" i="8"/>
  <c r="M102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M9" i="8"/>
  <c r="M10" i="8"/>
  <c r="M11" i="8"/>
  <c r="M12" i="8"/>
  <c r="M13" i="8"/>
  <c r="M14" i="8"/>
  <c r="M15" i="8"/>
  <c r="M16" i="8"/>
  <c r="M17" i="8"/>
  <c r="M18" i="8"/>
  <c r="M19" i="8"/>
  <c r="M23" i="8"/>
  <c r="M24" i="8"/>
  <c r="M25" i="8"/>
  <c r="M27" i="8"/>
  <c r="M28" i="8"/>
  <c r="T7" i="8"/>
  <c r="S7" i="8"/>
  <c r="R7" i="8"/>
  <c r="H83" i="7"/>
  <c r="I83" i="7"/>
  <c r="T22" i="7"/>
  <c r="S22" i="7"/>
  <c r="H70" i="7"/>
  <c r="I84" i="7"/>
  <c r="B84" i="7"/>
  <c r="H84" i="7"/>
  <c r="R22" i="7"/>
  <c r="J107" i="7"/>
  <c r="M107" i="7"/>
  <c r="T21" i="7"/>
  <c r="S21" i="7"/>
  <c r="R21" i="7"/>
  <c r="J105" i="7"/>
  <c r="M105" i="7"/>
  <c r="T20" i="7"/>
  <c r="S20" i="7"/>
  <c r="R20" i="7"/>
  <c r="M22" i="7"/>
  <c r="T19" i="7"/>
  <c r="S19" i="7"/>
  <c r="R19" i="7"/>
  <c r="M26" i="7"/>
  <c r="T18" i="7"/>
  <c r="S18" i="7"/>
  <c r="R18" i="7"/>
  <c r="J104" i="7"/>
  <c r="M104" i="7"/>
  <c r="T17" i="7"/>
  <c r="S17" i="7"/>
  <c r="R17" i="7"/>
  <c r="T16" i="7"/>
  <c r="S16" i="7"/>
  <c r="R16" i="7"/>
  <c r="J106" i="7"/>
  <c r="M106" i="7"/>
  <c r="T15" i="7"/>
  <c r="S15" i="7"/>
  <c r="R15" i="7"/>
  <c r="T14" i="7"/>
  <c r="S14" i="7"/>
  <c r="R14" i="7"/>
  <c r="T13" i="7"/>
  <c r="S13" i="7"/>
  <c r="R13" i="7"/>
  <c r="M20" i="7"/>
  <c r="M21" i="7"/>
  <c r="J103" i="7"/>
  <c r="M103" i="7"/>
  <c r="T12" i="7"/>
  <c r="S12" i="7"/>
  <c r="R12" i="7"/>
  <c r="J93" i="7"/>
  <c r="M93" i="7"/>
  <c r="J94" i="7"/>
  <c r="M94" i="7"/>
  <c r="T11" i="7"/>
  <c r="S11" i="7"/>
  <c r="R11" i="7"/>
  <c r="J91" i="7"/>
  <c r="M91" i="7"/>
  <c r="J92" i="7"/>
  <c r="M92" i="7"/>
  <c r="T10" i="7"/>
  <c r="S10" i="7"/>
  <c r="R10" i="7"/>
  <c r="M6" i="7"/>
  <c r="M7" i="7"/>
  <c r="M8" i="7"/>
  <c r="T9" i="7"/>
  <c r="S9" i="7"/>
  <c r="R9" i="7"/>
  <c r="J95" i="7"/>
  <c r="M95" i="7"/>
  <c r="J96" i="7"/>
  <c r="M96" i="7"/>
  <c r="J97" i="7"/>
  <c r="M97" i="7"/>
  <c r="J98" i="7"/>
  <c r="M98" i="7"/>
  <c r="J99" i="7"/>
  <c r="M99" i="7"/>
  <c r="J100" i="7"/>
  <c r="M100" i="7"/>
  <c r="J101" i="7"/>
  <c r="M101" i="7"/>
  <c r="J102" i="7"/>
  <c r="M102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M9" i="7"/>
  <c r="M10" i="7"/>
  <c r="M11" i="7"/>
  <c r="M12" i="7"/>
  <c r="M13" i="7"/>
  <c r="M14" i="7"/>
  <c r="M15" i="7"/>
  <c r="M16" i="7"/>
  <c r="M17" i="7"/>
  <c r="M18" i="7"/>
  <c r="M19" i="7"/>
  <c r="M23" i="7"/>
  <c r="M24" i="7"/>
  <c r="M25" i="7"/>
  <c r="M27" i="7"/>
  <c r="M28" i="7"/>
  <c r="T7" i="7"/>
  <c r="S7" i="7"/>
  <c r="R7" i="7"/>
  <c r="H83" i="1"/>
  <c r="I83" i="1"/>
  <c r="T22" i="1"/>
  <c r="S22" i="1"/>
  <c r="H70" i="1"/>
  <c r="I84" i="1"/>
  <c r="B84" i="1"/>
  <c r="H84" i="1"/>
  <c r="R22" i="1"/>
  <c r="J107" i="1"/>
  <c r="M107" i="1"/>
  <c r="T21" i="1"/>
  <c r="S21" i="1"/>
  <c r="R21" i="1"/>
  <c r="J105" i="1"/>
  <c r="M105" i="1"/>
  <c r="T20" i="1"/>
  <c r="S20" i="1"/>
  <c r="R20" i="1"/>
  <c r="M22" i="1"/>
  <c r="T19" i="1"/>
  <c r="S19" i="1"/>
  <c r="R19" i="1"/>
  <c r="M26" i="1"/>
  <c r="T18" i="1"/>
  <c r="S18" i="1"/>
  <c r="R18" i="1"/>
  <c r="J104" i="1"/>
  <c r="M104" i="1"/>
  <c r="T17" i="1"/>
  <c r="S17" i="1"/>
  <c r="R17" i="1"/>
  <c r="T16" i="1"/>
  <c r="S16" i="1"/>
  <c r="R16" i="1"/>
  <c r="J106" i="1"/>
  <c r="M106" i="1"/>
  <c r="T15" i="1"/>
  <c r="S15" i="1"/>
  <c r="R15" i="1"/>
  <c r="T14" i="1"/>
  <c r="S14" i="1"/>
  <c r="R14" i="1"/>
  <c r="T13" i="1"/>
  <c r="S13" i="1"/>
  <c r="R13" i="1"/>
  <c r="M20" i="1"/>
  <c r="M21" i="1"/>
  <c r="J103" i="1"/>
  <c r="M103" i="1"/>
  <c r="T12" i="1"/>
  <c r="S12" i="1"/>
  <c r="R12" i="1"/>
  <c r="J93" i="1"/>
  <c r="M93" i="1"/>
  <c r="J94" i="1"/>
  <c r="M94" i="1"/>
  <c r="T11" i="1"/>
  <c r="S11" i="1"/>
  <c r="R11" i="1"/>
  <c r="J91" i="1"/>
  <c r="M91" i="1"/>
  <c r="J92" i="1"/>
  <c r="M92" i="1"/>
  <c r="T10" i="1"/>
  <c r="S10" i="1"/>
  <c r="R10" i="1"/>
  <c r="M6" i="1"/>
  <c r="M7" i="1"/>
  <c r="M8" i="1"/>
  <c r="T9" i="1"/>
  <c r="S9" i="1"/>
  <c r="R9" i="1"/>
  <c r="J95" i="1"/>
  <c r="M95" i="1"/>
  <c r="J96" i="1"/>
  <c r="M96" i="1"/>
  <c r="J97" i="1"/>
  <c r="M97" i="1"/>
  <c r="J98" i="1"/>
  <c r="M98" i="1"/>
  <c r="J99" i="1"/>
  <c r="M99" i="1"/>
  <c r="J100" i="1"/>
  <c r="M100" i="1"/>
  <c r="J101" i="1"/>
  <c r="M101" i="1"/>
  <c r="J102" i="1"/>
  <c r="M102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M9" i="1"/>
  <c r="M10" i="1"/>
  <c r="M11" i="1"/>
  <c r="M12" i="1"/>
  <c r="M13" i="1"/>
  <c r="M14" i="1"/>
  <c r="M15" i="1"/>
  <c r="M16" i="1"/>
  <c r="M17" i="1"/>
  <c r="M18" i="1"/>
  <c r="M19" i="1"/>
  <c r="M23" i="1"/>
  <c r="M24" i="1"/>
  <c r="M25" i="1"/>
  <c r="M27" i="1"/>
  <c r="M28" i="1"/>
  <c r="T7" i="1"/>
  <c r="S7" i="1"/>
  <c r="R7" i="1"/>
  <c r="H71" i="8"/>
  <c r="H72" i="8"/>
  <c r="T26" i="8"/>
  <c r="T23" i="8"/>
  <c r="T32" i="8"/>
  <c r="S26" i="8"/>
  <c r="S23" i="8"/>
  <c r="S32" i="8"/>
  <c r="R26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71" i="7"/>
  <c r="H72" i="7"/>
  <c r="T26" i="7"/>
  <c r="T23" i="7"/>
  <c r="T32" i="7"/>
  <c r="S26" i="7"/>
  <c r="S23" i="7"/>
  <c r="S32" i="7"/>
  <c r="R26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71" i="1"/>
  <c r="H72" i="1"/>
  <c r="T26" i="1"/>
  <c r="T23" i="1"/>
  <c r="T32" i="1"/>
  <c r="S26" i="1"/>
  <c r="S23" i="1"/>
  <c r="S32" i="1"/>
  <c r="R26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B44" i="12"/>
  <c r="B98" i="12"/>
  <c r="K98" i="12"/>
  <c r="B37" i="12"/>
  <c r="B91" i="12"/>
  <c r="K91" i="12"/>
  <c r="B38" i="12"/>
  <c r="B92" i="12"/>
  <c r="K92" i="12"/>
  <c r="B39" i="12"/>
  <c r="B93" i="12"/>
  <c r="K93" i="12"/>
  <c r="B40" i="12"/>
  <c r="B94" i="12"/>
  <c r="K94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G44" i="12"/>
  <c r="E44" i="12"/>
  <c r="F44" i="12"/>
  <c r="H98" i="12"/>
  <c r="L98" i="12"/>
  <c r="E37" i="12"/>
  <c r="F37" i="12"/>
  <c r="H91" i="12"/>
  <c r="L91" i="12"/>
  <c r="G38" i="12"/>
  <c r="E38" i="12"/>
  <c r="F38" i="12"/>
  <c r="H92" i="12"/>
  <c r="L92" i="12"/>
  <c r="G39" i="12"/>
  <c r="E39" i="12"/>
  <c r="F39" i="12"/>
  <c r="H93" i="12"/>
  <c r="L93" i="12"/>
  <c r="G40" i="12"/>
  <c r="E40" i="12"/>
  <c r="F40" i="12"/>
  <c r="H94" i="12"/>
  <c r="L94" i="12"/>
  <c r="G45" i="12"/>
  <c r="E45" i="12"/>
  <c r="F45" i="12"/>
  <c r="H99" i="12"/>
  <c r="L99" i="12"/>
  <c r="G46" i="12"/>
  <c r="E46" i="12"/>
  <c r="F46" i="12"/>
  <c r="H100" i="12"/>
  <c r="L100" i="12"/>
  <c r="G47" i="12"/>
  <c r="E47" i="12"/>
  <c r="F47" i="12"/>
  <c r="H101" i="12"/>
  <c r="L101" i="12"/>
  <c r="G48" i="12"/>
  <c r="E48" i="12"/>
  <c r="F48" i="12"/>
  <c r="H102" i="12"/>
  <c r="L102" i="12"/>
  <c r="G49" i="12"/>
  <c r="F49" i="12"/>
  <c r="H103" i="12"/>
  <c r="L103" i="12"/>
  <c r="G50" i="12"/>
  <c r="E50" i="12"/>
  <c r="F50" i="12"/>
  <c r="H104" i="12"/>
  <c r="L104" i="12"/>
  <c r="G51" i="12"/>
  <c r="F51" i="12"/>
  <c r="E51" i="12"/>
  <c r="H105" i="12"/>
  <c r="L105" i="12"/>
  <c r="G52" i="12"/>
  <c r="F52" i="12"/>
  <c r="H106" i="12"/>
  <c r="L106" i="12"/>
  <c r="G53" i="12"/>
  <c r="F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F73" i="12"/>
  <c r="H127" i="12"/>
  <c r="L119" i="12"/>
  <c r="L124" i="12"/>
  <c r="B119" i="12"/>
  <c r="B30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95" i="12"/>
  <c r="M95" i="12"/>
  <c r="J96" i="12"/>
  <c r="M96" i="12"/>
  <c r="J97" i="12"/>
  <c r="M97" i="12"/>
  <c r="J98" i="12"/>
  <c r="M98" i="12"/>
  <c r="J91" i="12"/>
  <c r="M91" i="12"/>
  <c r="J92" i="12"/>
  <c r="M92" i="12"/>
  <c r="J93" i="12"/>
  <c r="M93" i="12"/>
  <c r="J94" i="12"/>
  <c r="M94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20" i="12"/>
  <c r="M20" i="12"/>
  <c r="J21" i="12"/>
  <c r="M21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J22" i="12"/>
  <c r="M22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9" i="12"/>
  <c r="E52" i="12"/>
  <c r="E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9" i="7"/>
  <c r="E52" i="7"/>
  <c r="E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9" i="8"/>
  <c r="E52" i="8"/>
  <c r="E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D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B26" i="13"/>
  <c r="AV43" i="13"/>
  <c r="AJ45" i="13"/>
  <c r="BU26" i="13"/>
  <c r="B34" i="13"/>
  <c r="BJ34" i="13"/>
  <c r="BC40" i="13"/>
  <c r="AW40" i="13"/>
  <c r="BL40" i="13"/>
  <c r="BF40" i="13"/>
  <c r="BK40" i="13"/>
  <c r="AY40" i="13"/>
  <c r="D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D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J38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<sst xmlns="http://schemas.openxmlformats.org/spreadsheetml/2006/main" count="790" uniqueCount="145">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</sst>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5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5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0.103444722291407</c:v>
                </c:pt>
                <c:pt idx="1">
                  <c:v>0.0517223611457036</c:v>
                </c:pt>
                <c:pt idx="2" formatCode="0.0%">
                  <c:v>0.0517223611457036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0.0600646774595268</c:v>
                </c:pt>
                <c:pt idx="1">
                  <c:v>0.0300323387297634</c:v>
                </c:pt>
                <c:pt idx="2" formatCode="0.0%">
                  <c:v>0.0300323387297634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0.0047251400996264</c:v>
                </c:pt>
                <c:pt idx="1">
                  <c:v>0.0023625700498132</c:v>
                </c:pt>
                <c:pt idx="2" formatCode="0.0%">
                  <c:v>0.0023625700498132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0.0378532602739726</c:v>
                </c:pt>
                <c:pt idx="1">
                  <c:v>0.0412600536986301</c:v>
                </c:pt>
                <c:pt idx="2" formatCode="0.0%">
                  <c:v>0.0412600536986301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0.0354548443337484</c:v>
                </c:pt>
                <c:pt idx="2" formatCode="0.0%">
                  <c:v>0.0354548443337484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0.012372697882939</c:v>
                </c:pt>
                <c:pt idx="1">
                  <c:v>0.012372697882939</c:v>
                </c:pt>
                <c:pt idx="2" formatCode="0.0%">
                  <c:v>0.012372697882939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0.00473165753424657</c:v>
                </c:pt>
                <c:pt idx="1">
                  <c:v>0.00473165753424657</c:v>
                </c:pt>
                <c:pt idx="2" formatCode="0.0%">
                  <c:v>0.00473165753424657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0.00182129514321295</c:v>
                </c:pt>
                <c:pt idx="1">
                  <c:v>0.00182129514321295</c:v>
                </c:pt>
                <c:pt idx="2" formatCode="0.0%">
                  <c:v>0.00182129514321295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0.0301887571606476</c:v>
                </c:pt>
                <c:pt idx="1">
                  <c:v>0.0301887571606476</c:v>
                </c:pt>
                <c:pt idx="2" formatCode="0.0%">
                  <c:v>0.0301887571606476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0.0162649098381071</c:v>
                </c:pt>
                <c:pt idx="1">
                  <c:v>0.0162649098381071</c:v>
                </c:pt>
                <c:pt idx="2" formatCode="0.0%">
                  <c:v>0.0162649098381071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0.00182129514321295</c:v>
                </c:pt>
                <c:pt idx="1">
                  <c:v>0.00182129514321295</c:v>
                </c:pt>
                <c:pt idx="2" formatCode="0.0%">
                  <c:v>0.00218555417185554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0.00465130759651308</c:v>
                </c:pt>
                <c:pt idx="1">
                  <c:v>0.00465130759651308</c:v>
                </c:pt>
                <c:pt idx="2" formatCode="0.0%">
                  <c:v>0.00465130759651308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0.00214196762141968</c:v>
                </c:pt>
                <c:pt idx="1">
                  <c:v>0.00214196762141968</c:v>
                </c:pt>
                <c:pt idx="2" formatCode="0.0%">
                  <c:v>0.00214196762141968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0.0148597509339975</c:v>
                </c:pt>
                <c:pt idx="1">
                  <c:v>0.0148597509339975</c:v>
                </c:pt>
                <c:pt idx="2" formatCode="0.0%">
                  <c:v>0.0101159146987767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0.02</c:v>
                </c:pt>
                <c:pt idx="1">
                  <c:v>0.02</c:v>
                </c:pt>
                <c:pt idx="2" formatCode="0.0%">
                  <c:v>0.0295772188705413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0.00563013698630137</c:v>
                </c:pt>
                <c:pt idx="1">
                  <c:v>0.00563013698630137</c:v>
                </c:pt>
                <c:pt idx="2" formatCode="0.0%">
                  <c:v>0.00563013698630137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0.0106051696139477</c:v>
                </c:pt>
                <c:pt idx="1">
                  <c:v>0.0106051696139477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0.27258779252802</c:v>
                </c:pt>
                <c:pt idx="1">
                  <c:v>0.27258779252802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0.474104264009963</c:v>
                </c:pt>
                <c:pt idx="1">
                  <c:v>0.127510211777785</c:v>
                </c:pt>
                <c:pt idx="2" formatCode="0.0%">
                  <c:v>0.399611545357688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7565752"/>
        <c:axId val="-2100712296"/>
      </c:barChart>
      <c:catAx>
        <c:axId val="-2137565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712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712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7565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0.000282124586217273</c:v>
                </c:pt>
                <c:pt idx="1">
                  <c:v>0.000166453505868191</c:v>
                </c:pt>
                <c:pt idx="2">
                  <c:v>0.000166453505868191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0.000564249172434547</c:v>
                </c:pt>
                <c:pt idx="1">
                  <c:v>0.000332907011736383</c:v>
                </c:pt>
                <c:pt idx="2">
                  <c:v>0.000332907011736383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0.112849834486909</c:v>
                </c:pt>
                <c:pt idx="1">
                  <c:v>0.106530243755642</c:v>
                </c:pt>
                <c:pt idx="2">
                  <c:v>0.103681326839772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0.0141062293108637</c:v>
                </c:pt>
                <c:pt idx="1">
                  <c:v>0.0133162804694553</c:v>
                </c:pt>
                <c:pt idx="2">
                  <c:v>0.0147407389273907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0.000376166114956365</c:v>
                </c:pt>
                <c:pt idx="1">
                  <c:v>0.000526632560938911</c:v>
                </c:pt>
                <c:pt idx="2">
                  <c:v>0.000751970622081227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0.000658290701173638</c:v>
                </c:pt>
                <c:pt idx="1">
                  <c:v>0.000921606981643093</c:v>
                </c:pt>
                <c:pt idx="2">
                  <c:v>0.00082302157989333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0.000940415287390912</c:v>
                </c:pt>
                <c:pt idx="1">
                  <c:v>0.00131658140234728</c:v>
                </c:pt>
                <c:pt idx="2">
                  <c:v>0.00117574511413333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0.0038180860668071</c:v>
                </c:pt>
                <c:pt idx="1">
                  <c:v>0.00534532049352994</c:v>
                </c:pt>
                <c:pt idx="2">
                  <c:v>0.00477352516338131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0.016457267529341</c:v>
                </c:pt>
                <c:pt idx="1">
                  <c:v>0.0230401745410773</c:v>
                </c:pt>
                <c:pt idx="2">
                  <c:v>0.0205755394973332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0.00131658140234728</c:v>
                </c:pt>
                <c:pt idx="1">
                  <c:v>0.00184321396328619</c:v>
                </c:pt>
                <c:pt idx="2">
                  <c:v>0.00184321396328619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0.406259404152874</c:v>
                </c:pt>
                <c:pt idx="1">
                  <c:v>0.383508877520313</c:v>
                </c:pt>
                <c:pt idx="2">
                  <c:v>0.383508877520313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0.295666566355703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0.146704784832982</c:v>
                </c:pt>
                <c:pt idx="1">
                  <c:v>0.173111646102919</c:v>
                </c:pt>
                <c:pt idx="2">
                  <c:v>0.173111646102919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5267704"/>
        <c:axId val="-2135311960"/>
      </c:barChart>
      <c:catAx>
        <c:axId val="-2135267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311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5311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267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0.00015525418992245</c:v>
                </c:pt>
                <c:pt idx="1">
                  <c:v>9.15999720542458E-5</c:v>
                </c:pt>
                <c:pt idx="2">
                  <c:v>9.15999720542458E-5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0.000517513966408168</c:v>
                </c:pt>
                <c:pt idx="1">
                  <c:v>0.000305333240180819</c:v>
                </c:pt>
                <c:pt idx="2">
                  <c:v>0.000305333240180819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0.207005586563267</c:v>
                </c:pt>
                <c:pt idx="1">
                  <c:v>0.195413273715724</c:v>
                </c:pt>
                <c:pt idx="2">
                  <c:v>0.202016704415312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0.0776270949612253</c:v>
                </c:pt>
                <c:pt idx="1">
                  <c:v>0.0732799776433966</c:v>
                </c:pt>
                <c:pt idx="2">
                  <c:v>0.0712989484335202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0.140864714086471</c:v>
                </c:pt>
                <c:pt idx="1">
                  <c:v>0.214959553695955</c:v>
                </c:pt>
                <c:pt idx="2">
                  <c:v>0.234330063372598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0.00434711731782861</c:v>
                </c:pt>
                <c:pt idx="1">
                  <c:v>0.00608596424496006</c:v>
                </c:pt>
                <c:pt idx="2">
                  <c:v>0.00608596424496006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0.000207005586563267</c:v>
                </c:pt>
                <c:pt idx="1">
                  <c:v>0.000289807821188574</c:v>
                </c:pt>
                <c:pt idx="2">
                  <c:v>0.000185346770573623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0.00130413519534858</c:v>
                </c:pt>
                <c:pt idx="1">
                  <c:v>0.00182578927348802</c:v>
                </c:pt>
                <c:pt idx="2">
                  <c:v>0.00199031542820657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0.000517513966408168</c:v>
                </c:pt>
                <c:pt idx="1">
                  <c:v>0.000724519552971436</c:v>
                </c:pt>
                <c:pt idx="2">
                  <c:v>0.00078980770960578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0.00239091452480574</c:v>
                </c:pt>
                <c:pt idx="1">
                  <c:v>0.00334728033472803</c:v>
                </c:pt>
                <c:pt idx="2">
                  <c:v>0.0036489116183787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0.0064689245801021</c:v>
                </c:pt>
                <c:pt idx="1">
                  <c:v>0.00905649441214294</c:v>
                </c:pt>
                <c:pt idx="2">
                  <c:v>0.00987259637007225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0.00253581843540002</c:v>
                </c:pt>
                <c:pt idx="1">
                  <c:v>0.00355014580956003</c:v>
                </c:pt>
                <c:pt idx="2">
                  <c:v>0.00355014580956003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0.33125033961854</c:v>
                </c:pt>
                <c:pt idx="1">
                  <c:v>0.312700320599902</c:v>
                </c:pt>
                <c:pt idx="2">
                  <c:v>0.312700320599902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0.144075888248034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0.0807321787596743</c:v>
                </c:pt>
                <c:pt idx="1">
                  <c:v>0.0952639709364156</c:v>
                </c:pt>
                <c:pt idx="2">
                  <c:v>0.0952639709364156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7363720"/>
        <c:axId val="-2137457160"/>
      </c:barChart>
      <c:catAx>
        <c:axId val="2117363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7457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7457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363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0.0267210144927536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0.108695652173913</c:v>
                </c:pt>
                <c:pt idx="1">
                  <c:v>0.102608695652174</c:v>
                </c:pt>
                <c:pt idx="2">
                  <c:v>0.102608695652174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0.47463768115942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0.235507246376812</c:v>
                </c:pt>
                <c:pt idx="1">
                  <c:v>0.277898550724638</c:v>
                </c:pt>
                <c:pt idx="2">
                  <c:v>0.277898550724638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0.181159420289855</c:v>
                </c:pt>
                <c:pt idx="1">
                  <c:v>0.201086956521739</c:v>
                </c:pt>
                <c:pt idx="2">
                  <c:v>0.201086956521739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5732552"/>
        <c:axId val="-2135731736"/>
      </c:barChart>
      <c:catAx>
        <c:axId val="-2135732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731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5731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732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ZAOCC - Non-Affected Area without Grants</a:t>
            </a:r>
          </a:p>
        </c:rich>
      </c:tx>
      <c:layout>
        <c:manualLayout>
          <c:xMode val="edge"/>
          <c:yMode val="edge"/>
          <c:x val="0.294265295853562"/>
          <c:y val="0.0301363549068562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3344.15816647667</c:v>
                </c:pt>
                <c:pt idx="1">
                  <c:v>2601.742194038498</c:v>
                </c:pt>
                <c:pt idx="2">
                  <c:v>3492.26354761781</c:v>
                </c:pt>
                <c:pt idx="3">
                  <c:v>4415.576353935066</c:v>
                </c:pt>
                <c:pt idx="4">
                  <c:v>3698.527045295056</c:v>
                </c:pt>
                <c:pt idx="5">
                  <c:v>2902.148691447055</c:v>
                </c:pt>
                <c:pt idx="6">
                  <c:v>3915.280050166076</c:v>
                </c:pt>
                <c:pt idx="7">
                  <c:v>3296.962145553272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53.09760719536244</c:v>
                </c:pt>
                <c:pt idx="2">
                  <c:v>1900.894337593976</c:v>
                </c:pt>
                <c:pt idx="3">
                  <c:v>29064.77682434006</c:v>
                </c:pt>
                <c:pt idx="4">
                  <c:v>0.0</c:v>
                </c:pt>
                <c:pt idx="5">
                  <c:v>0.0</c:v>
                </c:pt>
                <c:pt idx="6">
                  <c:v>1592.010271503696</c:v>
                </c:pt>
                <c:pt idx="7">
                  <c:v>31454.84569378431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1021.531460543265</c:v>
                </c:pt>
                <c:pt idx="1">
                  <c:v>2971.466259973326</c:v>
                </c:pt>
                <c:pt idx="2">
                  <c:v>3660.798544402578</c:v>
                </c:pt>
                <c:pt idx="3">
                  <c:v>3487.987745600736</c:v>
                </c:pt>
                <c:pt idx="4">
                  <c:v>555.5188356164383</c:v>
                </c:pt>
                <c:pt idx="5">
                  <c:v>1615.912520145044</c:v>
                </c:pt>
                <c:pt idx="6">
                  <c:v>1990.778182917003</c:v>
                </c:pt>
                <c:pt idx="7">
                  <c:v>1896.801974214344</c:v>
                </c:pt>
              </c:numCache>
            </c:numRef>
          </c:val>
        </c:ser>
        <c:ser>
          <c:idx val="7"/>
          <c:order val="9"/>
          <c:tx>
            <c:strRef>
              <c:f>Income!$A$75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FFF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Income!$B$75:$I$75</c:f>
              <c:numCache>
                <c:formatCode>#,##0</c:formatCode>
                <c:ptCount val="8"/>
                <c:pt idx="0">
                  <c:v>0.0</c:v>
                </c:pt>
                <c:pt idx="1">
                  <c:v>15.1707449129607</c:v>
                </c:pt>
                <c:pt idx="2">
                  <c:v>68.26835210832316</c:v>
                </c:pt>
                <c:pt idx="3">
                  <c:v>123.2623024178057</c:v>
                </c:pt>
                <c:pt idx="4">
                  <c:v>0.0</c:v>
                </c:pt>
                <c:pt idx="5">
                  <c:v>5.899999999999999</c:v>
                </c:pt>
                <c:pt idx="6">
                  <c:v>26.55</c:v>
                </c:pt>
                <c:pt idx="7">
                  <c:v>47.9375</c:v>
                </c:pt>
              </c:numCache>
            </c:numRef>
          </c:val>
        </c:ser>
        <c:ser>
          <c:idx val="8"/>
          <c:order val="10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3034.148982592139</c:v>
                </c:pt>
                <c:pt idx="2">
                  <c:v>10240.25281624847</c:v>
                </c:pt>
                <c:pt idx="3">
                  <c:v>52149.4356383024</c:v>
                </c:pt>
                <c:pt idx="4">
                  <c:v>0.0</c:v>
                </c:pt>
                <c:pt idx="5">
                  <c:v>1888.0</c:v>
                </c:pt>
                <c:pt idx="6">
                  <c:v>6296.264392708493</c:v>
                </c:pt>
                <c:pt idx="7">
                  <c:v>33008.245983412</c:v>
                </c:pt>
              </c:numCache>
            </c:numRef>
          </c:val>
        </c:ser>
        <c:ser>
          <c:idx val="12"/>
          <c:order val="11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176.6264087394197</c:v>
                </c:pt>
                <c:pt idx="1">
                  <c:v>615.715261702261</c:v>
                </c:pt>
                <c:pt idx="2">
                  <c:v>521.0369078728983</c:v>
                </c:pt>
                <c:pt idx="3">
                  <c:v>176.6264087394196</c:v>
                </c:pt>
                <c:pt idx="4">
                  <c:v>1461.307049044897</c:v>
                </c:pt>
                <c:pt idx="5">
                  <c:v>1647.514422489287</c:v>
                </c:pt>
                <c:pt idx="6">
                  <c:v>506.0704657465041</c:v>
                </c:pt>
                <c:pt idx="7">
                  <c:v>209.4131430817584</c:v>
                </c:pt>
              </c:numCache>
            </c:numRef>
          </c:val>
        </c:ser>
        <c:ser>
          <c:idx val="0"/>
          <c:order val="12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11833.18103210935</c:v>
                </c:pt>
                <c:pt idx="1">
                  <c:v>11833.18103210935</c:v>
                </c:pt>
                <c:pt idx="2">
                  <c:v>11833.18103210935</c:v>
                </c:pt>
                <c:pt idx="3">
                  <c:v>14791.47629013668</c:v>
                </c:pt>
                <c:pt idx="4">
                  <c:v>9204.0</c:v>
                </c:pt>
                <c:pt idx="5">
                  <c:v>9204.0</c:v>
                </c:pt>
                <c:pt idx="6">
                  <c:v>9204.0</c:v>
                </c:pt>
                <c:pt idx="7">
                  <c:v>11505.0</c:v>
                </c:pt>
              </c:numCache>
            </c:numRef>
          </c:val>
        </c:ser>
        <c:ser>
          <c:idx val="3"/>
          <c:order val="13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5461.468168665852</c:v>
                </c:pt>
                <c:pt idx="1">
                  <c:v>14563.91511644227</c:v>
                </c:pt>
                <c:pt idx="2">
                  <c:v>32768.80901199511</c:v>
                </c:pt>
                <c:pt idx="3">
                  <c:v>60690.56502429929</c:v>
                </c:pt>
                <c:pt idx="4">
                  <c:v>3398.4</c:v>
                </c:pt>
                <c:pt idx="5">
                  <c:v>9062.4</c:v>
                </c:pt>
                <c:pt idx="6">
                  <c:v>20390.4</c:v>
                </c:pt>
                <c:pt idx="7">
                  <c:v>37764.72</c:v>
                </c:pt>
              </c:numCache>
            </c:numRef>
          </c:val>
        </c:ser>
        <c:ser>
          <c:idx val="9"/>
          <c:order val="14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1051.347671067974</c:v>
                </c:pt>
                <c:pt idx="4">
                  <c:v>1829.54618744412</c:v>
                </c:pt>
                <c:pt idx="5">
                  <c:v>1829.54618744412</c:v>
                </c:pt>
                <c:pt idx="6">
                  <c:v>1829.54618744412</c:v>
                </c:pt>
                <c:pt idx="7">
                  <c:v>1143.466367152575</c:v>
                </c:pt>
              </c:numCache>
            </c:numRef>
          </c:val>
        </c:ser>
        <c:ser>
          <c:idx val="17"/>
          <c:order val="15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99.44308766013902</c:v>
                </c:pt>
                <c:pt idx="1">
                  <c:v>99.443087660139</c:v>
                </c:pt>
                <c:pt idx="2">
                  <c:v>0.0</c:v>
                </c:pt>
                <c:pt idx="3">
                  <c:v>0.0</c:v>
                </c:pt>
                <c:pt idx="4">
                  <c:v>108.1562544097958</c:v>
                </c:pt>
                <c:pt idx="5">
                  <c:v>108.1562544097958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6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26397.09614855162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7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9102.44694777642</c:v>
                </c:pt>
                <c:pt idx="1">
                  <c:v>11833.18103210935</c:v>
                </c:pt>
                <c:pt idx="2">
                  <c:v>0.0</c:v>
                </c:pt>
                <c:pt idx="3">
                  <c:v>0.0</c:v>
                </c:pt>
                <c:pt idx="4">
                  <c:v>6660.0</c:v>
                </c:pt>
                <c:pt idx="5">
                  <c:v>8658.000000000001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5960952"/>
        <c:axId val="-204596202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29244.12068144365</c:v>
                </c:pt>
                <c:pt idx="5" formatCode="#,##0">
                  <c:v>29244.12068144365</c:v>
                </c:pt>
                <c:pt idx="6" formatCode="#,##0">
                  <c:v>29244.12068144365</c:v>
                </c:pt>
                <c:pt idx="7" formatCode="#,##0">
                  <c:v>29244.12068144364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40733.38734811031</c:v>
                </c:pt>
                <c:pt idx="5" formatCode="#,##0">
                  <c:v>40733.38734811031</c:v>
                </c:pt>
                <c:pt idx="6" formatCode="#,##0">
                  <c:v>40733.38734811031</c:v>
                </c:pt>
                <c:pt idx="7" formatCode="#,##0">
                  <c:v>40733.38734811031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61194.58734811032</c:v>
                </c:pt>
                <c:pt idx="1">
                  <c:v>61194.58734811032</c:v>
                </c:pt>
                <c:pt idx="2">
                  <c:v>61194.58734811032</c:v>
                </c:pt>
                <c:pt idx="3">
                  <c:v>61194.5873481103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61194.58734811032</c:v>
                </c:pt>
                <c:pt idx="5" formatCode="#,##0">
                  <c:v>61194.58734811032</c:v>
                </c:pt>
                <c:pt idx="6" formatCode="#,##0">
                  <c:v>61194.58734811032</c:v>
                </c:pt>
                <c:pt idx="7" formatCode="#,##0">
                  <c:v>61194.5873481103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960952"/>
        <c:axId val="-2045962024"/>
      </c:lineChart>
      <c:catAx>
        <c:axId val="-2045960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5962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5962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5960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3"/>
        <c:delete val="1"/>
      </c:legendEntry>
      <c:legendEntry>
        <c:idx val="15"/>
        <c:delete val="1"/>
      </c:legendEntry>
      <c:legendEntry>
        <c:idx val="17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ZAOCC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3344.15816647667</c:v>
                </c:pt>
                <c:pt idx="1">
                  <c:v>2601.742194038498</c:v>
                </c:pt>
                <c:pt idx="2">
                  <c:v>3492.26354761781</c:v>
                </c:pt>
                <c:pt idx="3">
                  <c:v>4415.576353935066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53.09760719536244</c:v>
                </c:pt>
                <c:pt idx="2">
                  <c:v>1900.894337593976</c:v>
                </c:pt>
                <c:pt idx="3">
                  <c:v>29064.77682434006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1021.531460543265</c:v>
                </c:pt>
                <c:pt idx="1">
                  <c:v>2971.466259973326</c:v>
                </c:pt>
                <c:pt idx="2">
                  <c:v>3660.798544402578</c:v>
                </c:pt>
                <c:pt idx="3">
                  <c:v>3487.987745600736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3034.148982592139</c:v>
                </c:pt>
                <c:pt idx="2">
                  <c:v>10240.25281624847</c:v>
                </c:pt>
                <c:pt idx="3">
                  <c:v>52149.4356383024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176.6264087394197</c:v>
                </c:pt>
                <c:pt idx="1">
                  <c:v>615.715261702261</c:v>
                </c:pt>
                <c:pt idx="2">
                  <c:v>521.0369078728983</c:v>
                </c:pt>
                <c:pt idx="3">
                  <c:v>176.6264087394196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11833.18103210935</c:v>
                </c:pt>
                <c:pt idx="1">
                  <c:v>11833.18103210935</c:v>
                </c:pt>
                <c:pt idx="2">
                  <c:v>11833.18103210935</c:v>
                </c:pt>
                <c:pt idx="3">
                  <c:v>14791.47629013668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5461.468168665852</c:v>
                </c:pt>
                <c:pt idx="1">
                  <c:v>14563.91511644227</c:v>
                </c:pt>
                <c:pt idx="2">
                  <c:v>32768.80901199511</c:v>
                </c:pt>
                <c:pt idx="3">
                  <c:v>60690.56502429929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1051.347671067974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99.44308766013902</c:v>
                </c:pt>
                <c:pt idx="1">
                  <c:v>99.443087660139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26397.09614855162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9102.44694777642</c:v>
                </c:pt>
                <c:pt idx="1">
                  <c:v>11833.18103210935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066424"/>
        <c:axId val="-214384752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61194.58734811032</c:v>
                </c:pt>
                <c:pt idx="1">
                  <c:v>61194.58734811032</c:v>
                </c:pt>
                <c:pt idx="2">
                  <c:v>61194.58734811032</c:v>
                </c:pt>
                <c:pt idx="3">
                  <c:v>61194.5873481103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066424"/>
        <c:axId val="-2143847528"/>
      </c:lineChart>
      <c:catAx>
        <c:axId val="2118066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3847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847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8066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1316136"/>
        <c:axId val="-210134122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316136"/>
        <c:axId val="-2101341224"/>
      </c:lineChart>
      <c:catAx>
        <c:axId val="-210131613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341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341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316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0.238553156609139</c:v>
                </c:pt>
                <c:pt idx="1">
                  <c:v>0.333974419252795</c:v>
                </c:pt>
                <c:pt idx="2">
                  <c:v>0.333974419252795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0.22661856549905</c:v>
                </c:pt>
                <c:pt idx="1">
                  <c:v>0.267409907288879</c:v>
                </c:pt>
                <c:pt idx="2">
                  <c:v>0.267409907288879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0.403584312812755</c:v>
                </c:pt>
                <c:pt idx="1">
                  <c:v>0.0134835629243686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0.0210869312230886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0.128471790795743</c:v>
                </c:pt>
                <c:pt idx="1">
                  <c:v>0.0570115472848017</c:v>
                </c:pt>
                <c:pt idx="2">
                  <c:v>0.178671748686419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-0.25392634436451</c:v>
                </c:pt>
                <c:pt idx="2">
                  <c:v>-0.0887189403508673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6149016"/>
        <c:axId val="-2101071432"/>
      </c:barChart>
      <c:catAx>
        <c:axId val="-2146149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071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071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149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0.192774533059578</c:v>
                </c:pt>
                <c:pt idx="1">
                  <c:v>0.26988434628341</c:v>
                </c:pt>
                <c:pt idx="2">
                  <c:v>0.26988434628341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0.0965427757555271</c:v>
                </c:pt>
                <c:pt idx="1">
                  <c:v>0.052632282969734</c:v>
                </c:pt>
                <c:pt idx="2">
                  <c:v>0.0618603339694113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0.0235103821847728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0.326136021667168</c:v>
                </c:pt>
                <c:pt idx="1">
                  <c:v>0.17134966877073</c:v>
                </c:pt>
                <c:pt idx="2">
                  <c:v>0.157646645310403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0.177906083701696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0.0965427757555271</c:v>
                </c:pt>
                <c:pt idx="1">
                  <c:v>0.052632282969734</c:v>
                </c:pt>
                <c:pt idx="2">
                  <c:v>0.0618603339694113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-0.044743971514153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5628024"/>
        <c:axId val="-2145713080"/>
      </c:barChart>
      <c:catAx>
        <c:axId val="-2145628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5713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5713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5628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0.0848676235393228</c:v>
                </c:pt>
                <c:pt idx="1">
                  <c:v>0.118814672955052</c:v>
                </c:pt>
                <c:pt idx="2">
                  <c:v>0.118814672955052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0.0571313734203697</c:v>
                </c:pt>
                <c:pt idx="1">
                  <c:v>0.0498237970929765</c:v>
                </c:pt>
                <c:pt idx="2">
                  <c:v>0.00941565702984617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0.0167674525116247</c:v>
                </c:pt>
                <c:pt idx="1">
                  <c:v>0.0197855939637171</c:v>
                </c:pt>
                <c:pt idx="2">
                  <c:v>0.0197855939637171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0.617032699908227</c:v>
                </c:pt>
                <c:pt idx="1">
                  <c:v>0.463912963508784</c:v>
                </c:pt>
                <c:pt idx="2">
                  <c:v>0.529557101240587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0.0571313734203697</c:v>
                </c:pt>
                <c:pt idx="1">
                  <c:v>0.0498237970929765</c:v>
                </c:pt>
                <c:pt idx="2">
                  <c:v>0.00941565702984617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6001368"/>
        <c:axId val="-2146075624"/>
      </c:barChart>
      <c:catAx>
        <c:axId val="-214600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075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6075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001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0.30946365862656</c:v>
                </c:pt>
                <c:pt idx="1">
                  <c:v>0.433249122077184</c:v>
                </c:pt>
                <c:pt idx="2">
                  <c:v>0.433249122077184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0.293981481481481</c:v>
                </c:pt>
                <c:pt idx="1">
                  <c:v>0.148345080821367</c:v>
                </c:pt>
                <c:pt idx="2">
                  <c:v>0.17506609531412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0.523550724637681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0.0226449275362319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0.166660340928112</c:v>
                </c:pt>
                <c:pt idx="1">
                  <c:v>0.0358029552731782</c:v>
                </c:pt>
                <c:pt idx="2">
                  <c:v>0.17506609531412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-0.346898148148148</c:v>
                </c:pt>
                <c:pt idx="2">
                  <c:v>-0.346898148148148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0583048"/>
        <c:axId val="-2100504184"/>
      </c:barChart>
      <c:catAx>
        <c:axId val="-2100583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504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504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583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0.0920991721046077</c:v>
                </c:pt>
                <c:pt idx="1">
                  <c:v>0.0460495860523038</c:v>
                </c:pt>
                <c:pt idx="2" formatCode="0.0%">
                  <c:v>0.0460495860523038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0.0750808468244085</c:v>
                </c:pt>
                <c:pt idx="1">
                  <c:v>0.0375404234122042</c:v>
                </c:pt>
                <c:pt idx="2" formatCode="0.0%">
                  <c:v>0.0375404234122042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0.0400822229140722</c:v>
                </c:pt>
                <c:pt idx="1">
                  <c:v>0.0200411114570361</c:v>
                </c:pt>
                <c:pt idx="2" formatCode="0.0%">
                  <c:v>0.0200411114570361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0.0577262219178082</c:v>
                </c:pt>
                <c:pt idx="1">
                  <c:v>0.0629215818904109</c:v>
                </c:pt>
                <c:pt idx="2" formatCode="0.0%">
                  <c:v>0.0629215818904109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0.0159077544209215</c:v>
                </c:pt>
                <c:pt idx="1">
                  <c:v>0.0159077544209215</c:v>
                </c:pt>
                <c:pt idx="2" formatCode="0.0%">
                  <c:v>0.0151514559641026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0.0387995917808219</c:v>
                </c:pt>
                <c:pt idx="1">
                  <c:v>0.0387995917808219</c:v>
                </c:pt>
                <c:pt idx="2" formatCode="0.0%">
                  <c:v>0.0387995917808219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0.00293284557907845</c:v>
                </c:pt>
                <c:pt idx="1">
                  <c:v>0.00293284557907845</c:v>
                </c:pt>
                <c:pt idx="2" formatCode="0.0%">
                  <c:v>0.00293284557907845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0.00116562889165629</c:v>
                </c:pt>
                <c:pt idx="1">
                  <c:v>0.00116562889165629</c:v>
                </c:pt>
                <c:pt idx="2" formatCode="0.0%">
                  <c:v>0.00120459411587332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0.0301887571606476</c:v>
                </c:pt>
                <c:pt idx="1">
                  <c:v>0.0301887571606476</c:v>
                </c:pt>
                <c:pt idx="2" formatCode="0.0%">
                  <c:v>0.0309960890310351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0.0220054662515567</c:v>
                </c:pt>
                <c:pt idx="1">
                  <c:v>0.0220054662515567</c:v>
                </c:pt>
                <c:pt idx="2" formatCode="0.0%">
                  <c:v>0.0220054662515567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0.000254981320049813</c:v>
                </c:pt>
                <c:pt idx="1">
                  <c:v>0.000254981320049813</c:v>
                </c:pt>
                <c:pt idx="2" formatCode="0.0%">
                  <c:v>0.000480979620508619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0.0271326276463263</c:v>
                </c:pt>
                <c:pt idx="1">
                  <c:v>0.0271326276463263</c:v>
                </c:pt>
                <c:pt idx="2" formatCode="0.0%">
                  <c:v>0.0277131095763288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0.00160647571606476</c:v>
                </c:pt>
                <c:pt idx="1">
                  <c:v>0.00160647571606476</c:v>
                </c:pt>
                <c:pt idx="2" formatCode="0.0%">
                  <c:v>0.00160647571606476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0.0294993773349938</c:v>
                </c:pt>
                <c:pt idx="1">
                  <c:v>0.0294993773349938</c:v>
                </c:pt>
                <c:pt idx="2" formatCode="0.0%">
                  <c:v>0.0263437936384019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0.0141402261519303</c:v>
                </c:pt>
                <c:pt idx="1">
                  <c:v>0.0141402261519303</c:v>
                </c:pt>
                <c:pt idx="2" formatCode="0.0%">
                  <c:v>0.0126276292382923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0.0966628255851577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0.298360335990037</c:v>
                </c:pt>
                <c:pt idx="1">
                  <c:v>0.298360335990037</c:v>
                </c:pt>
                <c:pt idx="2" formatCode="0.0%">
                  <c:v>0.290474038329866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0.440880989290162</c:v>
                </c:pt>
                <c:pt idx="1">
                  <c:v>0.145669911147494</c:v>
                </c:pt>
                <c:pt idx="2" formatCode="0.0%">
                  <c:v>0.171210307522862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5622472"/>
        <c:axId val="-2097522168"/>
      </c:barChart>
      <c:catAx>
        <c:axId val="-2135622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7522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7522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5622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3344.15816647667</c:v>
                </c:pt>
                <c:pt idx="20">
                  <c:v>3344.15816647667</c:v>
                </c:pt>
                <c:pt idx="21">
                  <c:v>3344.15816647667</c:v>
                </c:pt>
                <c:pt idx="22">
                  <c:v>3344.15816647667</c:v>
                </c:pt>
                <c:pt idx="23">
                  <c:v>3344.15816647667</c:v>
                </c:pt>
                <c:pt idx="24">
                  <c:v>3344.15816647667</c:v>
                </c:pt>
                <c:pt idx="25">
                  <c:v>3344.15816647667</c:v>
                </c:pt>
                <c:pt idx="26">
                  <c:v>3344.15816647667</c:v>
                </c:pt>
                <c:pt idx="27">
                  <c:v>3344.15816647667</c:v>
                </c:pt>
                <c:pt idx="28">
                  <c:v>3344.15816647667</c:v>
                </c:pt>
                <c:pt idx="29">
                  <c:v>3344.15816647667</c:v>
                </c:pt>
                <c:pt idx="30">
                  <c:v>3344.15816647667</c:v>
                </c:pt>
                <c:pt idx="31">
                  <c:v>3344.15816647667</c:v>
                </c:pt>
                <c:pt idx="32">
                  <c:v>3344.15816647667</c:v>
                </c:pt>
                <c:pt idx="33">
                  <c:v>3344.15816647667</c:v>
                </c:pt>
                <c:pt idx="34">
                  <c:v>3344.15816647667</c:v>
                </c:pt>
                <c:pt idx="35">
                  <c:v>3344.15816647667</c:v>
                </c:pt>
                <c:pt idx="36">
                  <c:v>2601.742194038498</c:v>
                </c:pt>
                <c:pt idx="37">
                  <c:v>2601.742194038498</c:v>
                </c:pt>
                <c:pt idx="38">
                  <c:v>2601.742194038498</c:v>
                </c:pt>
                <c:pt idx="39">
                  <c:v>2601.742194038498</c:v>
                </c:pt>
                <c:pt idx="40">
                  <c:v>2601.742194038498</c:v>
                </c:pt>
                <c:pt idx="41">
                  <c:v>2601.742194038498</c:v>
                </c:pt>
                <c:pt idx="42">
                  <c:v>2601.742194038498</c:v>
                </c:pt>
                <c:pt idx="43">
                  <c:v>2601.742194038498</c:v>
                </c:pt>
                <c:pt idx="44">
                  <c:v>2601.742194038498</c:v>
                </c:pt>
                <c:pt idx="45">
                  <c:v>2601.742194038498</c:v>
                </c:pt>
                <c:pt idx="46">
                  <c:v>2601.742194038498</c:v>
                </c:pt>
                <c:pt idx="47">
                  <c:v>2601.742194038498</c:v>
                </c:pt>
                <c:pt idx="48">
                  <c:v>2601.742194038498</c:v>
                </c:pt>
                <c:pt idx="49">
                  <c:v>2601.742194038498</c:v>
                </c:pt>
                <c:pt idx="50">
                  <c:v>2601.742194038498</c:v>
                </c:pt>
                <c:pt idx="51">
                  <c:v>2601.742194038498</c:v>
                </c:pt>
                <c:pt idx="52">
                  <c:v>2601.742194038498</c:v>
                </c:pt>
                <c:pt idx="53">
                  <c:v>2601.742194038498</c:v>
                </c:pt>
                <c:pt idx="54">
                  <c:v>2601.742194038498</c:v>
                </c:pt>
                <c:pt idx="55">
                  <c:v>2601.742194038498</c:v>
                </c:pt>
                <c:pt idx="56">
                  <c:v>2601.742194038498</c:v>
                </c:pt>
                <c:pt idx="57">
                  <c:v>2601.742194038498</c:v>
                </c:pt>
                <c:pt idx="58">
                  <c:v>2601.742194038498</c:v>
                </c:pt>
                <c:pt idx="59">
                  <c:v>3492.26354761781</c:v>
                </c:pt>
                <c:pt idx="60">
                  <c:v>3492.26354761781</c:v>
                </c:pt>
                <c:pt idx="61">
                  <c:v>3492.26354761781</c:v>
                </c:pt>
                <c:pt idx="62">
                  <c:v>3492.26354761781</c:v>
                </c:pt>
                <c:pt idx="63">
                  <c:v>3492.26354761781</c:v>
                </c:pt>
                <c:pt idx="64">
                  <c:v>3492.26354761781</c:v>
                </c:pt>
                <c:pt idx="65">
                  <c:v>3492.26354761781</c:v>
                </c:pt>
                <c:pt idx="66">
                  <c:v>3492.26354761781</c:v>
                </c:pt>
                <c:pt idx="67">
                  <c:v>3492.26354761781</c:v>
                </c:pt>
                <c:pt idx="68">
                  <c:v>3492.26354761781</c:v>
                </c:pt>
                <c:pt idx="69">
                  <c:v>3492.26354761781</c:v>
                </c:pt>
                <c:pt idx="70">
                  <c:v>3492.26354761781</c:v>
                </c:pt>
                <c:pt idx="71">
                  <c:v>3492.26354761781</c:v>
                </c:pt>
                <c:pt idx="72">
                  <c:v>3492.26354761781</c:v>
                </c:pt>
                <c:pt idx="73">
                  <c:v>3492.26354761781</c:v>
                </c:pt>
                <c:pt idx="74">
                  <c:v>3492.26354761781</c:v>
                </c:pt>
                <c:pt idx="75">
                  <c:v>3492.26354761781</c:v>
                </c:pt>
                <c:pt idx="76">
                  <c:v>3492.26354761781</c:v>
                </c:pt>
                <c:pt idx="77">
                  <c:v>3492.26354761781</c:v>
                </c:pt>
                <c:pt idx="78">
                  <c:v>3492.26354761781</c:v>
                </c:pt>
                <c:pt idx="79">
                  <c:v>3492.26354761781</c:v>
                </c:pt>
                <c:pt idx="80">
                  <c:v>3492.26354761781</c:v>
                </c:pt>
                <c:pt idx="81">
                  <c:v>3492.26354761781</c:v>
                </c:pt>
                <c:pt idx="82">
                  <c:v>3492.26354761781</c:v>
                </c:pt>
                <c:pt idx="83">
                  <c:v>3492.26354761781</c:v>
                </c:pt>
                <c:pt idx="84">
                  <c:v>3492.26354761781</c:v>
                </c:pt>
                <c:pt idx="85">
                  <c:v>3492.26354761781</c:v>
                </c:pt>
                <c:pt idx="86">
                  <c:v>4415.576353935066</c:v>
                </c:pt>
                <c:pt idx="87">
                  <c:v>4415.576353935066</c:v>
                </c:pt>
                <c:pt idx="88">
                  <c:v>4415.576353935066</c:v>
                </c:pt>
                <c:pt idx="89">
                  <c:v>4415.576353935066</c:v>
                </c:pt>
                <c:pt idx="90">
                  <c:v>4415.576353935066</c:v>
                </c:pt>
                <c:pt idx="91">
                  <c:v>4415.576353935066</c:v>
                </c:pt>
                <c:pt idx="92">
                  <c:v>4415.576353935066</c:v>
                </c:pt>
                <c:pt idx="93">
                  <c:v>4415.576353935066</c:v>
                </c:pt>
                <c:pt idx="94">
                  <c:v>4415.576353935066</c:v>
                </c:pt>
                <c:pt idx="95">
                  <c:v>4415.576353935066</c:v>
                </c:pt>
                <c:pt idx="96">
                  <c:v>4415.576353935066</c:v>
                </c:pt>
                <c:pt idx="97">
                  <c:v>4415.576353935066</c:v>
                </c:pt>
                <c:pt idx="98">
                  <c:v>4415.576353935066</c:v>
                </c:pt>
                <c:pt idx="99">
                  <c:v>4415.576353935066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53.09760719536244</c:v>
                </c:pt>
                <c:pt idx="37">
                  <c:v>53.09760719536244</c:v>
                </c:pt>
                <c:pt idx="38">
                  <c:v>53.09760719536244</c:v>
                </c:pt>
                <c:pt idx="39">
                  <c:v>53.09760719536244</c:v>
                </c:pt>
                <c:pt idx="40">
                  <c:v>53.09760719536244</c:v>
                </c:pt>
                <c:pt idx="41">
                  <c:v>53.09760719536244</c:v>
                </c:pt>
                <c:pt idx="42">
                  <c:v>53.09760719536244</c:v>
                </c:pt>
                <c:pt idx="43">
                  <c:v>53.09760719536244</c:v>
                </c:pt>
                <c:pt idx="44">
                  <c:v>53.09760719536244</c:v>
                </c:pt>
                <c:pt idx="45">
                  <c:v>53.09760719536244</c:v>
                </c:pt>
                <c:pt idx="46">
                  <c:v>53.09760719536244</c:v>
                </c:pt>
                <c:pt idx="47">
                  <c:v>53.09760719536244</c:v>
                </c:pt>
                <c:pt idx="48">
                  <c:v>53.09760719536244</c:v>
                </c:pt>
                <c:pt idx="49">
                  <c:v>53.09760719536244</c:v>
                </c:pt>
                <c:pt idx="50">
                  <c:v>53.09760719536244</c:v>
                </c:pt>
                <c:pt idx="51">
                  <c:v>53.09760719536244</c:v>
                </c:pt>
                <c:pt idx="52">
                  <c:v>53.09760719536244</c:v>
                </c:pt>
                <c:pt idx="53">
                  <c:v>53.09760719536244</c:v>
                </c:pt>
                <c:pt idx="54">
                  <c:v>53.09760719536244</c:v>
                </c:pt>
                <c:pt idx="55">
                  <c:v>53.09760719536244</c:v>
                </c:pt>
                <c:pt idx="56">
                  <c:v>53.09760719536244</c:v>
                </c:pt>
                <c:pt idx="57">
                  <c:v>53.09760719536244</c:v>
                </c:pt>
                <c:pt idx="58">
                  <c:v>53.09760719536244</c:v>
                </c:pt>
                <c:pt idx="59">
                  <c:v>1900.894337593976</c:v>
                </c:pt>
                <c:pt idx="60">
                  <c:v>1900.894337593976</c:v>
                </c:pt>
                <c:pt idx="61">
                  <c:v>1900.894337593976</c:v>
                </c:pt>
                <c:pt idx="62">
                  <c:v>1900.894337593976</c:v>
                </c:pt>
                <c:pt idx="63">
                  <c:v>1900.894337593976</c:v>
                </c:pt>
                <c:pt idx="64">
                  <c:v>1900.894337593976</c:v>
                </c:pt>
                <c:pt idx="65">
                  <c:v>1900.894337593976</c:v>
                </c:pt>
                <c:pt idx="66">
                  <c:v>1900.894337593976</c:v>
                </c:pt>
                <c:pt idx="67">
                  <c:v>1900.894337593976</c:v>
                </c:pt>
                <c:pt idx="68">
                  <c:v>1900.894337593976</c:v>
                </c:pt>
                <c:pt idx="69">
                  <c:v>1900.894337593976</c:v>
                </c:pt>
                <c:pt idx="70">
                  <c:v>1900.894337593976</c:v>
                </c:pt>
                <c:pt idx="71">
                  <c:v>1900.894337593976</c:v>
                </c:pt>
                <c:pt idx="72">
                  <c:v>1900.894337593976</c:v>
                </c:pt>
                <c:pt idx="73">
                  <c:v>1900.894337593976</c:v>
                </c:pt>
                <c:pt idx="74">
                  <c:v>1900.894337593976</c:v>
                </c:pt>
                <c:pt idx="75">
                  <c:v>1900.894337593976</c:v>
                </c:pt>
                <c:pt idx="76">
                  <c:v>1900.894337593976</c:v>
                </c:pt>
                <c:pt idx="77">
                  <c:v>1900.894337593976</c:v>
                </c:pt>
                <c:pt idx="78">
                  <c:v>1900.894337593976</c:v>
                </c:pt>
                <c:pt idx="79">
                  <c:v>1900.894337593976</c:v>
                </c:pt>
                <c:pt idx="80">
                  <c:v>1900.894337593976</c:v>
                </c:pt>
                <c:pt idx="81">
                  <c:v>1900.894337593976</c:v>
                </c:pt>
                <c:pt idx="82">
                  <c:v>1900.894337593976</c:v>
                </c:pt>
                <c:pt idx="83">
                  <c:v>1900.894337593976</c:v>
                </c:pt>
                <c:pt idx="84">
                  <c:v>1900.894337593976</c:v>
                </c:pt>
                <c:pt idx="85">
                  <c:v>1900.894337593976</c:v>
                </c:pt>
                <c:pt idx="86">
                  <c:v>29064.77682434006</c:v>
                </c:pt>
                <c:pt idx="87">
                  <c:v>29064.77682434006</c:v>
                </c:pt>
                <c:pt idx="88">
                  <c:v>29064.77682434006</c:v>
                </c:pt>
                <c:pt idx="89">
                  <c:v>29064.77682434006</c:v>
                </c:pt>
                <c:pt idx="90">
                  <c:v>29064.77682434006</c:v>
                </c:pt>
                <c:pt idx="91">
                  <c:v>29064.77682434006</c:v>
                </c:pt>
                <c:pt idx="92">
                  <c:v>29064.77682434006</c:v>
                </c:pt>
                <c:pt idx="93">
                  <c:v>29064.77682434006</c:v>
                </c:pt>
                <c:pt idx="94">
                  <c:v>29064.77682434006</c:v>
                </c:pt>
                <c:pt idx="95">
                  <c:v>29064.77682434006</c:v>
                </c:pt>
                <c:pt idx="96">
                  <c:v>29064.77682434006</c:v>
                </c:pt>
                <c:pt idx="97">
                  <c:v>29064.77682434006</c:v>
                </c:pt>
                <c:pt idx="98">
                  <c:v>29064.77682434006</c:v>
                </c:pt>
                <c:pt idx="99">
                  <c:v>29064.77682434006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1021.531460543265</c:v>
                </c:pt>
                <c:pt idx="20">
                  <c:v>1021.531460543265</c:v>
                </c:pt>
                <c:pt idx="21">
                  <c:v>1021.531460543265</c:v>
                </c:pt>
                <c:pt idx="22">
                  <c:v>1021.531460543265</c:v>
                </c:pt>
                <c:pt idx="23">
                  <c:v>1021.531460543265</c:v>
                </c:pt>
                <c:pt idx="24">
                  <c:v>1021.531460543265</c:v>
                </c:pt>
                <c:pt idx="25">
                  <c:v>1021.531460543265</c:v>
                </c:pt>
                <c:pt idx="26">
                  <c:v>1021.531460543265</c:v>
                </c:pt>
                <c:pt idx="27">
                  <c:v>1021.531460543265</c:v>
                </c:pt>
                <c:pt idx="28">
                  <c:v>1021.531460543265</c:v>
                </c:pt>
                <c:pt idx="29">
                  <c:v>1021.531460543265</c:v>
                </c:pt>
                <c:pt idx="30">
                  <c:v>1021.531460543265</c:v>
                </c:pt>
                <c:pt idx="31">
                  <c:v>1021.531460543265</c:v>
                </c:pt>
                <c:pt idx="32">
                  <c:v>1021.531460543265</c:v>
                </c:pt>
                <c:pt idx="33">
                  <c:v>1021.531460543265</c:v>
                </c:pt>
                <c:pt idx="34">
                  <c:v>1021.531460543265</c:v>
                </c:pt>
                <c:pt idx="35">
                  <c:v>1021.531460543265</c:v>
                </c:pt>
                <c:pt idx="36">
                  <c:v>2971.466259973326</c:v>
                </c:pt>
                <c:pt idx="37">
                  <c:v>2971.466259973326</c:v>
                </c:pt>
                <c:pt idx="38">
                  <c:v>2971.466259973326</c:v>
                </c:pt>
                <c:pt idx="39">
                  <c:v>2971.466259973326</c:v>
                </c:pt>
                <c:pt idx="40">
                  <c:v>2971.466259973326</c:v>
                </c:pt>
                <c:pt idx="41">
                  <c:v>2971.466259973326</c:v>
                </c:pt>
                <c:pt idx="42">
                  <c:v>2971.466259973326</c:v>
                </c:pt>
                <c:pt idx="43">
                  <c:v>2971.466259973326</c:v>
                </c:pt>
                <c:pt idx="44">
                  <c:v>2971.466259973326</c:v>
                </c:pt>
                <c:pt idx="45">
                  <c:v>2971.466259973326</c:v>
                </c:pt>
                <c:pt idx="46">
                  <c:v>2971.466259973326</c:v>
                </c:pt>
                <c:pt idx="47">
                  <c:v>2971.466259973326</c:v>
                </c:pt>
                <c:pt idx="48">
                  <c:v>2971.466259973326</c:v>
                </c:pt>
                <c:pt idx="49">
                  <c:v>2971.466259973326</c:v>
                </c:pt>
                <c:pt idx="50">
                  <c:v>2971.466259973326</c:v>
                </c:pt>
                <c:pt idx="51">
                  <c:v>2971.466259973326</c:v>
                </c:pt>
                <c:pt idx="52">
                  <c:v>2971.466259973326</c:v>
                </c:pt>
                <c:pt idx="53">
                  <c:v>2971.466259973326</c:v>
                </c:pt>
                <c:pt idx="54">
                  <c:v>2971.466259973326</c:v>
                </c:pt>
                <c:pt idx="55">
                  <c:v>2971.466259973326</c:v>
                </c:pt>
                <c:pt idx="56">
                  <c:v>2971.466259973326</c:v>
                </c:pt>
                <c:pt idx="57">
                  <c:v>2971.466259973326</c:v>
                </c:pt>
                <c:pt idx="58">
                  <c:v>2971.466259973326</c:v>
                </c:pt>
                <c:pt idx="59">
                  <c:v>3660.798544402578</c:v>
                </c:pt>
                <c:pt idx="60">
                  <c:v>3660.798544402578</c:v>
                </c:pt>
                <c:pt idx="61">
                  <c:v>3660.798544402578</c:v>
                </c:pt>
                <c:pt idx="62">
                  <c:v>3660.798544402578</c:v>
                </c:pt>
                <c:pt idx="63">
                  <c:v>3660.798544402578</c:v>
                </c:pt>
                <c:pt idx="64">
                  <c:v>3660.798544402578</c:v>
                </c:pt>
                <c:pt idx="65">
                  <c:v>3660.798544402578</c:v>
                </c:pt>
                <c:pt idx="66">
                  <c:v>3660.798544402578</c:v>
                </c:pt>
                <c:pt idx="67">
                  <c:v>3660.798544402578</c:v>
                </c:pt>
                <c:pt idx="68">
                  <c:v>3660.798544402578</c:v>
                </c:pt>
                <c:pt idx="69">
                  <c:v>3660.798544402578</c:v>
                </c:pt>
                <c:pt idx="70">
                  <c:v>3660.798544402578</c:v>
                </c:pt>
                <c:pt idx="71">
                  <c:v>3660.798544402578</c:v>
                </c:pt>
                <c:pt idx="72">
                  <c:v>3660.798544402578</c:v>
                </c:pt>
                <c:pt idx="73">
                  <c:v>3660.798544402578</c:v>
                </c:pt>
                <c:pt idx="74">
                  <c:v>3660.798544402578</c:v>
                </c:pt>
                <c:pt idx="75">
                  <c:v>3660.798544402578</c:v>
                </c:pt>
                <c:pt idx="76">
                  <c:v>3660.798544402578</c:v>
                </c:pt>
                <c:pt idx="77">
                  <c:v>3660.798544402578</c:v>
                </c:pt>
                <c:pt idx="78">
                  <c:v>3660.798544402578</c:v>
                </c:pt>
                <c:pt idx="79">
                  <c:v>3660.798544402578</c:v>
                </c:pt>
                <c:pt idx="80">
                  <c:v>3660.798544402578</c:v>
                </c:pt>
                <c:pt idx="81">
                  <c:v>3660.798544402578</c:v>
                </c:pt>
                <c:pt idx="82">
                  <c:v>3660.798544402578</c:v>
                </c:pt>
                <c:pt idx="83">
                  <c:v>3660.798544402578</c:v>
                </c:pt>
                <c:pt idx="84">
                  <c:v>3660.798544402578</c:v>
                </c:pt>
                <c:pt idx="85">
                  <c:v>3660.798544402578</c:v>
                </c:pt>
                <c:pt idx="86">
                  <c:v>3487.987745600736</c:v>
                </c:pt>
                <c:pt idx="87">
                  <c:v>3487.987745600736</c:v>
                </c:pt>
                <c:pt idx="88">
                  <c:v>3487.987745600736</c:v>
                </c:pt>
                <c:pt idx="89">
                  <c:v>3487.987745600736</c:v>
                </c:pt>
                <c:pt idx="90">
                  <c:v>3487.987745600736</c:v>
                </c:pt>
                <c:pt idx="91">
                  <c:v>3487.987745600736</c:v>
                </c:pt>
                <c:pt idx="92">
                  <c:v>3487.987745600736</c:v>
                </c:pt>
                <c:pt idx="93">
                  <c:v>3487.987745600736</c:v>
                </c:pt>
                <c:pt idx="94">
                  <c:v>3487.987745600736</c:v>
                </c:pt>
                <c:pt idx="95">
                  <c:v>3487.987745600736</c:v>
                </c:pt>
                <c:pt idx="96">
                  <c:v>3487.987745600736</c:v>
                </c:pt>
                <c:pt idx="97">
                  <c:v>3487.987745600736</c:v>
                </c:pt>
                <c:pt idx="98">
                  <c:v>3487.987745600736</c:v>
                </c:pt>
                <c:pt idx="99">
                  <c:v>3487.987745600736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15.1707449129607</c:v>
                </c:pt>
                <c:pt idx="37">
                  <c:v>15.1707449129607</c:v>
                </c:pt>
                <c:pt idx="38">
                  <c:v>15.1707449129607</c:v>
                </c:pt>
                <c:pt idx="39">
                  <c:v>15.1707449129607</c:v>
                </c:pt>
                <c:pt idx="40">
                  <c:v>15.1707449129607</c:v>
                </c:pt>
                <c:pt idx="41">
                  <c:v>15.1707449129607</c:v>
                </c:pt>
                <c:pt idx="42">
                  <c:v>15.1707449129607</c:v>
                </c:pt>
                <c:pt idx="43">
                  <c:v>15.1707449129607</c:v>
                </c:pt>
                <c:pt idx="44">
                  <c:v>15.1707449129607</c:v>
                </c:pt>
                <c:pt idx="45">
                  <c:v>15.1707449129607</c:v>
                </c:pt>
                <c:pt idx="46">
                  <c:v>15.1707449129607</c:v>
                </c:pt>
                <c:pt idx="47">
                  <c:v>15.1707449129607</c:v>
                </c:pt>
                <c:pt idx="48">
                  <c:v>15.1707449129607</c:v>
                </c:pt>
                <c:pt idx="49">
                  <c:v>15.1707449129607</c:v>
                </c:pt>
                <c:pt idx="50">
                  <c:v>15.1707449129607</c:v>
                </c:pt>
                <c:pt idx="51">
                  <c:v>15.1707449129607</c:v>
                </c:pt>
                <c:pt idx="52">
                  <c:v>15.1707449129607</c:v>
                </c:pt>
                <c:pt idx="53">
                  <c:v>15.1707449129607</c:v>
                </c:pt>
                <c:pt idx="54">
                  <c:v>15.1707449129607</c:v>
                </c:pt>
                <c:pt idx="55">
                  <c:v>15.1707449129607</c:v>
                </c:pt>
                <c:pt idx="56">
                  <c:v>15.1707449129607</c:v>
                </c:pt>
                <c:pt idx="57">
                  <c:v>15.1707449129607</c:v>
                </c:pt>
                <c:pt idx="58">
                  <c:v>15.1707449129607</c:v>
                </c:pt>
                <c:pt idx="59">
                  <c:v>68.26835210832316</c:v>
                </c:pt>
                <c:pt idx="60">
                  <c:v>68.26835210832316</c:v>
                </c:pt>
                <c:pt idx="61">
                  <c:v>68.26835210832316</c:v>
                </c:pt>
                <c:pt idx="62">
                  <c:v>68.26835210832316</c:v>
                </c:pt>
                <c:pt idx="63">
                  <c:v>68.26835210832316</c:v>
                </c:pt>
                <c:pt idx="64">
                  <c:v>68.26835210832316</c:v>
                </c:pt>
                <c:pt idx="65">
                  <c:v>68.26835210832316</c:v>
                </c:pt>
                <c:pt idx="66">
                  <c:v>68.26835210832316</c:v>
                </c:pt>
                <c:pt idx="67">
                  <c:v>68.26835210832316</c:v>
                </c:pt>
                <c:pt idx="68">
                  <c:v>68.26835210832316</c:v>
                </c:pt>
                <c:pt idx="69">
                  <c:v>68.26835210832316</c:v>
                </c:pt>
                <c:pt idx="70">
                  <c:v>68.26835210832316</c:v>
                </c:pt>
                <c:pt idx="71">
                  <c:v>68.26835210832316</c:v>
                </c:pt>
                <c:pt idx="72">
                  <c:v>68.26835210832316</c:v>
                </c:pt>
                <c:pt idx="73">
                  <c:v>68.26835210832316</c:v>
                </c:pt>
                <c:pt idx="74">
                  <c:v>68.26835210832316</c:v>
                </c:pt>
                <c:pt idx="75">
                  <c:v>68.26835210832316</c:v>
                </c:pt>
                <c:pt idx="76">
                  <c:v>68.26835210832316</c:v>
                </c:pt>
                <c:pt idx="77">
                  <c:v>68.26835210832316</c:v>
                </c:pt>
                <c:pt idx="78">
                  <c:v>68.26835210832316</c:v>
                </c:pt>
                <c:pt idx="79">
                  <c:v>68.26835210832316</c:v>
                </c:pt>
                <c:pt idx="80">
                  <c:v>68.26835210832316</c:v>
                </c:pt>
                <c:pt idx="81">
                  <c:v>68.26835210832316</c:v>
                </c:pt>
                <c:pt idx="82">
                  <c:v>68.26835210832316</c:v>
                </c:pt>
                <c:pt idx="83">
                  <c:v>68.26835210832316</c:v>
                </c:pt>
                <c:pt idx="84">
                  <c:v>68.26835210832316</c:v>
                </c:pt>
                <c:pt idx="85">
                  <c:v>68.26835210832316</c:v>
                </c:pt>
                <c:pt idx="86">
                  <c:v>123.2623024178057</c:v>
                </c:pt>
                <c:pt idx="87">
                  <c:v>123.2623024178057</c:v>
                </c:pt>
                <c:pt idx="88">
                  <c:v>123.2623024178057</c:v>
                </c:pt>
                <c:pt idx="89">
                  <c:v>123.2623024178057</c:v>
                </c:pt>
                <c:pt idx="90">
                  <c:v>123.2623024178057</c:v>
                </c:pt>
                <c:pt idx="91">
                  <c:v>123.2623024178057</c:v>
                </c:pt>
                <c:pt idx="92">
                  <c:v>123.2623024178057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3034.148982592139</c:v>
                </c:pt>
                <c:pt idx="37">
                  <c:v>3034.148982592139</c:v>
                </c:pt>
                <c:pt idx="38">
                  <c:v>3034.148982592139</c:v>
                </c:pt>
                <c:pt idx="39">
                  <c:v>3034.148982592139</c:v>
                </c:pt>
                <c:pt idx="40">
                  <c:v>3034.148982592139</c:v>
                </c:pt>
                <c:pt idx="41">
                  <c:v>3034.148982592139</c:v>
                </c:pt>
                <c:pt idx="42">
                  <c:v>3034.148982592139</c:v>
                </c:pt>
                <c:pt idx="43">
                  <c:v>3034.148982592139</c:v>
                </c:pt>
                <c:pt idx="44">
                  <c:v>3034.148982592139</c:v>
                </c:pt>
                <c:pt idx="45">
                  <c:v>3034.148982592139</c:v>
                </c:pt>
                <c:pt idx="46">
                  <c:v>3034.148982592139</c:v>
                </c:pt>
                <c:pt idx="47">
                  <c:v>3034.148982592139</c:v>
                </c:pt>
                <c:pt idx="48">
                  <c:v>3034.148982592139</c:v>
                </c:pt>
                <c:pt idx="49">
                  <c:v>3034.148982592139</c:v>
                </c:pt>
                <c:pt idx="50">
                  <c:v>3034.148982592139</c:v>
                </c:pt>
                <c:pt idx="51">
                  <c:v>3034.148982592139</c:v>
                </c:pt>
                <c:pt idx="52">
                  <c:v>3034.148982592139</c:v>
                </c:pt>
                <c:pt idx="53">
                  <c:v>3034.148982592139</c:v>
                </c:pt>
                <c:pt idx="54">
                  <c:v>3034.148982592139</c:v>
                </c:pt>
                <c:pt idx="55">
                  <c:v>3034.148982592139</c:v>
                </c:pt>
                <c:pt idx="56">
                  <c:v>3034.148982592139</c:v>
                </c:pt>
                <c:pt idx="57">
                  <c:v>3034.148982592139</c:v>
                </c:pt>
                <c:pt idx="58">
                  <c:v>3034.148982592139</c:v>
                </c:pt>
                <c:pt idx="59">
                  <c:v>10240.25281624847</c:v>
                </c:pt>
                <c:pt idx="60">
                  <c:v>10240.25281624847</c:v>
                </c:pt>
                <c:pt idx="61">
                  <c:v>10240.25281624847</c:v>
                </c:pt>
                <c:pt idx="62">
                  <c:v>10240.25281624847</c:v>
                </c:pt>
                <c:pt idx="63">
                  <c:v>10240.25281624847</c:v>
                </c:pt>
                <c:pt idx="64">
                  <c:v>10240.25281624847</c:v>
                </c:pt>
                <c:pt idx="65">
                  <c:v>10240.25281624847</c:v>
                </c:pt>
                <c:pt idx="66">
                  <c:v>10240.25281624847</c:v>
                </c:pt>
                <c:pt idx="67">
                  <c:v>10240.25281624847</c:v>
                </c:pt>
                <c:pt idx="68">
                  <c:v>10240.25281624847</c:v>
                </c:pt>
                <c:pt idx="69">
                  <c:v>10240.25281624847</c:v>
                </c:pt>
                <c:pt idx="70">
                  <c:v>10240.25281624847</c:v>
                </c:pt>
                <c:pt idx="71">
                  <c:v>10240.25281624847</c:v>
                </c:pt>
                <c:pt idx="72">
                  <c:v>10240.25281624847</c:v>
                </c:pt>
                <c:pt idx="73">
                  <c:v>10240.25281624847</c:v>
                </c:pt>
                <c:pt idx="74">
                  <c:v>10240.25281624847</c:v>
                </c:pt>
                <c:pt idx="75">
                  <c:v>10240.25281624847</c:v>
                </c:pt>
                <c:pt idx="76">
                  <c:v>10240.25281624847</c:v>
                </c:pt>
                <c:pt idx="77">
                  <c:v>10240.25281624847</c:v>
                </c:pt>
                <c:pt idx="78">
                  <c:v>10240.25281624847</c:v>
                </c:pt>
                <c:pt idx="79">
                  <c:v>10240.25281624847</c:v>
                </c:pt>
                <c:pt idx="80">
                  <c:v>10240.25281624847</c:v>
                </c:pt>
                <c:pt idx="81">
                  <c:v>10240.25281624847</c:v>
                </c:pt>
                <c:pt idx="82">
                  <c:v>10240.25281624847</c:v>
                </c:pt>
                <c:pt idx="83">
                  <c:v>10240.25281624847</c:v>
                </c:pt>
                <c:pt idx="84">
                  <c:v>10240.25281624847</c:v>
                </c:pt>
                <c:pt idx="85">
                  <c:v>10240.25281624847</c:v>
                </c:pt>
                <c:pt idx="86">
                  <c:v>52149.4356383024</c:v>
                </c:pt>
                <c:pt idx="87">
                  <c:v>52149.4356383024</c:v>
                </c:pt>
                <c:pt idx="88">
                  <c:v>52149.4356383024</c:v>
                </c:pt>
                <c:pt idx="89">
                  <c:v>52149.4356383024</c:v>
                </c:pt>
                <c:pt idx="90">
                  <c:v>52149.4356383024</c:v>
                </c:pt>
                <c:pt idx="91">
                  <c:v>52149.4356383024</c:v>
                </c:pt>
                <c:pt idx="92">
                  <c:v>52149.4356383024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176.6264087394197</c:v>
                </c:pt>
                <c:pt idx="20">
                  <c:v>176.6264087394197</c:v>
                </c:pt>
                <c:pt idx="21">
                  <c:v>176.6264087394197</c:v>
                </c:pt>
                <c:pt idx="22">
                  <c:v>176.6264087394197</c:v>
                </c:pt>
                <c:pt idx="23">
                  <c:v>176.6264087394197</c:v>
                </c:pt>
                <c:pt idx="24">
                  <c:v>176.6264087394197</c:v>
                </c:pt>
                <c:pt idx="25">
                  <c:v>176.6264087394197</c:v>
                </c:pt>
                <c:pt idx="26">
                  <c:v>176.6264087394197</c:v>
                </c:pt>
                <c:pt idx="27">
                  <c:v>176.6264087394197</c:v>
                </c:pt>
                <c:pt idx="28">
                  <c:v>176.6264087394197</c:v>
                </c:pt>
                <c:pt idx="29">
                  <c:v>176.6264087394197</c:v>
                </c:pt>
                <c:pt idx="30">
                  <c:v>176.6264087394197</c:v>
                </c:pt>
                <c:pt idx="31">
                  <c:v>176.6264087394197</c:v>
                </c:pt>
                <c:pt idx="32">
                  <c:v>176.6264087394197</c:v>
                </c:pt>
                <c:pt idx="33">
                  <c:v>176.6264087394197</c:v>
                </c:pt>
                <c:pt idx="34">
                  <c:v>176.6264087394197</c:v>
                </c:pt>
                <c:pt idx="35">
                  <c:v>176.6264087394197</c:v>
                </c:pt>
                <c:pt idx="36">
                  <c:v>615.715261702261</c:v>
                </c:pt>
                <c:pt idx="37">
                  <c:v>615.715261702261</c:v>
                </c:pt>
                <c:pt idx="38">
                  <c:v>615.715261702261</c:v>
                </c:pt>
                <c:pt idx="39">
                  <c:v>615.715261702261</c:v>
                </c:pt>
                <c:pt idx="40">
                  <c:v>615.715261702261</c:v>
                </c:pt>
                <c:pt idx="41">
                  <c:v>615.715261702261</c:v>
                </c:pt>
                <c:pt idx="42">
                  <c:v>615.715261702261</c:v>
                </c:pt>
                <c:pt idx="43">
                  <c:v>615.715261702261</c:v>
                </c:pt>
                <c:pt idx="44">
                  <c:v>615.715261702261</c:v>
                </c:pt>
                <c:pt idx="45">
                  <c:v>615.715261702261</c:v>
                </c:pt>
                <c:pt idx="46">
                  <c:v>615.715261702261</c:v>
                </c:pt>
                <c:pt idx="47">
                  <c:v>615.715261702261</c:v>
                </c:pt>
                <c:pt idx="48">
                  <c:v>615.715261702261</c:v>
                </c:pt>
                <c:pt idx="49">
                  <c:v>615.715261702261</c:v>
                </c:pt>
                <c:pt idx="50">
                  <c:v>615.715261702261</c:v>
                </c:pt>
                <c:pt idx="51">
                  <c:v>615.715261702261</c:v>
                </c:pt>
                <c:pt idx="52">
                  <c:v>615.715261702261</c:v>
                </c:pt>
                <c:pt idx="53">
                  <c:v>615.715261702261</c:v>
                </c:pt>
                <c:pt idx="54">
                  <c:v>615.715261702261</c:v>
                </c:pt>
                <c:pt idx="55">
                  <c:v>615.715261702261</c:v>
                </c:pt>
                <c:pt idx="56">
                  <c:v>615.715261702261</c:v>
                </c:pt>
                <c:pt idx="57">
                  <c:v>615.715261702261</c:v>
                </c:pt>
                <c:pt idx="58">
                  <c:v>615.715261702261</c:v>
                </c:pt>
                <c:pt idx="59">
                  <c:v>521.0369078728983</c:v>
                </c:pt>
                <c:pt idx="60">
                  <c:v>521.0369078728983</c:v>
                </c:pt>
                <c:pt idx="61">
                  <c:v>521.0369078728983</c:v>
                </c:pt>
                <c:pt idx="62">
                  <c:v>521.0369078728983</c:v>
                </c:pt>
                <c:pt idx="63">
                  <c:v>521.0369078728983</c:v>
                </c:pt>
                <c:pt idx="64">
                  <c:v>521.0369078728983</c:v>
                </c:pt>
                <c:pt idx="65">
                  <c:v>521.0369078728983</c:v>
                </c:pt>
                <c:pt idx="66">
                  <c:v>521.0369078728983</c:v>
                </c:pt>
                <c:pt idx="67">
                  <c:v>521.0369078728983</c:v>
                </c:pt>
                <c:pt idx="68">
                  <c:v>521.0369078728983</c:v>
                </c:pt>
                <c:pt idx="69">
                  <c:v>521.0369078728983</c:v>
                </c:pt>
                <c:pt idx="70">
                  <c:v>521.0369078728983</c:v>
                </c:pt>
                <c:pt idx="71">
                  <c:v>521.0369078728983</c:v>
                </c:pt>
                <c:pt idx="72">
                  <c:v>521.0369078728983</c:v>
                </c:pt>
                <c:pt idx="73">
                  <c:v>521.0369078728983</c:v>
                </c:pt>
                <c:pt idx="74">
                  <c:v>521.0369078728983</c:v>
                </c:pt>
                <c:pt idx="75">
                  <c:v>521.0369078728983</c:v>
                </c:pt>
                <c:pt idx="76">
                  <c:v>521.0369078728983</c:v>
                </c:pt>
                <c:pt idx="77">
                  <c:v>521.0369078728983</c:v>
                </c:pt>
                <c:pt idx="78">
                  <c:v>521.0369078728983</c:v>
                </c:pt>
                <c:pt idx="79">
                  <c:v>521.0369078728983</c:v>
                </c:pt>
                <c:pt idx="80">
                  <c:v>521.0369078728983</c:v>
                </c:pt>
                <c:pt idx="81">
                  <c:v>521.0369078728983</c:v>
                </c:pt>
                <c:pt idx="82">
                  <c:v>521.0369078728983</c:v>
                </c:pt>
                <c:pt idx="83">
                  <c:v>521.0369078728983</c:v>
                </c:pt>
                <c:pt idx="84">
                  <c:v>521.0369078728983</c:v>
                </c:pt>
                <c:pt idx="85">
                  <c:v>521.0369078728983</c:v>
                </c:pt>
                <c:pt idx="86">
                  <c:v>176.6264087394196</c:v>
                </c:pt>
                <c:pt idx="87">
                  <c:v>176.6264087394196</c:v>
                </c:pt>
                <c:pt idx="88">
                  <c:v>176.6264087394196</c:v>
                </c:pt>
                <c:pt idx="89">
                  <c:v>176.6264087394196</c:v>
                </c:pt>
                <c:pt idx="90">
                  <c:v>176.6264087394196</c:v>
                </c:pt>
                <c:pt idx="91">
                  <c:v>176.6264087394196</c:v>
                </c:pt>
                <c:pt idx="92">
                  <c:v>176.6264087394196</c:v>
                </c:pt>
                <c:pt idx="93">
                  <c:v>176.6264087394196</c:v>
                </c:pt>
                <c:pt idx="94">
                  <c:v>176.6264087394196</c:v>
                </c:pt>
                <c:pt idx="95">
                  <c:v>176.6264087394196</c:v>
                </c:pt>
                <c:pt idx="96">
                  <c:v>176.6264087394196</c:v>
                </c:pt>
                <c:pt idx="97">
                  <c:v>176.6264087394196</c:v>
                </c:pt>
                <c:pt idx="98">
                  <c:v>176.6264087394196</c:v>
                </c:pt>
                <c:pt idx="99">
                  <c:v>176.6264087394196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5461.468168665852</c:v>
                </c:pt>
                <c:pt idx="20">
                  <c:v>5461.468168665852</c:v>
                </c:pt>
                <c:pt idx="21">
                  <c:v>5461.468168665852</c:v>
                </c:pt>
                <c:pt idx="22">
                  <c:v>5461.468168665852</c:v>
                </c:pt>
                <c:pt idx="23">
                  <c:v>5461.468168665852</c:v>
                </c:pt>
                <c:pt idx="24">
                  <c:v>5461.468168665852</c:v>
                </c:pt>
                <c:pt idx="25">
                  <c:v>5461.468168665852</c:v>
                </c:pt>
                <c:pt idx="26">
                  <c:v>5461.468168665852</c:v>
                </c:pt>
                <c:pt idx="27">
                  <c:v>5461.468168665852</c:v>
                </c:pt>
                <c:pt idx="28">
                  <c:v>5461.468168665852</c:v>
                </c:pt>
                <c:pt idx="29">
                  <c:v>5461.468168665852</c:v>
                </c:pt>
                <c:pt idx="30">
                  <c:v>5461.468168665852</c:v>
                </c:pt>
                <c:pt idx="31">
                  <c:v>5461.468168665852</c:v>
                </c:pt>
                <c:pt idx="32">
                  <c:v>5461.468168665852</c:v>
                </c:pt>
                <c:pt idx="33">
                  <c:v>5461.468168665852</c:v>
                </c:pt>
                <c:pt idx="34">
                  <c:v>5461.468168665852</c:v>
                </c:pt>
                <c:pt idx="35">
                  <c:v>5461.468168665852</c:v>
                </c:pt>
                <c:pt idx="36">
                  <c:v>14563.91511644227</c:v>
                </c:pt>
                <c:pt idx="37">
                  <c:v>14563.91511644227</c:v>
                </c:pt>
                <c:pt idx="38">
                  <c:v>14563.91511644227</c:v>
                </c:pt>
                <c:pt idx="39">
                  <c:v>14563.91511644227</c:v>
                </c:pt>
                <c:pt idx="40">
                  <c:v>14563.91511644227</c:v>
                </c:pt>
                <c:pt idx="41">
                  <c:v>14563.91511644227</c:v>
                </c:pt>
                <c:pt idx="42">
                  <c:v>14563.91511644227</c:v>
                </c:pt>
                <c:pt idx="43">
                  <c:v>14563.91511644227</c:v>
                </c:pt>
                <c:pt idx="44">
                  <c:v>14563.91511644227</c:v>
                </c:pt>
                <c:pt idx="45">
                  <c:v>14563.91511644227</c:v>
                </c:pt>
                <c:pt idx="46">
                  <c:v>14563.91511644227</c:v>
                </c:pt>
                <c:pt idx="47">
                  <c:v>14563.91511644227</c:v>
                </c:pt>
                <c:pt idx="48">
                  <c:v>14563.91511644227</c:v>
                </c:pt>
                <c:pt idx="49">
                  <c:v>14563.91511644227</c:v>
                </c:pt>
                <c:pt idx="50">
                  <c:v>14563.91511644227</c:v>
                </c:pt>
                <c:pt idx="51">
                  <c:v>14563.91511644227</c:v>
                </c:pt>
                <c:pt idx="52">
                  <c:v>14563.91511644227</c:v>
                </c:pt>
                <c:pt idx="53">
                  <c:v>14563.91511644227</c:v>
                </c:pt>
                <c:pt idx="54">
                  <c:v>14563.91511644227</c:v>
                </c:pt>
                <c:pt idx="55">
                  <c:v>14563.91511644227</c:v>
                </c:pt>
                <c:pt idx="56">
                  <c:v>14563.91511644227</c:v>
                </c:pt>
                <c:pt idx="57">
                  <c:v>14563.91511644227</c:v>
                </c:pt>
                <c:pt idx="58">
                  <c:v>14563.91511644227</c:v>
                </c:pt>
                <c:pt idx="59">
                  <c:v>32768.80901199511</c:v>
                </c:pt>
                <c:pt idx="60">
                  <c:v>32768.80901199511</c:v>
                </c:pt>
                <c:pt idx="61">
                  <c:v>32768.80901199511</c:v>
                </c:pt>
                <c:pt idx="62">
                  <c:v>32768.80901199511</c:v>
                </c:pt>
                <c:pt idx="63">
                  <c:v>32768.80901199511</c:v>
                </c:pt>
                <c:pt idx="64">
                  <c:v>32768.80901199511</c:v>
                </c:pt>
                <c:pt idx="65">
                  <c:v>32768.80901199511</c:v>
                </c:pt>
                <c:pt idx="66">
                  <c:v>32768.80901199511</c:v>
                </c:pt>
                <c:pt idx="67">
                  <c:v>32768.80901199511</c:v>
                </c:pt>
                <c:pt idx="68">
                  <c:v>32768.80901199511</c:v>
                </c:pt>
                <c:pt idx="69">
                  <c:v>32768.80901199511</c:v>
                </c:pt>
                <c:pt idx="70">
                  <c:v>32768.80901199511</c:v>
                </c:pt>
                <c:pt idx="71">
                  <c:v>32768.80901199511</c:v>
                </c:pt>
                <c:pt idx="72">
                  <c:v>32768.80901199511</c:v>
                </c:pt>
                <c:pt idx="73">
                  <c:v>32768.80901199511</c:v>
                </c:pt>
                <c:pt idx="74">
                  <c:v>32768.80901199511</c:v>
                </c:pt>
                <c:pt idx="75">
                  <c:v>32768.80901199511</c:v>
                </c:pt>
                <c:pt idx="76">
                  <c:v>32768.80901199511</c:v>
                </c:pt>
                <c:pt idx="77">
                  <c:v>32768.80901199511</c:v>
                </c:pt>
                <c:pt idx="78">
                  <c:v>32768.80901199511</c:v>
                </c:pt>
                <c:pt idx="79">
                  <c:v>32768.80901199511</c:v>
                </c:pt>
                <c:pt idx="80">
                  <c:v>32768.80901199511</c:v>
                </c:pt>
                <c:pt idx="81">
                  <c:v>32768.80901199511</c:v>
                </c:pt>
                <c:pt idx="82">
                  <c:v>32768.80901199511</c:v>
                </c:pt>
                <c:pt idx="83">
                  <c:v>32768.80901199511</c:v>
                </c:pt>
                <c:pt idx="84">
                  <c:v>32768.80901199511</c:v>
                </c:pt>
                <c:pt idx="85">
                  <c:v>32768.80901199511</c:v>
                </c:pt>
                <c:pt idx="86">
                  <c:v>60690.56502429929</c:v>
                </c:pt>
                <c:pt idx="87">
                  <c:v>60690.56502429929</c:v>
                </c:pt>
                <c:pt idx="88">
                  <c:v>60690.56502429929</c:v>
                </c:pt>
                <c:pt idx="89">
                  <c:v>60690.56502429929</c:v>
                </c:pt>
                <c:pt idx="90">
                  <c:v>60690.56502429929</c:v>
                </c:pt>
                <c:pt idx="91">
                  <c:v>60690.56502429929</c:v>
                </c:pt>
                <c:pt idx="92">
                  <c:v>60690.56502429929</c:v>
                </c:pt>
                <c:pt idx="93">
                  <c:v>60690.56502429929</c:v>
                </c:pt>
                <c:pt idx="94">
                  <c:v>60690.56502429929</c:v>
                </c:pt>
                <c:pt idx="95">
                  <c:v>60690.56502429929</c:v>
                </c:pt>
                <c:pt idx="96">
                  <c:v>60690.56502429929</c:v>
                </c:pt>
                <c:pt idx="97">
                  <c:v>60690.56502429929</c:v>
                </c:pt>
                <c:pt idx="98">
                  <c:v>60690.56502429929</c:v>
                </c:pt>
                <c:pt idx="99">
                  <c:v>60690.56502429929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1682.156273708758</c:v>
                </c:pt>
                <c:pt idx="74">
                  <c:v>1682.156273708758</c:v>
                </c:pt>
                <c:pt idx="75">
                  <c:v>1682.156273708758</c:v>
                </c:pt>
                <c:pt idx="76">
                  <c:v>1682.156273708758</c:v>
                </c:pt>
                <c:pt idx="77">
                  <c:v>1682.156273708758</c:v>
                </c:pt>
                <c:pt idx="78">
                  <c:v>1682.156273708758</c:v>
                </c:pt>
                <c:pt idx="79">
                  <c:v>1682.156273708758</c:v>
                </c:pt>
                <c:pt idx="80">
                  <c:v>1682.156273708758</c:v>
                </c:pt>
                <c:pt idx="81">
                  <c:v>1682.156273708758</c:v>
                </c:pt>
                <c:pt idx="82">
                  <c:v>1682.156273708758</c:v>
                </c:pt>
                <c:pt idx="83">
                  <c:v>1682.156273708758</c:v>
                </c:pt>
                <c:pt idx="84">
                  <c:v>1682.156273708758</c:v>
                </c:pt>
                <c:pt idx="85">
                  <c:v>1682.156273708758</c:v>
                </c:pt>
                <c:pt idx="86">
                  <c:v>1051.347671067974</c:v>
                </c:pt>
                <c:pt idx="87">
                  <c:v>1051.347671067974</c:v>
                </c:pt>
                <c:pt idx="88">
                  <c:v>1051.347671067974</c:v>
                </c:pt>
                <c:pt idx="89">
                  <c:v>1051.347671067974</c:v>
                </c:pt>
                <c:pt idx="90">
                  <c:v>1051.347671067974</c:v>
                </c:pt>
                <c:pt idx="91">
                  <c:v>1051.347671067974</c:v>
                </c:pt>
                <c:pt idx="92">
                  <c:v>1051.347671067974</c:v>
                </c:pt>
                <c:pt idx="93">
                  <c:v>1051.347671067974</c:v>
                </c:pt>
                <c:pt idx="94">
                  <c:v>1051.347671067974</c:v>
                </c:pt>
                <c:pt idx="95">
                  <c:v>1051.347671067974</c:v>
                </c:pt>
                <c:pt idx="96">
                  <c:v>1051.347671067974</c:v>
                </c:pt>
                <c:pt idx="97">
                  <c:v>1051.347671067974</c:v>
                </c:pt>
                <c:pt idx="98">
                  <c:v>1051.347671067974</c:v>
                </c:pt>
                <c:pt idx="99">
                  <c:v>1051.347671067974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23848.41100317422</c:v>
                </c:pt>
                <c:pt idx="74">
                  <c:v>23848.41100317422</c:v>
                </c:pt>
                <c:pt idx="75">
                  <c:v>23848.41100317422</c:v>
                </c:pt>
                <c:pt idx="76">
                  <c:v>23848.41100317422</c:v>
                </c:pt>
                <c:pt idx="77">
                  <c:v>23848.41100317422</c:v>
                </c:pt>
                <c:pt idx="78">
                  <c:v>23848.41100317422</c:v>
                </c:pt>
                <c:pt idx="79">
                  <c:v>23848.41100317422</c:v>
                </c:pt>
                <c:pt idx="80">
                  <c:v>23848.41100317422</c:v>
                </c:pt>
                <c:pt idx="81">
                  <c:v>23848.41100317422</c:v>
                </c:pt>
                <c:pt idx="82">
                  <c:v>23848.41100317422</c:v>
                </c:pt>
                <c:pt idx="83">
                  <c:v>23848.41100317422</c:v>
                </c:pt>
                <c:pt idx="84">
                  <c:v>23848.41100317422</c:v>
                </c:pt>
                <c:pt idx="85">
                  <c:v>23848.41100317422</c:v>
                </c:pt>
                <c:pt idx="86">
                  <c:v>26397.09614855162</c:v>
                </c:pt>
                <c:pt idx="87">
                  <c:v>26397.09614855162</c:v>
                </c:pt>
                <c:pt idx="88">
                  <c:v>26397.09614855162</c:v>
                </c:pt>
                <c:pt idx="89">
                  <c:v>26397.09614855162</c:v>
                </c:pt>
                <c:pt idx="90">
                  <c:v>26397.09614855162</c:v>
                </c:pt>
                <c:pt idx="91">
                  <c:v>26397.09614855162</c:v>
                </c:pt>
                <c:pt idx="92">
                  <c:v>26397.09614855162</c:v>
                </c:pt>
                <c:pt idx="93">
                  <c:v>26397.09614855162</c:v>
                </c:pt>
                <c:pt idx="94">
                  <c:v>26397.09614855162</c:v>
                </c:pt>
                <c:pt idx="95">
                  <c:v>26397.09614855162</c:v>
                </c:pt>
                <c:pt idx="96">
                  <c:v>26397.09614855162</c:v>
                </c:pt>
                <c:pt idx="97">
                  <c:v>26397.09614855162</c:v>
                </c:pt>
                <c:pt idx="98">
                  <c:v>26397.09614855162</c:v>
                </c:pt>
                <c:pt idx="99">
                  <c:v>26397.09614855162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9102.44694777642</c:v>
                </c:pt>
                <c:pt idx="20">
                  <c:v>9102.44694777642</c:v>
                </c:pt>
                <c:pt idx="21">
                  <c:v>9102.44694777642</c:v>
                </c:pt>
                <c:pt idx="22">
                  <c:v>9102.44694777642</c:v>
                </c:pt>
                <c:pt idx="23">
                  <c:v>9102.44694777642</c:v>
                </c:pt>
                <c:pt idx="24">
                  <c:v>9102.44694777642</c:v>
                </c:pt>
                <c:pt idx="25">
                  <c:v>9102.44694777642</c:v>
                </c:pt>
                <c:pt idx="26">
                  <c:v>9102.44694777642</c:v>
                </c:pt>
                <c:pt idx="27">
                  <c:v>9102.44694777642</c:v>
                </c:pt>
                <c:pt idx="28">
                  <c:v>9102.44694777642</c:v>
                </c:pt>
                <c:pt idx="29">
                  <c:v>9102.44694777642</c:v>
                </c:pt>
                <c:pt idx="30">
                  <c:v>9102.44694777642</c:v>
                </c:pt>
                <c:pt idx="31">
                  <c:v>9102.44694777642</c:v>
                </c:pt>
                <c:pt idx="32">
                  <c:v>9102.44694777642</c:v>
                </c:pt>
                <c:pt idx="33">
                  <c:v>9102.44694777642</c:v>
                </c:pt>
                <c:pt idx="34">
                  <c:v>9102.44694777642</c:v>
                </c:pt>
                <c:pt idx="35">
                  <c:v>9102.44694777642</c:v>
                </c:pt>
                <c:pt idx="36">
                  <c:v>11833.18103210935</c:v>
                </c:pt>
                <c:pt idx="37">
                  <c:v>11833.18103210935</c:v>
                </c:pt>
                <c:pt idx="38">
                  <c:v>11833.18103210935</c:v>
                </c:pt>
                <c:pt idx="39">
                  <c:v>11833.18103210935</c:v>
                </c:pt>
                <c:pt idx="40">
                  <c:v>11833.18103210935</c:v>
                </c:pt>
                <c:pt idx="41">
                  <c:v>11833.18103210935</c:v>
                </c:pt>
                <c:pt idx="42">
                  <c:v>11833.18103210935</c:v>
                </c:pt>
                <c:pt idx="43">
                  <c:v>11833.18103210935</c:v>
                </c:pt>
                <c:pt idx="44">
                  <c:v>11833.18103210935</c:v>
                </c:pt>
                <c:pt idx="45">
                  <c:v>11833.18103210935</c:v>
                </c:pt>
                <c:pt idx="46">
                  <c:v>11833.18103210935</c:v>
                </c:pt>
                <c:pt idx="47">
                  <c:v>11833.18103210935</c:v>
                </c:pt>
                <c:pt idx="48">
                  <c:v>11833.18103210935</c:v>
                </c:pt>
                <c:pt idx="49">
                  <c:v>11833.18103210935</c:v>
                </c:pt>
                <c:pt idx="50">
                  <c:v>11833.18103210935</c:v>
                </c:pt>
                <c:pt idx="51">
                  <c:v>11833.18103210935</c:v>
                </c:pt>
                <c:pt idx="52">
                  <c:v>11833.18103210935</c:v>
                </c:pt>
                <c:pt idx="53">
                  <c:v>11833.18103210935</c:v>
                </c:pt>
                <c:pt idx="54">
                  <c:v>11833.18103210935</c:v>
                </c:pt>
                <c:pt idx="55">
                  <c:v>11833.18103210935</c:v>
                </c:pt>
                <c:pt idx="56">
                  <c:v>11833.18103210935</c:v>
                </c:pt>
                <c:pt idx="57">
                  <c:v>11833.18103210935</c:v>
                </c:pt>
                <c:pt idx="58">
                  <c:v>11833.18103210935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5792920"/>
        <c:axId val="-214580015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792920"/>
        <c:axId val="-214580015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56569.4225488541</c:v>
                </c:pt>
                <c:pt idx="6">
                  <c:v>57131.53122840544</c:v>
                </c:pt>
                <c:pt idx="7">
                  <c:v>57693.63990795678</c:v>
                </c:pt>
                <c:pt idx="8">
                  <c:v>58255.74858750812</c:v>
                </c:pt>
                <c:pt idx="9">
                  <c:v>58817.85726705945</c:v>
                </c:pt>
                <c:pt idx="10">
                  <c:v>59379.9659466108</c:v>
                </c:pt>
                <c:pt idx="11">
                  <c:v>59942.07462616214</c:v>
                </c:pt>
                <c:pt idx="12">
                  <c:v>60504.18330571348</c:v>
                </c:pt>
                <c:pt idx="13">
                  <c:v>61066.29198526482</c:v>
                </c:pt>
                <c:pt idx="14">
                  <c:v>61628.40066481616</c:v>
                </c:pt>
                <c:pt idx="15">
                  <c:v>62190.5093443675</c:v>
                </c:pt>
                <c:pt idx="16">
                  <c:v>62752.61802391884</c:v>
                </c:pt>
                <c:pt idx="17">
                  <c:v>63314.72670347018</c:v>
                </c:pt>
                <c:pt idx="18">
                  <c:v>63876.83538302152</c:v>
                </c:pt>
                <c:pt idx="19">
                  <c:v>64438.94406257286</c:v>
                </c:pt>
                <c:pt idx="20">
                  <c:v>65001.0527421242</c:v>
                </c:pt>
                <c:pt idx="21">
                  <c:v>65563.16142167554</c:v>
                </c:pt>
                <c:pt idx="22">
                  <c:v>66125.27010122688</c:v>
                </c:pt>
                <c:pt idx="23">
                  <c:v>66687.3787807782</c:v>
                </c:pt>
                <c:pt idx="24">
                  <c:v>67249.48746032956</c:v>
                </c:pt>
                <c:pt idx="25">
                  <c:v>67811.5961398809</c:v>
                </c:pt>
                <c:pt idx="26">
                  <c:v>68373.70481943224</c:v>
                </c:pt>
                <c:pt idx="27">
                  <c:v>68935.81349898358</c:v>
                </c:pt>
                <c:pt idx="28">
                  <c:v>69497.92217853492</c:v>
                </c:pt>
                <c:pt idx="29">
                  <c:v>70060.03085808626</c:v>
                </c:pt>
                <c:pt idx="30">
                  <c:v>70622.1395376376</c:v>
                </c:pt>
                <c:pt idx="31">
                  <c:v>71184.24821718894</c:v>
                </c:pt>
                <c:pt idx="32">
                  <c:v>71746.35689674028</c:v>
                </c:pt>
                <c:pt idx="33">
                  <c:v>72308.46557629162</c:v>
                </c:pt>
                <c:pt idx="34">
                  <c:v>72870.57425584296</c:v>
                </c:pt>
                <c:pt idx="35">
                  <c:v>73488.9174602429</c:v>
                </c:pt>
                <c:pt idx="36">
                  <c:v>74163.4951894914</c:v>
                </c:pt>
                <c:pt idx="37">
                  <c:v>74838.07291873992</c:v>
                </c:pt>
                <c:pt idx="38">
                  <c:v>75512.65064798842</c:v>
                </c:pt>
                <c:pt idx="39">
                  <c:v>76187.22837723696</c:v>
                </c:pt>
                <c:pt idx="40">
                  <c:v>76861.80610648545</c:v>
                </c:pt>
                <c:pt idx="41">
                  <c:v>77536.38383573398</c:v>
                </c:pt>
                <c:pt idx="42">
                  <c:v>78210.96156498248</c:v>
                </c:pt>
                <c:pt idx="43">
                  <c:v>78885.539294231</c:v>
                </c:pt>
                <c:pt idx="44">
                  <c:v>79560.11702347951</c:v>
                </c:pt>
                <c:pt idx="45">
                  <c:v>80234.69475272804</c:v>
                </c:pt>
                <c:pt idx="46">
                  <c:v>80909.27248197654</c:v>
                </c:pt>
                <c:pt idx="47">
                  <c:v>81583.85021122507</c:v>
                </c:pt>
                <c:pt idx="48">
                  <c:v>82258.42794047357</c:v>
                </c:pt>
                <c:pt idx="49">
                  <c:v>82933.0056697221</c:v>
                </c:pt>
                <c:pt idx="50">
                  <c:v>83607.5833989706</c:v>
                </c:pt>
                <c:pt idx="51">
                  <c:v>84282.16112821912</c:v>
                </c:pt>
                <c:pt idx="52">
                  <c:v>84956.73885746763</c:v>
                </c:pt>
                <c:pt idx="53">
                  <c:v>85631.31658671616</c:v>
                </c:pt>
                <c:pt idx="54">
                  <c:v>86305.89431596466</c:v>
                </c:pt>
                <c:pt idx="55">
                  <c:v>86980.47204521319</c:v>
                </c:pt>
                <c:pt idx="56">
                  <c:v>87655.04977446169</c:v>
                </c:pt>
                <c:pt idx="57">
                  <c:v>88329.62750371021</c:v>
                </c:pt>
                <c:pt idx="58">
                  <c:v>89004.20523295871</c:v>
                </c:pt>
                <c:pt idx="59">
                  <c:v>89678.78296220724</c:v>
                </c:pt>
                <c:pt idx="60">
                  <c:v>92511.9761824549</c:v>
                </c:pt>
                <c:pt idx="61">
                  <c:v>97503.78489370171</c:v>
                </c:pt>
                <c:pt idx="62">
                  <c:v>102495.5936049485</c:v>
                </c:pt>
                <c:pt idx="63">
                  <c:v>107487.4023161953</c:v>
                </c:pt>
                <c:pt idx="64">
                  <c:v>112479.2110274421</c:v>
                </c:pt>
                <c:pt idx="65">
                  <c:v>117471.0197386889</c:v>
                </c:pt>
                <c:pt idx="66">
                  <c:v>122462.8284499357</c:v>
                </c:pt>
                <c:pt idx="67">
                  <c:v>127454.6371611826</c:v>
                </c:pt>
                <c:pt idx="68">
                  <c:v>132446.4458724294</c:v>
                </c:pt>
                <c:pt idx="69">
                  <c:v>137438.2545836762</c:v>
                </c:pt>
                <c:pt idx="70">
                  <c:v>142430.063294923</c:v>
                </c:pt>
                <c:pt idx="71">
                  <c:v>147421.8720061698</c:v>
                </c:pt>
                <c:pt idx="72">
                  <c:v>152413.6807174166</c:v>
                </c:pt>
                <c:pt idx="73">
                  <c:v>157405.4894286634</c:v>
                </c:pt>
                <c:pt idx="74">
                  <c:v>162397.2981399102</c:v>
                </c:pt>
                <c:pt idx="75">
                  <c:v>167389.106851157</c:v>
                </c:pt>
                <c:pt idx="76">
                  <c:v>172380.9155624038</c:v>
                </c:pt>
                <c:pt idx="77">
                  <c:v>177372.7242736506</c:v>
                </c:pt>
                <c:pt idx="78">
                  <c:v>182364.5329848974</c:v>
                </c:pt>
                <c:pt idx="79">
                  <c:v>187356.3416961443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792920"/>
        <c:axId val="-2145800152"/>
      </c:scatterChart>
      <c:catAx>
        <c:axId val="-21457929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58001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58001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579292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3318.991523343172</c:v>
                </c:pt>
                <c:pt idx="20">
                  <c:v>3293.824880209675</c:v>
                </c:pt>
                <c:pt idx="21">
                  <c:v>3268.658237076178</c:v>
                </c:pt>
                <c:pt idx="22">
                  <c:v>3243.49159394268</c:v>
                </c:pt>
                <c:pt idx="23">
                  <c:v>3218.324950809183</c:v>
                </c:pt>
                <c:pt idx="24">
                  <c:v>3193.158307675686</c:v>
                </c:pt>
                <c:pt idx="25">
                  <c:v>3167.991664542188</c:v>
                </c:pt>
                <c:pt idx="26">
                  <c:v>3142.825021408691</c:v>
                </c:pt>
                <c:pt idx="27">
                  <c:v>3117.658378275194</c:v>
                </c:pt>
                <c:pt idx="28">
                  <c:v>3092.491735141697</c:v>
                </c:pt>
                <c:pt idx="29">
                  <c:v>3067.3250920082</c:v>
                </c:pt>
                <c:pt idx="30">
                  <c:v>3042.158448874702</c:v>
                </c:pt>
                <c:pt idx="31">
                  <c:v>3016.991805741205</c:v>
                </c:pt>
                <c:pt idx="32">
                  <c:v>2991.825162607707</c:v>
                </c:pt>
                <c:pt idx="33">
                  <c:v>2966.65851947421</c:v>
                </c:pt>
                <c:pt idx="34">
                  <c:v>2941.491876340713</c:v>
                </c:pt>
                <c:pt idx="35">
                  <c:v>2916.325233207215</c:v>
                </c:pt>
                <c:pt idx="36">
                  <c:v>2891.158590073718</c:v>
                </c:pt>
                <c:pt idx="37">
                  <c:v>2865.99194694022</c:v>
                </c:pt>
                <c:pt idx="38">
                  <c:v>2840.825303806723</c:v>
                </c:pt>
                <c:pt idx="39">
                  <c:v>2815.658660673226</c:v>
                </c:pt>
                <c:pt idx="40">
                  <c:v>2790.492017539728</c:v>
                </c:pt>
                <c:pt idx="41">
                  <c:v>2765.325374406231</c:v>
                </c:pt>
                <c:pt idx="42">
                  <c:v>2740.158731272734</c:v>
                </c:pt>
                <c:pt idx="43">
                  <c:v>2714.992088139236</c:v>
                </c:pt>
                <c:pt idx="44">
                  <c:v>2689.825445005739</c:v>
                </c:pt>
                <c:pt idx="45">
                  <c:v>2664.658801872242</c:v>
                </c:pt>
                <c:pt idx="46">
                  <c:v>2639.492158738744</c:v>
                </c:pt>
                <c:pt idx="47">
                  <c:v>2614.325515605247</c:v>
                </c:pt>
                <c:pt idx="48">
                  <c:v>2619.552621110085</c:v>
                </c:pt>
                <c:pt idx="49">
                  <c:v>2655.173475253257</c:v>
                </c:pt>
                <c:pt idx="50">
                  <c:v>2690.794329396429</c:v>
                </c:pt>
                <c:pt idx="51">
                  <c:v>2726.415183539602</c:v>
                </c:pt>
                <c:pt idx="52">
                  <c:v>2762.036037682774</c:v>
                </c:pt>
                <c:pt idx="53">
                  <c:v>2797.656891825947</c:v>
                </c:pt>
                <c:pt idx="54">
                  <c:v>2833.27774596912</c:v>
                </c:pt>
                <c:pt idx="55">
                  <c:v>2868.898600112292</c:v>
                </c:pt>
                <c:pt idx="56">
                  <c:v>2904.519454255464</c:v>
                </c:pt>
                <c:pt idx="57">
                  <c:v>2940.140308398637</c:v>
                </c:pt>
                <c:pt idx="58">
                  <c:v>2975.76116254181</c:v>
                </c:pt>
                <c:pt idx="59">
                  <c:v>3011.382016684982</c:v>
                </c:pt>
                <c:pt idx="60">
                  <c:v>3047.002870828154</c:v>
                </c:pt>
                <c:pt idx="61">
                  <c:v>3082.623724971327</c:v>
                </c:pt>
                <c:pt idx="62">
                  <c:v>3118.244579114499</c:v>
                </c:pt>
                <c:pt idx="63">
                  <c:v>3153.865433257672</c:v>
                </c:pt>
                <c:pt idx="64">
                  <c:v>3189.486287400844</c:v>
                </c:pt>
                <c:pt idx="65">
                  <c:v>3225.107141544016</c:v>
                </c:pt>
                <c:pt idx="66">
                  <c:v>3260.727995687189</c:v>
                </c:pt>
                <c:pt idx="67">
                  <c:v>3296.348849830361</c:v>
                </c:pt>
                <c:pt idx="68">
                  <c:v>3331.969703973534</c:v>
                </c:pt>
                <c:pt idx="69">
                  <c:v>3367.590558116706</c:v>
                </c:pt>
                <c:pt idx="70">
                  <c:v>3403.21141225988</c:v>
                </c:pt>
                <c:pt idx="71">
                  <c:v>3438.832266403052</c:v>
                </c:pt>
                <c:pt idx="72">
                  <c:v>3474.453120546223</c:v>
                </c:pt>
                <c:pt idx="73">
                  <c:v>3514.783372162134</c:v>
                </c:pt>
                <c:pt idx="74">
                  <c:v>3559.82302125078</c:v>
                </c:pt>
                <c:pt idx="75">
                  <c:v>3604.862670339427</c:v>
                </c:pt>
                <c:pt idx="76">
                  <c:v>3649.902319428073</c:v>
                </c:pt>
                <c:pt idx="77">
                  <c:v>3694.94196851672</c:v>
                </c:pt>
                <c:pt idx="78">
                  <c:v>3739.981617605366</c:v>
                </c:pt>
                <c:pt idx="79">
                  <c:v>3785.021266694013</c:v>
                </c:pt>
                <c:pt idx="80">
                  <c:v>3830.06091578266</c:v>
                </c:pt>
                <c:pt idx="81">
                  <c:v>3875.100564871306</c:v>
                </c:pt>
                <c:pt idx="82">
                  <c:v>3920.140213959953</c:v>
                </c:pt>
                <c:pt idx="83">
                  <c:v>3965.1798630486</c:v>
                </c:pt>
                <c:pt idx="84">
                  <c:v>4010.219512137246</c:v>
                </c:pt>
                <c:pt idx="85">
                  <c:v>4055.259161225893</c:v>
                </c:pt>
                <c:pt idx="86">
                  <c:v>4100.298810314539</c:v>
                </c:pt>
                <c:pt idx="87">
                  <c:v>4145.338459403186</c:v>
                </c:pt>
                <c:pt idx="88">
                  <c:v>4190.378108491832</c:v>
                </c:pt>
                <c:pt idx="89">
                  <c:v>4235.417757580479</c:v>
                </c:pt>
                <c:pt idx="90">
                  <c:v>4280.457406669126</c:v>
                </c:pt>
                <c:pt idx="91">
                  <c:v>4325.497055757773</c:v>
                </c:pt>
                <c:pt idx="92">
                  <c:v>4370.536704846419</c:v>
                </c:pt>
                <c:pt idx="93">
                  <c:v>4415.576353935066</c:v>
                </c:pt>
                <c:pt idx="94">
                  <c:v>4415.576353935066</c:v>
                </c:pt>
                <c:pt idx="95">
                  <c:v>4415.576353935066</c:v>
                </c:pt>
                <c:pt idx="96">
                  <c:v>4415.576353935066</c:v>
                </c:pt>
                <c:pt idx="97">
                  <c:v>4415.576353935066</c:v>
                </c:pt>
                <c:pt idx="98">
                  <c:v>4415.576353935066</c:v>
                </c:pt>
                <c:pt idx="99">
                  <c:v>4415.576353935066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1.799918887978388</c:v>
                </c:pt>
                <c:pt idx="20">
                  <c:v>3.599837775956776</c:v>
                </c:pt>
                <c:pt idx="21">
                  <c:v>5.399756663935163</c:v>
                </c:pt>
                <c:pt idx="22">
                  <c:v>7.199675551913551</c:v>
                </c:pt>
                <c:pt idx="23">
                  <c:v>8.99959443989194</c:v>
                </c:pt>
                <c:pt idx="24">
                  <c:v>10.79951332787033</c:v>
                </c:pt>
                <c:pt idx="25">
                  <c:v>12.59943221584871</c:v>
                </c:pt>
                <c:pt idx="26">
                  <c:v>14.3993511038271</c:v>
                </c:pt>
                <c:pt idx="27">
                  <c:v>16.1992699918055</c:v>
                </c:pt>
                <c:pt idx="28">
                  <c:v>17.99918887978388</c:v>
                </c:pt>
                <c:pt idx="29">
                  <c:v>19.79910776776227</c:v>
                </c:pt>
                <c:pt idx="30">
                  <c:v>21.59902665574065</c:v>
                </c:pt>
                <c:pt idx="31">
                  <c:v>23.39894554371904</c:v>
                </c:pt>
                <c:pt idx="32">
                  <c:v>25.19886443169743</c:v>
                </c:pt>
                <c:pt idx="33">
                  <c:v>26.99878331967582</c:v>
                </c:pt>
                <c:pt idx="34">
                  <c:v>28.79870220765421</c:v>
                </c:pt>
                <c:pt idx="35">
                  <c:v>30.59862109563259</c:v>
                </c:pt>
                <c:pt idx="36">
                  <c:v>32.39853998361098</c:v>
                </c:pt>
                <c:pt idx="37">
                  <c:v>34.19845887158937</c:v>
                </c:pt>
                <c:pt idx="38">
                  <c:v>35.99837775956776</c:v>
                </c:pt>
                <c:pt idx="39">
                  <c:v>37.79829664754614</c:v>
                </c:pt>
                <c:pt idx="40">
                  <c:v>39.59821553552453</c:v>
                </c:pt>
                <c:pt idx="41">
                  <c:v>41.39813442350292</c:v>
                </c:pt>
                <c:pt idx="42">
                  <c:v>43.1980533114813</c:v>
                </c:pt>
                <c:pt idx="43">
                  <c:v>44.9979721994597</c:v>
                </c:pt>
                <c:pt idx="44">
                  <c:v>46.79789108743808</c:v>
                </c:pt>
                <c:pt idx="45">
                  <c:v>48.59780997541647</c:v>
                </c:pt>
                <c:pt idx="46">
                  <c:v>50.39772886339486</c:v>
                </c:pt>
                <c:pt idx="47">
                  <c:v>52.19764775137325</c:v>
                </c:pt>
                <c:pt idx="48">
                  <c:v>90.05354180333471</c:v>
                </c:pt>
                <c:pt idx="49">
                  <c:v>163.9654110192793</c:v>
                </c:pt>
                <c:pt idx="50">
                  <c:v>237.8772802352238</c:v>
                </c:pt>
                <c:pt idx="51">
                  <c:v>311.7891494511683</c:v>
                </c:pt>
                <c:pt idx="52">
                  <c:v>385.7010186671129</c:v>
                </c:pt>
                <c:pt idx="53">
                  <c:v>459.6128878830573</c:v>
                </c:pt>
                <c:pt idx="54">
                  <c:v>533.524757099002</c:v>
                </c:pt>
                <c:pt idx="55">
                  <c:v>607.4366263149465</c:v>
                </c:pt>
                <c:pt idx="56">
                  <c:v>681.348495530891</c:v>
                </c:pt>
                <c:pt idx="57">
                  <c:v>755.2603647468355</c:v>
                </c:pt>
                <c:pt idx="58">
                  <c:v>829.17223396278</c:v>
                </c:pt>
                <c:pt idx="59">
                  <c:v>903.0841031787246</c:v>
                </c:pt>
                <c:pt idx="60">
                  <c:v>976.9959723946691</c:v>
                </c:pt>
                <c:pt idx="61">
                  <c:v>1050.907841610614</c:v>
                </c:pt>
                <c:pt idx="62">
                  <c:v>1124.819710826558</c:v>
                </c:pt>
                <c:pt idx="63">
                  <c:v>1198.731580042503</c:v>
                </c:pt>
                <c:pt idx="64">
                  <c:v>1272.643449258447</c:v>
                </c:pt>
                <c:pt idx="65">
                  <c:v>1346.555318474392</c:v>
                </c:pt>
                <c:pt idx="66">
                  <c:v>1420.467187690336</c:v>
                </c:pt>
                <c:pt idx="67">
                  <c:v>1494.379056906281</c:v>
                </c:pt>
                <c:pt idx="68">
                  <c:v>1568.290926122225</c:v>
                </c:pt>
                <c:pt idx="69">
                  <c:v>1642.20279533817</c:v>
                </c:pt>
                <c:pt idx="70">
                  <c:v>1716.114664554114</c:v>
                </c:pt>
                <c:pt idx="71">
                  <c:v>1790.026533770059</c:v>
                </c:pt>
                <c:pt idx="72">
                  <c:v>1863.938402986003</c:v>
                </c:pt>
                <c:pt idx="73">
                  <c:v>2563.428056782905</c:v>
                </c:pt>
                <c:pt idx="74">
                  <c:v>3888.495495160762</c:v>
                </c:pt>
                <c:pt idx="75">
                  <c:v>5213.56293353862</c:v>
                </c:pt>
                <c:pt idx="76">
                  <c:v>6538.630371916477</c:v>
                </c:pt>
                <c:pt idx="77">
                  <c:v>7863.697810294336</c:v>
                </c:pt>
                <c:pt idx="78">
                  <c:v>9188.765248672192</c:v>
                </c:pt>
                <c:pt idx="79">
                  <c:v>10513.83268705005</c:v>
                </c:pt>
                <c:pt idx="80">
                  <c:v>11838.90012542791</c:v>
                </c:pt>
                <c:pt idx="81">
                  <c:v>13163.96756380577</c:v>
                </c:pt>
                <c:pt idx="82">
                  <c:v>14489.03500218362</c:v>
                </c:pt>
                <c:pt idx="83">
                  <c:v>15814.10244056148</c:v>
                </c:pt>
                <c:pt idx="84">
                  <c:v>17139.16987893934</c:v>
                </c:pt>
                <c:pt idx="85">
                  <c:v>18464.23731731719</c:v>
                </c:pt>
                <c:pt idx="86">
                  <c:v>19789.30475569505</c:v>
                </c:pt>
                <c:pt idx="87">
                  <c:v>21114.37219407291</c:v>
                </c:pt>
                <c:pt idx="88">
                  <c:v>22439.43963245077</c:v>
                </c:pt>
                <c:pt idx="89">
                  <c:v>23764.50707082863</c:v>
                </c:pt>
                <c:pt idx="90">
                  <c:v>25089.57450920648</c:v>
                </c:pt>
                <c:pt idx="91">
                  <c:v>26414.64194758434</c:v>
                </c:pt>
                <c:pt idx="92">
                  <c:v>27739.7093859622</c:v>
                </c:pt>
                <c:pt idx="93">
                  <c:v>29064.77682434006</c:v>
                </c:pt>
                <c:pt idx="94">
                  <c:v>29064.77682434006</c:v>
                </c:pt>
                <c:pt idx="95">
                  <c:v>29064.77682434006</c:v>
                </c:pt>
                <c:pt idx="96">
                  <c:v>29064.77682434006</c:v>
                </c:pt>
                <c:pt idx="97">
                  <c:v>29064.77682434006</c:v>
                </c:pt>
                <c:pt idx="98">
                  <c:v>29064.77682434006</c:v>
                </c:pt>
                <c:pt idx="99">
                  <c:v>29064.77682434006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1087.630945269708</c:v>
                </c:pt>
                <c:pt idx="20">
                  <c:v>1153.73042999615</c:v>
                </c:pt>
                <c:pt idx="21">
                  <c:v>1219.829914722593</c:v>
                </c:pt>
                <c:pt idx="22">
                  <c:v>1285.929399449036</c:v>
                </c:pt>
                <c:pt idx="23">
                  <c:v>1352.028884175479</c:v>
                </c:pt>
                <c:pt idx="24">
                  <c:v>1418.128368901921</c:v>
                </c:pt>
                <c:pt idx="25">
                  <c:v>1484.227853628364</c:v>
                </c:pt>
                <c:pt idx="26">
                  <c:v>1550.327338354807</c:v>
                </c:pt>
                <c:pt idx="27">
                  <c:v>1616.42682308125</c:v>
                </c:pt>
                <c:pt idx="28">
                  <c:v>1682.526307807692</c:v>
                </c:pt>
                <c:pt idx="29">
                  <c:v>1748.625792534135</c:v>
                </c:pt>
                <c:pt idx="30">
                  <c:v>1814.725277260578</c:v>
                </c:pt>
                <c:pt idx="31">
                  <c:v>1880.824761987021</c:v>
                </c:pt>
                <c:pt idx="32">
                  <c:v>1946.924246713463</c:v>
                </c:pt>
                <c:pt idx="33">
                  <c:v>2013.023731439906</c:v>
                </c:pt>
                <c:pt idx="34">
                  <c:v>2079.123216166349</c:v>
                </c:pt>
                <c:pt idx="35">
                  <c:v>2145.222700892791</c:v>
                </c:pt>
                <c:pt idx="36">
                  <c:v>2211.322185619234</c:v>
                </c:pt>
                <c:pt idx="37">
                  <c:v>2277.421670345677</c:v>
                </c:pt>
                <c:pt idx="38">
                  <c:v>2343.52115507212</c:v>
                </c:pt>
                <c:pt idx="39">
                  <c:v>2409.620639798562</c:v>
                </c:pt>
                <c:pt idx="40">
                  <c:v>2475.720124525005</c:v>
                </c:pt>
                <c:pt idx="41">
                  <c:v>2541.819609251448</c:v>
                </c:pt>
                <c:pt idx="42">
                  <c:v>2607.919093977891</c:v>
                </c:pt>
                <c:pt idx="43">
                  <c:v>2674.018578704334</c:v>
                </c:pt>
                <c:pt idx="44">
                  <c:v>2740.118063430777</c:v>
                </c:pt>
                <c:pt idx="45">
                  <c:v>2806.217548157219</c:v>
                </c:pt>
                <c:pt idx="46">
                  <c:v>2872.317032883662</c:v>
                </c:pt>
                <c:pt idx="47">
                  <c:v>2938.416517610104</c:v>
                </c:pt>
                <c:pt idx="48">
                  <c:v>2985.252905661911</c:v>
                </c:pt>
                <c:pt idx="49">
                  <c:v>3012.826197039081</c:v>
                </c:pt>
                <c:pt idx="50">
                  <c:v>3040.399488416251</c:v>
                </c:pt>
                <c:pt idx="51">
                  <c:v>3067.972779793421</c:v>
                </c:pt>
                <c:pt idx="52">
                  <c:v>3095.546071170591</c:v>
                </c:pt>
                <c:pt idx="53">
                  <c:v>3123.119362547761</c:v>
                </c:pt>
                <c:pt idx="54">
                  <c:v>3150.692653924932</c:v>
                </c:pt>
                <c:pt idx="55">
                  <c:v>3178.265945302101</c:v>
                </c:pt>
                <c:pt idx="56">
                  <c:v>3205.839236679271</c:v>
                </c:pt>
                <c:pt idx="57">
                  <c:v>3233.412528056442</c:v>
                </c:pt>
                <c:pt idx="58">
                  <c:v>3260.985819433612</c:v>
                </c:pt>
                <c:pt idx="59">
                  <c:v>3288.559110810782</c:v>
                </c:pt>
                <c:pt idx="60">
                  <c:v>3316.132402187952</c:v>
                </c:pt>
                <c:pt idx="61">
                  <c:v>3343.705693565122</c:v>
                </c:pt>
                <c:pt idx="62">
                  <c:v>3371.278984942292</c:v>
                </c:pt>
                <c:pt idx="63">
                  <c:v>3398.852276319462</c:v>
                </c:pt>
                <c:pt idx="64">
                  <c:v>3426.425567696632</c:v>
                </c:pt>
                <c:pt idx="65">
                  <c:v>3453.998859073802</c:v>
                </c:pt>
                <c:pt idx="66">
                  <c:v>3481.572150450972</c:v>
                </c:pt>
                <c:pt idx="67">
                  <c:v>3509.145441828142</c:v>
                </c:pt>
                <c:pt idx="68">
                  <c:v>3536.718733205312</c:v>
                </c:pt>
                <c:pt idx="69">
                  <c:v>3564.292024582483</c:v>
                </c:pt>
                <c:pt idx="70">
                  <c:v>3591.865315959652</c:v>
                </c:pt>
                <c:pt idx="71">
                  <c:v>3619.438607336822</c:v>
                </c:pt>
                <c:pt idx="72">
                  <c:v>3647.011898713993</c:v>
                </c:pt>
                <c:pt idx="73">
                  <c:v>3656.583646870825</c:v>
                </c:pt>
                <c:pt idx="74">
                  <c:v>3648.153851807321</c:v>
                </c:pt>
                <c:pt idx="75">
                  <c:v>3639.724056743816</c:v>
                </c:pt>
                <c:pt idx="76">
                  <c:v>3631.294261680312</c:v>
                </c:pt>
                <c:pt idx="77">
                  <c:v>3622.864466616807</c:v>
                </c:pt>
                <c:pt idx="78">
                  <c:v>3614.434671553303</c:v>
                </c:pt>
                <c:pt idx="79">
                  <c:v>3606.004876489798</c:v>
                </c:pt>
                <c:pt idx="80">
                  <c:v>3597.575081426294</c:v>
                </c:pt>
                <c:pt idx="81">
                  <c:v>3589.14528636279</c:v>
                </c:pt>
                <c:pt idx="82">
                  <c:v>3580.715491299285</c:v>
                </c:pt>
                <c:pt idx="83">
                  <c:v>3572.285696235781</c:v>
                </c:pt>
                <c:pt idx="84">
                  <c:v>3563.855901172276</c:v>
                </c:pt>
                <c:pt idx="85">
                  <c:v>3555.426106108771</c:v>
                </c:pt>
                <c:pt idx="86">
                  <c:v>3546.996311045267</c:v>
                </c:pt>
                <c:pt idx="87">
                  <c:v>3538.566515981763</c:v>
                </c:pt>
                <c:pt idx="88">
                  <c:v>3530.136720918258</c:v>
                </c:pt>
                <c:pt idx="89">
                  <c:v>3521.706925854754</c:v>
                </c:pt>
                <c:pt idx="90">
                  <c:v>3513.277130791249</c:v>
                </c:pt>
                <c:pt idx="91">
                  <c:v>3504.847335727745</c:v>
                </c:pt>
                <c:pt idx="92">
                  <c:v>3496.41754066424</c:v>
                </c:pt>
                <c:pt idx="93">
                  <c:v>3487.987745600736</c:v>
                </c:pt>
                <c:pt idx="94">
                  <c:v>3487.987745600736</c:v>
                </c:pt>
                <c:pt idx="95">
                  <c:v>3487.987745600736</c:v>
                </c:pt>
                <c:pt idx="96">
                  <c:v>3487.987745600736</c:v>
                </c:pt>
                <c:pt idx="97">
                  <c:v>3487.987745600736</c:v>
                </c:pt>
                <c:pt idx="98">
                  <c:v>3487.987745600736</c:v>
                </c:pt>
                <c:pt idx="99">
                  <c:v>3487.987745600736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0.514262539422397</c:v>
                </c:pt>
                <c:pt idx="20">
                  <c:v>1.028525078844793</c:v>
                </c:pt>
                <c:pt idx="21">
                  <c:v>1.542787618267189</c:v>
                </c:pt>
                <c:pt idx="22">
                  <c:v>2.057050157689586</c:v>
                </c:pt>
                <c:pt idx="23">
                  <c:v>2.571312697111983</c:v>
                </c:pt>
                <c:pt idx="24">
                  <c:v>3.085575236534379</c:v>
                </c:pt>
                <c:pt idx="25">
                  <c:v>3.599837775956775</c:v>
                </c:pt>
                <c:pt idx="26">
                  <c:v>4.114100315379172</c:v>
                </c:pt>
                <c:pt idx="27">
                  <c:v>4.628362854801568</c:v>
                </c:pt>
                <c:pt idx="28">
                  <c:v>5.142625394223965</c:v>
                </c:pt>
                <c:pt idx="29">
                  <c:v>5.656887933646361</c:v>
                </c:pt>
                <c:pt idx="30">
                  <c:v>6.171150473068757</c:v>
                </c:pt>
                <c:pt idx="31">
                  <c:v>6.685413012491154</c:v>
                </c:pt>
                <c:pt idx="32">
                  <c:v>7.19967555191355</c:v>
                </c:pt>
                <c:pt idx="33">
                  <c:v>7.713938091335947</c:v>
                </c:pt>
                <c:pt idx="34">
                  <c:v>8.228200630758344</c:v>
                </c:pt>
                <c:pt idx="35">
                  <c:v>8.74246317018074</c:v>
                </c:pt>
                <c:pt idx="36">
                  <c:v>9.256725709603137</c:v>
                </c:pt>
                <c:pt idx="37">
                  <c:v>9.770988249025533</c:v>
                </c:pt>
                <c:pt idx="38">
                  <c:v>10.28525078844793</c:v>
                </c:pt>
                <c:pt idx="39">
                  <c:v>10.79951332787033</c:v>
                </c:pt>
                <c:pt idx="40">
                  <c:v>11.31377586729272</c:v>
                </c:pt>
                <c:pt idx="41">
                  <c:v>11.82803840671512</c:v>
                </c:pt>
                <c:pt idx="42">
                  <c:v>12.34230094613751</c:v>
                </c:pt>
                <c:pt idx="43">
                  <c:v>12.85656348555991</c:v>
                </c:pt>
                <c:pt idx="44">
                  <c:v>13.37082602498231</c:v>
                </c:pt>
                <c:pt idx="45">
                  <c:v>13.88508856440471</c:v>
                </c:pt>
                <c:pt idx="46">
                  <c:v>14.3993511038271</c:v>
                </c:pt>
                <c:pt idx="47">
                  <c:v>14.9136136432495</c:v>
                </c:pt>
                <c:pt idx="48">
                  <c:v>16.23269705686794</c:v>
                </c:pt>
                <c:pt idx="49">
                  <c:v>18.35660134468245</c:v>
                </c:pt>
                <c:pt idx="50">
                  <c:v>20.48050563249694</c:v>
                </c:pt>
                <c:pt idx="51">
                  <c:v>22.60440992031144</c:v>
                </c:pt>
                <c:pt idx="52">
                  <c:v>24.72831420812594</c:v>
                </c:pt>
                <c:pt idx="53">
                  <c:v>26.85221849594044</c:v>
                </c:pt>
                <c:pt idx="54">
                  <c:v>28.97612278375493</c:v>
                </c:pt>
                <c:pt idx="55">
                  <c:v>31.10002707156944</c:v>
                </c:pt>
                <c:pt idx="56">
                  <c:v>33.22393135938393</c:v>
                </c:pt>
                <c:pt idx="57">
                  <c:v>35.34783564719843</c:v>
                </c:pt>
                <c:pt idx="58">
                  <c:v>37.47173993501293</c:v>
                </c:pt>
                <c:pt idx="59">
                  <c:v>39.59564422282743</c:v>
                </c:pt>
                <c:pt idx="60">
                  <c:v>41.71954851064192</c:v>
                </c:pt>
                <c:pt idx="61">
                  <c:v>43.84345279845643</c:v>
                </c:pt>
                <c:pt idx="62">
                  <c:v>45.96735708627092</c:v>
                </c:pt>
                <c:pt idx="63">
                  <c:v>48.09126137408542</c:v>
                </c:pt>
                <c:pt idx="64">
                  <c:v>50.21516566189992</c:v>
                </c:pt>
                <c:pt idx="65">
                  <c:v>52.33906994971441</c:v>
                </c:pt>
                <c:pt idx="66">
                  <c:v>54.4629742375289</c:v>
                </c:pt>
                <c:pt idx="67">
                  <c:v>56.58687852534341</c:v>
                </c:pt>
                <c:pt idx="68">
                  <c:v>58.7107828131579</c:v>
                </c:pt>
                <c:pt idx="69">
                  <c:v>60.83468710097242</c:v>
                </c:pt>
                <c:pt idx="70">
                  <c:v>62.9585913887869</c:v>
                </c:pt>
                <c:pt idx="71">
                  <c:v>65.08249567660141</c:v>
                </c:pt>
                <c:pt idx="72">
                  <c:v>67.2063999644159</c:v>
                </c:pt>
                <c:pt idx="73">
                  <c:v>69.60966796953005</c:v>
                </c:pt>
                <c:pt idx="74">
                  <c:v>72.2922996919438</c:v>
                </c:pt>
                <c:pt idx="75">
                  <c:v>74.97493141435761</c:v>
                </c:pt>
                <c:pt idx="76">
                  <c:v>77.6575631367714</c:v>
                </c:pt>
                <c:pt idx="77">
                  <c:v>80.34019485918517</c:v>
                </c:pt>
                <c:pt idx="78">
                  <c:v>83.02282658159896</c:v>
                </c:pt>
                <c:pt idx="79">
                  <c:v>85.70545830401275</c:v>
                </c:pt>
                <c:pt idx="80">
                  <c:v>88.38809002642652</c:v>
                </c:pt>
                <c:pt idx="81">
                  <c:v>91.07072174884031</c:v>
                </c:pt>
                <c:pt idx="82">
                  <c:v>93.75335347125408</c:v>
                </c:pt>
                <c:pt idx="83">
                  <c:v>96.43598519366788</c:v>
                </c:pt>
                <c:pt idx="84">
                  <c:v>99.11861691608166</c:v>
                </c:pt>
                <c:pt idx="85">
                  <c:v>101.8012486384954</c:v>
                </c:pt>
                <c:pt idx="86">
                  <c:v>104.4838803609092</c:v>
                </c:pt>
                <c:pt idx="87">
                  <c:v>107.166512083323</c:v>
                </c:pt>
                <c:pt idx="88">
                  <c:v>109.8491438057368</c:v>
                </c:pt>
                <c:pt idx="89">
                  <c:v>112.5317755281506</c:v>
                </c:pt>
                <c:pt idx="90">
                  <c:v>115.2144072505643</c:v>
                </c:pt>
                <c:pt idx="91">
                  <c:v>117.8970389729781</c:v>
                </c:pt>
                <c:pt idx="92">
                  <c:v>120.5796706953919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102.8525078844793</c:v>
                </c:pt>
                <c:pt idx="20">
                  <c:v>205.7050157689586</c:v>
                </c:pt>
                <c:pt idx="21">
                  <c:v>308.5575236534379</c:v>
                </c:pt>
                <c:pt idx="22">
                  <c:v>411.4100315379172</c:v>
                </c:pt>
                <c:pt idx="23">
                  <c:v>514.2625394223966</c:v>
                </c:pt>
                <c:pt idx="24">
                  <c:v>617.1150473068757</c:v>
                </c:pt>
                <c:pt idx="25">
                  <c:v>719.9675551913551</c:v>
                </c:pt>
                <c:pt idx="26">
                  <c:v>822.8200630758345</c:v>
                </c:pt>
                <c:pt idx="27">
                  <c:v>925.6725709603136</c:v>
                </c:pt>
                <c:pt idx="28">
                  <c:v>1028.525078844793</c:v>
                </c:pt>
                <c:pt idx="29">
                  <c:v>1131.377586729272</c:v>
                </c:pt>
                <c:pt idx="30">
                  <c:v>1234.230094613752</c:v>
                </c:pt>
                <c:pt idx="31">
                  <c:v>1337.082602498231</c:v>
                </c:pt>
                <c:pt idx="32">
                  <c:v>1439.93511038271</c:v>
                </c:pt>
                <c:pt idx="33">
                  <c:v>1542.78761826719</c:v>
                </c:pt>
                <c:pt idx="34">
                  <c:v>1645.640126151669</c:v>
                </c:pt>
                <c:pt idx="35">
                  <c:v>1748.492634036148</c:v>
                </c:pt>
                <c:pt idx="36">
                  <c:v>1851.345141920627</c:v>
                </c:pt>
                <c:pt idx="37">
                  <c:v>1954.197649805107</c:v>
                </c:pt>
                <c:pt idx="38">
                  <c:v>2057.050157689586</c:v>
                </c:pt>
                <c:pt idx="39">
                  <c:v>2159.902665574065</c:v>
                </c:pt>
                <c:pt idx="40">
                  <c:v>2262.755173458544</c:v>
                </c:pt>
                <c:pt idx="41">
                  <c:v>2365.607681343024</c:v>
                </c:pt>
                <c:pt idx="42">
                  <c:v>2468.460189227503</c:v>
                </c:pt>
                <c:pt idx="43">
                  <c:v>2571.312697111983</c:v>
                </c:pt>
                <c:pt idx="44">
                  <c:v>2674.165204996462</c:v>
                </c:pt>
                <c:pt idx="45">
                  <c:v>2777.01771288094</c:v>
                </c:pt>
                <c:pt idx="46">
                  <c:v>2879.870220765421</c:v>
                </c:pt>
                <c:pt idx="47">
                  <c:v>2982.7227286499</c:v>
                </c:pt>
                <c:pt idx="48">
                  <c:v>3178.271059265266</c:v>
                </c:pt>
                <c:pt idx="49">
                  <c:v>3466.51521261152</c:v>
                </c:pt>
                <c:pt idx="50">
                  <c:v>3754.759365957773</c:v>
                </c:pt>
                <c:pt idx="51">
                  <c:v>4043.003519304026</c:v>
                </c:pt>
                <c:pt idx="52">
                  <c:v>4331.24767265028</c:v>
                </c:pt>
                <c:pt idx="53">
                  <c:v>4619.491825996532</c:v>
                </c:pt>
                <c:pt idx="54">
                  <c:v>4907.735979342786</c:v>
                </c:pt>
                <c:pt idx="55">
                  <c:v>5195.98013268904</c:v>
                </c:pt>
                <c:pt idx="56">
                  <c:v>5484.224286035292</c:v>
                </c:pt>
                <c:pt idx="57">
                  <c:v>5772.468439381546</c:v>
                </c:pt>
                <c:pt idx="58">
                  <c:v>6060.7125927278</c:v>
                </c:pt>
                <c:pt idx="59">
                  <c:v>6348.956746074053</c:v>
                </c:pt>
                <c:pt idx="60">
                  <c:v>6637.200899420306</c:v>
                </c:pt>
                <c:pt idx="61">
                  <c:v>6925.445052766559</c:v>
                </c:pt>
                <c:pt idx="62">
                  <c:v>7213.689206112812</c:v>
                </c:pt>
                <c:pt idx="63">
                  <c:v>7501.933359459066</c:v>
                </c:pt>
                <c:pt idx="64">
                  <c:v>7790.177512805318</c:v>
                </c:pt>
                <c:pt idx="65">
                  <c:v>8078.421666151572</c:v>
                </c:pt>
                <c:pt idx="66">
                  <c:v>8366.665819497824</c:v>
                </c:pt>
                <c:pt idx="67">
                  <c:v>8654.90997284408</c:v>
                </c:pt>
                <c:pt idx="68">
                  <c:v>8943.154126190331</c:v>
                </c:pt>
                <c:pt idx="69">
                  <c:v>9231.398279536586</c:v>
                </c:pt>
                <c:pt idx="70">
                  <c:v>9519.642432882837</c:v>
                </c:pt>
                <c:pt idx="71">
                  <c:v>9807.886586229091</c:v>
                </c:pt>
                <c:pt idx="72">
                  <c:v>10096.13073957534</c:v>
                </c:pt>
                <c:pt idx="73">
                  <c:v>11262.42800703028</c:v>
                </c:pt>
                <c:pt idx="74">
                  <c:v>13306.77838859388</c:v>
                </c:pt>
                <c:pt idx="75">
                  <c:v>15351.12877015749</c:v>
                </c:pt>
                <c:pt idx="76">
                  <c:v>17395.4791517211</c:v>
                </c:pt>
                <c:pt idx="77">
                  <c:v>19439.8295332847</c:v>
                </c:pt>
                <c:pt idx="78">
                  <c:v>21484.1799148483</c:v>
                </c:pt>
                <c:pt idx="79">
                  <c:v>23528.53029641191</c:v>
                </c:pt>
                <c:pt idx="80">
                  <c:v>25572.88067797552</c:v>
                </c:pt>
                <c:pt idx="81">
                  <c:v>27617.23105953912</c:v>
                </c:pt>
                <c:pt idx="82">
                  <c:v>29661.58144110273</c:v>
                </c:pt>
                <c:pt idx="83">
                  <c:v>31705.93182266634</c:v>
                </c:pt>
                <c:pt idx="84">
                  <c:v>33750.28220422994</c:v>
                </c:pt>
                <c:pt idx="85">
                  <c:v>35794.63258579355</c:v>
                </c:pt>
                <c:pt idx="86">
                  <c:v>37838.98296735715</c:v>
                </c:pt>
                <c:pt idx="87">
                  <c:v>39883.33334892076</c:v>
                </c:pt>
                <c:pt idx="88">
                  <c:v>41927.68373048436</c:v>
                </c:pt>
                <c:pt idx="89">
                  <c:v>43972.03411204797</c:v>
                </c:pt>
                <c:pt idx="90">
                  <c:v>46016.38449361158</c:v>
                </c:pt>
                <c:pt idx="91">
                  <c:v>48060.73487517518</c:v>
                </c:pt>
                <c:pt idx="92">
                  <c:v>50105.0852567388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191.5107766364652</c:v>
                </c:pt>
                <c:pt idx="20">
                  <c:v>206.3951445335106</c:v>
                </c:pt>
                <c:pt idx="21">
                  <c:v>221.2795124305561</c:v>
                </c:pt>
                <c:pt idx="22">
                  <c:v>236.1638803276016</c:v>
                </c:pt>
                <c:pt idx="23">
                  <c:v>251.048248224647</c:v>
                </c:pt>
                <c:pt idx="24">
                  <c:v>265.9326161216925</c:v>
                </c:pt>
                <c:pt idx="25">
                  <c:v>280.816984018738</c:v>
                </c:pt>
                <c:pt idx="26">
                  <c:v>295.7013519157834</c:v>
                </c:pt>
                <c:pt idx="27">
                  <c:v>310.5857198128289</c:v>
                </c:pt>
                <c:pt idx="28">
                  <c:v>325.4700877098744</c:v>
                </c:pt>
                <c:pt idx="29">
                  <c:v>340.3544556069198</c:v>
                </c:pt>
                <c:pt idx="30">
                  <c:v>355.2388235039653</c:v>
                </c:pt>
                <c:pt idx="31">
                  <c:v>370.1231914010108</c:v>
                </c:pt>
                <c:pt idx="32">
                  <c:v>385.0075592980563</c:v>
                </c:pt>
                <c:pt idx="33">
                  <c:v>399.8919271951017</c:v>
                </c:pt>
                <c:pt idx="34">
                  <c:v>414.7762950921472</c:v>
                </c:pt>
                <c:pt idx="35">
                  <c:v>429.6606629891926</c:v>
                </c:pt>
                <c:pt idx="36">
                  <c:v>444.5450308862381</c:v>
                </c:pt>
                <c:pt idx="37">
                  <c:v>459.4293987832836</c:v>
                </c:pt>
                <c:pt idx="38">
                  <c:v>474.3137666803291</c:v>
                </c:pt>
                <c:pt idx="39">
                  <c:v>489.1981345773746</c:v>
                </c:pt>
                <c:pt idx="40">
                  <c:v>504.08250247442</c:v>
                </c:pt>
                <c:pt idx="41">
                  <c:v>518.9668703714654</c:v>
                </c:pt>
                <c:pt idx="42">
                  <c:v>533.851238268511</c:v>
                </c:pt>
                <c:pt idx="43">
                  <c:v>548.7356061655564</c:v>
                </c:pt>
                <c:pt idx="44">
                  <c:v>563.6199740626018</c:v>
                </c:pt>
                <c:pt idx="45">
                  <c:v>578.5043419596473</c:v>
                </c:pt>
                <c:pt idx="46">
                  <c:v>593.388709856693</c:v>
                </c:pt>
                <c:pt idx="47">
                  <c:v>608.2730777537383</c:v>
                </c:pt>
                <c:pt idx="48">
                  <c:v>613.8216946256738</c:v>
                </c:pt>
                <c:pt idx="49">
                  <c:v>610.0345604724993</c:v>
                </c:pt>
                <c:pt idx="50">
                  <c:v>606.2474263193247</c:v>
                </c:pt>
                <c:pt idx="51">
                  <c:v>602.4602921661502</c:v>
                </c:pt>
                <c:pt idx="52">
                  <c:v>598.6731580129757</c:v>
                </c:pt>
                <c:pt idx="53">
                  <c:v>594.8860238598012</c:v>
                </c:pt>
                <c:pt idx="54">
                  <c:v>591.0988897066267</c:v>
                </c:pt>
                <c:pt idx="55">
                  <c:v>587.3117555534522</c:v>
                </c:pt>
                <c:pt idx="56">
                  <c:v>583.5246214002777</c:v>
                </c:pt>
                <c:pt idx="57">
                  <c:v>579.7374872471032</c:v>
                </c:pt>
                <c:pt idx="58">
                  <c:v>575.9503530939287</c:v>
                </c:pt>
                <c:pt idx="59">
                  <c:v>572.1632189407542</c:v>
                </c:pt>
                <c:pt idx="60">
                  <c:v>568.3760847875797</c:v>
                </c:pt>
                <c:pt idx="61">
                  <c:v>564.5889506344051</c:v>
                </c:pt>
                <c:pt idx="62">
                  <c:v>560.8018164812306</c:v>
                </c:pt>
                <c:pt idx="63">
                  <c:v>557.014682328056</c:v>
                </c:pt>
                <c:pt idx="64">
                  <c:v>553.2275481748816</c:v>
                </c:pt>
                <c:pt idx="65">
                  <c:v>549.4404140217071</c:v>
                </c:pt>
                <c:pt idx="66">
                  <c:v>545.6532798685325</c:v>
                </c:pt>
                <c:pt idx="67">
                  <c:v>541.8661457153581</c:v>
                </c:pt>
                <c:pt idx="68">
                  <c:v>538.0790115621836</c:v>
                </c:pt>
                <c:pt idx="69">
                  <c:v>534.291877409009</c:v>
                </c:pt>
                <c:pt idx="70">
                  <c:v>530.5047432558345</c:v>
                </c:pt>
                <c:pt idx="71">
                  <c:v>526.71760910266</c:v>
                </c:pt>
                <c:pt idx="72">
                  <c:v>522.9304749494855</c:v>
                </c:pt>
                <c:pt idx="73">
                  <c:v>512.6366517964719</c:v>
                </c:pt>
                <c:pt idx="74">
                  <c:v>495.8361396436193</c:v>
                </c:pt>
                <c:pt idx="75">
                  <c:v>479.0356274907667</c:v>
                </c:pt>
                <c:pt idx="76">
                  <c:v>462.2351153379141</c:v>
                </c:pt>
                <c:pt idx="77">
                  <c:v>445.4346031850615</c:v>
                </c:pt>
                <c:pt idx="78">
                  <c:v>428.6340910322089</c:v>
                </c:pt>
                <c:pt idx="79">
                  <c:v>411.8335788793562</c:v>
                </c:pt>
                <c:pt idx="80">
                  <c:v>395.0330667265036</c:v>
                </c:pt>
                <c:pt idx="81">
                  <c:v>378.232554573651</c:v>
                </c:pt>
                <c:pt idx="82">
                  <c:v>361.4320424207984</c:v>
                </c:pt>
                <c:pt idx="83">
                  <c:v>344.6315302679458</c:v>
                </c:pt>
                <c:pt idx="84">
                  <c:v>327.8310181150932</c:v>
                </c:pt>
                <c:pt idx="85">
                  <c:v>311.0305059622406</c:v>
                </c:pt>
                <c:pt idx="86">
                  <c:v>294.229993809388</c:v>
                </c:pt>
                <c:pt idx="87">
                  <c:v>277.4294816565354</c:v>
                </c:pt>
                <c:pt idx="88">
                  <c:v>260.6289695036827</c:v>
                </c:pt>
                <c:pt idx="89">
                  <c:v>243.8284573508301</c:v>
                </c:pt>
                <c:pt idx="90">
                  <c:v>227.0279451979774</c:v>
                </c:pt>
                <c:pt idx="91">
                  <c:v>210.2274330451249</c:v>
                </c:pt>
                <c:pt idx="92">
                  <c:v>193.4269208922722</c:v>
                </c:pt>
                <c:pt idx="93">
                  <c:v>176.6264087394196</c:v>
                </c:pt>
                <c:pt idx="94">
                  <c:v>176.6264087394196</c:v>
                </c:pt>
                <c:pt idx="95">
                  <c:v>176.6264087394196</c:v>
                </c:pt>
                <c:pt idx="96">
                  <c:v>176.6264087394196</c:v>
                </c:pt>
                <c:pt idx="97">
                  <c:v>176.6264087394196</c:v>
                </c:pt>
                <c:pt idx="98">
                  <c:v>176.6264087394196</c:v>
                </c:pt>
                <c:pt idx="99">
                  <c:v>176.6264087394196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5770.02569231929</c:v>
                </c:pt>
                <c:pt idx="20">
                  <c:v>6078.583215972728</c:v>
                </c:pt>
                <c:pt idx="21">
                  <c:v>6387.140739626166</c:v>
                </c:pt>
                <c:pt idx="22">
                  <c:v>6695.698263279604</c:v>
                </c:pt>
                <c:pt idx="23">
                  <c:v>7004.255786933042</c:v>
                </c:pt>
                <c:pt idx="24">
                  <c:v>7312.81331058648</c:v>
                </c:pt>
                <c:pt idx="25">
                  <c:v>7621.370834239916</c:v>
                </c:pt>
                <c:pt idx="26">
                  <c:v>7929.928357893355</c:v>
                </c:pt>
                <c:pt idx="27">
                  <c:v>8238.485881546792</c:v>
                </c:pt>
                <c:pt idx="28">
                  <c:v>8547.04340520023</c:v>
                </c:pt>
                <c:pt idx="29">
                  <c:v>8855.60092885367</c:v>
                </c:pt>
                <c:pt idx="30">
                  <c:v>9164.158452507106</c:v>
                </c:pt>
                <c:pt idx="31">
                  <c:v>9472.715976160545</c:v>
                </c:pt>
                <c:pt idx="32">
                  <c:v>9781.27349981398</c:v>
                </c:pt>
                <c:pt idx="33">
                  <c:v>10089.83102346742</c:v>
                </c:pt>
                <c:pt idx="34">
                  <c:v>10398.38854712086</c:v>
                </c:pt>
                <c:pt idx="35">
                  <c:v>10706.9460707743</c:v>
                </c:pt>
                <c:pt idx="36">
                  <c:v>11015.50359442773</c:v>
                </c:pt>
                <c:pt idx="37">
                  <c:v>11324.06111808117</c:v>
                </c:pt>
                <c:pt idx="38">
                  <c:v>11632.61864173461</c:v>
                </c:pt>
                <c:pt idx="39">
                  <c:v>11941.17616538805</c:v>
                </c:pt>
                <c:pt idx="40">
                  <c:v>12249.73368904148</c:v>
                </c:pt>
                <c:pt idx="41">
                  <c:v>12558.29121269492</c:v>
                </c:pt>
                <c:pt idx="42">
                  <c:v>12866.84873634836</c:v>
                </c:pt>
                <c:pt idx="43">
                  <c:v>13175.4062600018</c:v>
                </c:pt>
                <c:pt idx="44">
                  <c:v>13483.96378365524</c:v>
                </c:pt>
                <c:pt idx="45">
                  <c:v>13792.52130730867</c:v>
                </c:pt>
                <c:pt idx="46">
                  <c:v>14101.07883096211</c:v>
                </c:pt>
                <c:pt idx="47">
                  <c:v>14409.63635461555</c:v>
                </c:pt>
                <c:pt idx="48">
                  <c:v>14928.01299435333</c:v>
                </c:pt>
                <c:pt idx="49">
                  <c:v>15656.20875017544</c:v>
                </c:pt>
                <c:pt idx="50">
                  <c:v>16384.40450599755</c:v>
                </c:pt>
                <c:pt idx="51">
                  <c:v>17112.60026181967</c:v>
                </c:pt>
                <c:pt idx="52">
                  <c:v>17840.79601764178</c:v>
                </c:pt>
                <c:pt idx="53">
                  <c:v>18568.9917734639</c:v>
                </c:pt>
                <c:pt idx="54">
                  <c:v>19297.18752928601</c:v>
                </c:pt>
                <c:pt idx="55">
                  <c:v>20025.38328510812</c:v>
                </c:pt>
                <c:pt idx="56">
                  <c:v>20753.57904093024</c:v>
                </c:pt>
                <c:pt idx="57">
                  <c:v>21481.77479675235</c:v>
                </c:pt>
                <c:pt idx="58">
                  <c:v>22209.97055257446</c:v>
                </c:pt>
                <c:pt idx="59">
                  <c:v>22938.16630839658</c:v>
                </c:pt>
                <c:pt idx="60">
                  <c:v>23666.3620642187</c:v>
                </c:pt>
                <c:pt idx="61">
                  <c:v>24394.55782004081</c:v>
                </c:pt>
                <c:pt idx="62">
                  <c:v>25122.75357586292</c:v>
                </c:pt>
                <c:pt idx="63">
                  <c:v>25850.94933168503</c:v>
                </c:pt>
                <c:pt idx="64">
                  <c:v>26579.14508750715</c:v>
                </c:pt>
                <c:pt idx="65">
                  <c:v>27307.34084332926</c:v>
                </c:pt>
                <c:pt idx="66">
                  <c:v>28035.53659915138</c:v>
                </c:pt>
                <c:pt idx="67">
                  <c:v>28763.73235497349</c:v>
                </c:pt>
                <c:pt idx="68">
                  <c:v>29491.9281107956</c:v>
                </c:pt>
                <c:pt idx="69">
                  <c:v>30220.12386661772</c:v>
                </c:pt>
                <c:pt idx="70">
                  <c:v>30948.31962243983</c:v>
                </c:pt>
                <c:pt idx="71">
                  <c:v>31676.51537826195</c:v>
                </c:pt>
                <c:pt idx="72">
                  <c:v>32404.71113408406</c:v>
                </c:pt>
                <c:pt idx="73">
                  <c:v>33449.82745131961</c:v>
                </c:pt>
                <c:pt idx="74">
                  <c:v>34811.8643299686</c:v>
                </c:pt>
                <c:pt idx="75">
                  <c:v>36173.90120861758</c:v>
                </c:pt>
                <c:pt idx="76">
                  <c:v>37535.93808726655</c:v>
                </c:pt>
                <c:pt idx="77">
                  <c:v>38897.97496591554</c:v>
                </c:pt>
                <c:pt idx="78">
                  <c:v>40260.01184456453</c:v>
                </c:pt>
                <c:pt idx="79">
                  <c:v>41622.04872321351</c:v>
                </c:pt>
                <c:pt idx="80">
                  <c:v>42984.08560186249</c:v>
                </c:pt>
                <c:pt idx="81">
                  <c:v>44346.12248051148</c:v>
                </c:pt>
                <c:pt idx="82">
                  <c:v>45708.15935916046</c:v>
                </c:pt>
                <c:pt idx="83">
                  <c:v>47070.19623780945</c:v>
                </c:pt>
                <c:pt idx="84">
                  <c:v>48432.23311645843</c:v>
                </c:pt>
                <c:pt idx="85">
                  <c:v>49794.26999510742</c:v>
                </c:pt>
                <c:pt idx="86">
                  <c:v>51156.3068737564</c:v>
                </c:pt>
                <c:pt idx="87">
                  <c:v>52518.34375240538</c:v>
                </c:pt>
                <c:pt idx="88">
                  <c:v>53880.38063105436</c:v>
                </c:pt>
                <c:pt idx="89">
                  <c:v>55242.41750970335</c:v>
                </c:pt>
                <c:pt idx="90">
                  <c:v>56604.45438835232</c:v>
                </c:pt>
                <c:pt idx="91">
                  <c:v>57966.49126700131</c:v>
                </c:pt>
                <c:pt idx="92">
                  <c:v>59328.5281456503</c:v>
                </c:pt>
                <c:pt idx="93">
                  <c:v>60690.56502429929</c:v>
                </c:pt>
                <c:pt idx="94">
                  <c:v>60690.56502429929</c:v>
                </c:pt>
                <c:pt idx="95">
                  <c:v>60690.56502429929</c:v>
                </c:pt>
                <c:pt idx="96">
                  <c:v>60690.56502429929</c:v>
                </c:pt>
                <c:pt idx="97">
                  <c:v>60690.56502429929</c:v>
                </c:pt>
                <c:pt idx="98">
                  <c:v>60690.56502429929</c:v>
                </c:pt>
                <c:pt idx="99">
                  <c:v>60690.56502429929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1666.770698034593</c:v>
                </c:pt>
                <c:pt idx="74">
                  <c:v>1635.999546686262</c:v>
                </c:pt>
                <c:pt idx="75">
                  <c:v>1605.228395337931</c:v>
                </c:pt>
                <c:pt idx="76">
                  <c:v>1574.4572439896</c:v>
                </c:pt>
                <c:pt idx="77">
                  <c:v>1543.68609264127</c:v>
                </c:pt>
                <c:pt idx="78">
                  <c:v>1512.914941292938</c:v>
                </c:pt>
                <c:pt idx="79">
                  <c:v>1482.143789944607</c:v>
                </c:pt>
                <c:pt idx="80">
                  <c:v>1451.372638596276</c:v>
                </c:pt>
                <c:pt idx="81">
                  <c:v>1420.601487247945</c:v>
                </c:pt>
                <c:pt idx="82">
                  <c:v>1389.830335899615</c:v>
                </c:pt>
                <c:pt idx="83">
                  <c:v>1359.059184551284</c:v>
                </c:pt>
                <c:pt idx="84">
                  <c:v>1328.288033202952</c:v>
                </c:pt>
                <c:pt idx="85">
                  <c:v>1297.516881854622</c:v>
                </c:pt>
                <c:pt idx="86">
                  <c:v>1266.745730506291</c:v>
                </c:pt>
                <c:pt idx="87">
                  <c:v>1235.97457915796</c:v>
                </c:pt>
                <c:pt idx="88">
                  <c:v>1205.203427809629</c:v>
                </c:pt>
                <c:pt idx="89">
                  <c:v>1174.432276461298</c:v>
                </c:pt>
                <c:pt idx="90">
                  <c:v>1143.661125112967</c:v>
                </c:pt>
                <c:pt idx="91">
                  <c:v>1112.889973764636</c:v>
                </c:pt>
                <c:pt idx="92">
                  <c:v>1082.118822416305</c:v>
                </c:pt>
                <c:pt idx="93">
                  <c:v>1051.347671067974</c:v>
                </c:pt>
                <c:pt idx="94">
                  <c:v>1051.347671067974</c:v>
                </c:pt>
                <c:pt idx="95">
                  <c:v>1051.347671067974</c:v>
                </c:pt>
                <c:pt idx="96">
                  <c:v>1051.347671067974</c:v>
                </c:pt>
                <c:pt idx="97">
                  <c:v>1051.347671067974</c:v>
                </c:pt>
                <c:pt idx="98">
                  <c:v>1051.347671067974</c:v>
                </c:pt>
                <c:pt idx="99">
                  <c:v>1051.347671067974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23910.5740555005</c:v>
                </c:pt>
                <c:pt idx="74">
                  <c:v>24034.90016015306</c:v>
                </c:pt>
                <c:pt idx="75">
                  <c:v>24159.22626480561</c:v>
                </c:pt>
                <c:pt idx="76">
                  <c:v>24283.55236945817</c:v>
                </c:pt>
                <c:pt idx="77">
                  <c:v>24407.87847411072</c:v>
                </c:pt>
                <c:pt idx="78">
                  <c:v>24532.20457876328</c:v>
                </c:pt>
                <c:pt idx="79">
                  <c:v>24656.53068341584</c:v>
                </c:pt>
                <c:pt idx="80">
                  <c:v>24780.8567880684</c:v>
                </c:pt>
                <c:pt idx="81">
                  <c:v>24905.18289272094</c:v>
                </c:pt>
                <c:pt idx="82">
                  <c:v>25029.5089973735</c:v>
                </c:pt>
                <c:pt idx="83">
                  <c:v>25153.83510202606</c:v>
                </c:pt>
                <c:pt idx="84">
                  <c:v>25278.16120667861</c:v>
                </c:pt>
                <c:pt idx="85">
                  <c:v>25402.48731133117</c:v>
                </c:pt>
                <c:pt idx="86">
                  <c:v>25526.81341598373</c:v>
                </c:pt>
                <c:pt idx="87">
                  <c:v>25651.13952063628</c:v>
                </c:pt>
                <c:pt idx="88">
                  <c:v>25775.46562528884</c:v>
                </c:pt>
                <c:pt idx="89">
                  <c:v>25899.79172994139</c:v>
                </c:pt>
                <c:pt idx="90">
                  <c:v>26024.11783459395</c:v>
                </c:pt>
                <c:pt idx="91">
                  <c:v>26148.44393924651</c:v>
                </c:pt>
                <c:pt idx="92">
                  <c:v>26272.77004389906</c:v>
                </c:pt>
                <c:pt idx="93">
                  <c:v>26397.09614855162</c:v>
                </c:pt>
                <c:pt idx="94">
                  <c:v>26397.09614855162</c:v>
                </c:pt>
                <c:pt idx="95">
                  <c:v>26397.09614855162</c:v>
                </c:pt>
                <c:pt idx="96">
                  <c:v>26397.09614855162</c:v>
                </c:pt>
                <c:pt idx="97">
                  <c:v>26397.09614855162</c:v>
                </c:pt>
                <c:pt idx="98">
                  <c:v>26397.09614855162</c:v>
                </c:pt>
                <c:pt idx="99">
                  <c:v>26397.09614855162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9195.01420487245</c:v>
                </c:pt>
                <c:pt idx="20">
                  <c:v>9287.581461968482</c:v>
                </c:pt>
                <c:pt idx="21">
                  <c:v>9380.148719064513</c:v>
                </c:pt>
                <c:pt idx="22">
                  <c:v>9472.715976160545</c:v>
                </c:pt>
                <c:pt idx="23">
                  <c:v>9565.283233256575</c:v>
                </c:pt>
                <c:pt idx="24">
                  <c:v>9657.850490352608</c:v>
                </c:pt>
                <c:pt idx="25">
                  <c:v>9750.417747448639</c:v>
                </c:pt>
                <c:pt idx="26">
                  <c:v>9842.985004544671</c:v>
                </c:pt>
                <c:pt idx="27">
                  <c:v>9935.552261640701</c:v>
                </c:pt>
                <c:pt idx="28">
                  <c:v>10028.11951873673</c:v>
                </c:pt>
                <c:pt idx="29">
                  <c:v>10120.68677583276</c:v>
                </c:pt>
                <c:pt idx="30">
                  <c:v>10213.2540329288</c:v>
                </c:pt>
                <c:pt idx="31">
                  <c:v>10305.82129002483</c:v>
                </c:pt>
                <c:pt idx="32">
                  <c:v>10398.38854712086</c:v>
                </c:pt>
                <c:pt idx="33">
                  <c:v>10490.95580421689</c:v>
                </c:pt>
                <c:pt idx="34">
                  <c:v>10583.52306131292</c:v>
                </c:pt>
                <c:pt idx="35">
                  <c:v>10676.09031840895</c:v>
                </c:pt>
                <c:pt idx="36">
                  <c:v>10768.65757550499</c:v>
                </c:pt>
                <c:pt idx="37">
                  <c:v>10861.22483260102</c:v>
                </c:pt>
                <c:pt idx="38">
                  <c:v>10953.79208969705</c:v>
                </c:pt>
                <c:pt idx="39">
                  <c:v>11046.35934679308</c:v>
                </c:pt>
                <c:pt idx="40">
                  <c:v>11138.92660388911</c:v>
                </c:pt>
                <c:pt idx="41">
                  <c:v>11231.49386098514</c:v>
                </c:pt>
                <c:pt idx="42">
                  <c:v>11324.06111808117</c:v>
                </c:pt>
                <c:pt idx="43">
                  <c:v>11416.6283751772</c:v>
                </c:pt>
                <c:pt idx="44">
                  <c:v>11509.19563227324</c:v>
                </c:pt>
                <c:pt idx="45">
                  <c:v>11601.76288936927</c:v>
                </c:pt>
                <c:pt idx="46">
                  <c:v>11694.3301464653</c:v>
                </c:pt>
                <c:pt idx="47">
                  <c:v>11786.89740356133</c:v>
                </c:pt>
                <c:pt idx="48">
                  <c:v>11596.51741146716</c:v>
                </c:pt>
                <c:pt idx="49">
                  <c:v>11123.19017018278</c:v>
                </c:pt>
                <c:pt idx="50">
                  <c:v>10649.86292889841</c:v>
                </c:pt>
                <c:pt idx="51">
                  <c:v>10176.53568761404</c:v>
                </c:pt>
                <c:pt idx="52">
                  <c:v>9703.20844632966</c:v>
                </c:pt>
                <c:pt idx="53">
                  <c:v>9229.881205045289</c:v>
                </c:pt>
                <c:pt idx="54">
                  <c:v>8756.553963760914</c:v>
                </c:pt>
                <c:pt idx="55">
                  <c:v>8283.22672247654</c:v>
                </c:pt>
                <c:pt idx="56">
                  <c:v>7809.899481192167</c:v>
                </c:pt>
                <c:pt idx="57">
                  <c:v>7336.572239907794</c:v>
                </c:pt>
                <c:pt idx="58">
                  <c:v>6863.24499862342</c:v>
                </c:pt>
                <c:pt idx="59">
                  <c:v>6389.917757339046</c:v>
                </c:pt>
                <c:pt idx="60">
                  <c:v>5916.590516054673</c:v>
                </c:pt>
                <c:pt idx="61">
                  <c:v>5443.263274770298</c:v>
                </c:pt>
                <c:pt idx="62">
                  <c:v>4969.936033485924</c:v>
                </c:pt>
                <c:pt idx="63">
                  <c:v>4496.608792201551</c:v>
                </c:pt>
                <c:pt idx="64">
                  <c:v>4023.281550917177</c:v>
                </c:pt>
                <c:pt idx="65">
                  <c:v>3549.954309632803</c:v>
                </c:pt>
                <c:pt idx="66">
                  <c:v>3076.627068348431</c:v>
                </c:pt>
                <c:pt idx="67">
                  <c:v>2603.299827064055</c:v>
                </c:pt>
                <c:pt idx="68">
                  <c:v>2129.972585779682</c:v>
                </c:pt>
                <c:pt idx="69">
                  <c:v>1656.645344495309</c:v>
                </c:pt>
                <c:pt idx="70">
                  <c:v>1183.318103210933</c:v>
                </c:pt>
                <c:pt idx="71">
                  <c:v>709.9908619265625</c:v>
                </c:pt>
                <c:pt idx="72">
                  <c:v>236.6636206421863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6000680"/>
        <c:axId val="-214600855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000680"/>
        <c:axId val="-2146008552"/>
      </c:lineChart>
      <c:catAx>
        <c:axId val="-214600068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60085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60085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600068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-25.16664313349734</c:v>
                </c:pt>
                <c:pt idx="1">
                  <c:v>35.62085414317247</c:v>
                </c:pt>
                <c:pt idx="2">
                  <c:v>45.0396490886466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1.799918887978388</c:v>
                </c:pt>
                <c:pt idx="1">
                  <c:v>73.91186921594453</c:v>
                </c:pt>
                <c:pt idx="2">
                  <c:v>1325.067438377858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14.88436789704547</c:v>
                </c:pt>
                <c:pt idx="1">
                  <c:v>-3.787134153174511</c:v>
                </c:pt>
                <c:pt idx="2">
                  <c:v>-16.80051215285262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-30.77115134833094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-1.23321315494634E-13</c:v>
                </c:pt>
                <c:pt idx="1">
                  <c:v>1.45519152283668E-13</c:v>
                </c:pt>
                <c:pt idx="2">
                  <c:v>124.3261046525557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6075912"/>
        <c:axId val="-204608548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66.09948472644275</c:v>
                </c:pt>
                <c:pt idx="1">
                  <c:v>27.57329137717006</c:v>
                </c:pt>
                <c:pt idx="2">
                  <c:v>-8.429795063504482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0.514262539422397</c:v>
                </c:pt>
                <c:pt idx="1">
                  <c:v>2.123904287814498</c:v>
                </c:pt>
                <c:pt idx="2">
                  <c:v>2.682631722413783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102.8525078844793</c:v>
                </c:pt>
                <c:pt idx="1">
                  <c:v>288.2441533462533</c:v>
                </c:pt>
                <c:pt idx="2">
                  <c:v>2044.350381563606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308.5575236534379</c:v>
                </c:pt>
                <c:pt idx="1">
                  <c:v>728.1957558221137</c:v>
                </c:pt>
                <c:pt idx="2">
                  <c:v>1362.036878648984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92.56725709603138</c:v>
                </c:pt>
                <c:pt idx="1">
                  <c:v>-473.3272412843738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6089848"/>
        <c:axId val="-2046092328"/>
      </c:scatterChart>
      <c:valAx>
        <c:axId val="-204607591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6085480"/>
        <c:crosses val="autoZero"/>
        <c:crossBetween val="midCat"/>
      </c:valAx>
      <c:valAx>
        <c:axId val="-20460854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6075912"/>
        <c:crosses val="autoZero"/>
        <c:crossBetween val="midCat"/>
      </c:valAx>
      <c:valAx>
        <c:axId val="-204608984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46092328"/>
        <c:crosses val="autoZero"/>
        <c:crossBetween val="midCat"/>
      </c:valAx>
      <c:valAx>
        <c:axId val="-204609232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608984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3318.991523343172</c:v>
                </c:pt>
                <c:pt idx="20">
                  <c:v>3293.824880209675</c:v>
                </c:pt>
                <c:pt idx="21">
                  <c:v>3268.658237076178</c:v>
                </c:pt>
                <c:pt idx="22">
                  <c:v>3243.49159394268</c:v>
                </c:pt>
                <c:pt idx="23">
                  <c:v>3218.324950809183</c:v>
                </c:pt>
                <c:pt idx="24">
                  <c:v>3193.158307675686</c:v>
                </c:pt>
                <c:pt idx="25">
                  <c:v>3167.991664542188</c:v>
                </c:pt>
                <c:pt idx="26">
                  <c:v>3142.825021408691</c:v>
                </c:pt>
                <c:pt idx="27">
                  <c:v>3117.658378275194</c:v>
                </c:pt>
                <c:pt idx="28">
                  <c:v>3092.491735141697</c:v>
                </c:pt>
                <c:pt idx="29">
                  <c:v>3067.3250920082</c:v>
                </c:pt>
                <c:pt idx="30">
                  <c:v>3042.158448874702</c:v>
                </c:pt>
                <c:pt idx="31">
                  <c:v>3016.991805741205</c:v>
                </c:pt>
                <c:pt idx="32">
                  <c:v>2991.825162607707</c:v>
                </c:pt>
                <c:pt idx="33">
                  <c:v>2966.65851947421</c:v>
                </c:pt>
                <c:pt idx="34">
                  <c:v>2941.491876340713</c:v>
                </c:pt>
                <c:pt idx="35">
                  <c:v>2916.325233207215</c:v>
                </c:pt>
                <c:pt idx="36">
                  <c:v>2891.158590073718</c:v>
                </c:pt>
                <c:pt idx="37">
                  <c:v>2865.99194694022</c:v>
                </c:pt>
                <c:pt idx="38">
                  <c:v>2840.825303806723</c:v>
                </c:pt>
                <c:pt idx="39">
                  <c:v>2815.658660673226</c:v>
                </c:pt>
                <c:pt idx="40">
                  <c:v>2790.492017539728</c:v>
                </c:pt>
                <c:pt idx="41">
                  <c:v>2765.325374406231</c:v>
                </c:pt>
                <c:pt idx="42">
                  <c:v>2740.158731272734</c:v>
                </c:pt>
                <c:pt idx="43">
                  <c:v>2714.992088139236</c:v>
                </c:pt>
                <c:pt idx="44">
                  <c:v>2689.825445005739</c:v>
                </c:pt>
                <c:pt idx="45">
                  <c:v>2664.658801872242</c:v>
                </c:pt>
                <c:pt idx="46">
                  <c:v>2639.492158738744</c:v>
                </c:pt>
                <c:pt idx="47">
                  <c:v>2614.325515605247</c:v>
                </c:pt>
                <c:pt idx="48">
                  <c:v>2619.552621110085</c:v>
                </c:pt>
                <c:pt idx="49">
                  <c:v>2655.173475253257</c:v>
                </c:pt>
                <c:pt idx="50">
                  <c:v>2690.794329396429</c:v>
                </c:pt>
                <c:pt idx="51">
                  <c:v>2726.415183539602</c:v>
                </c:pt>
                <c:pt idx="52">
                  <c:v>2762.036037682774</c:v>
                </c:pt>
                <c:pt idx="53">
                  <c:v>2797.656891825947</c:v>
                </c:pt>
                <c:pt idx="54">
                  <c:v>2833.27774596912</c:v>
                </c:pt>
                <c:pt idx="55">
                  <c:v>2868.898600112292</c:v>
                </c:pt>
                <c:pt idx="56">
                  <c:v>2904.519454255464</c:v>
                </c:pt>
                <c:pt idx="57">
                  <c:v>2940.140308398637</c:v>
                </c:pt>
                <c:pt idx="58">
                  <c:v>2975.76116254181</c:v>
                </c:pt>
                <c:pt idx="59">
                  <c:v>3011.382016684982</c:v>
                </c:pt>
                <c:pt idx="60">
                  <c:v>3047.002870828154</c:v>
                </c:pt>
                <c:pt idx="61">
                  <c:v>3082.623724971327</c:v>
                </c:pt>
                <c:pt idx="62">
                  <c:v>3118.244579114499</c:v>
                </c:pt>
                <c:pt idx="63">
                  <c:v>3153.865433257672</c:v>
                </c:pt>
                <c:pt idx="64">
                  <c:v>3189.486287400844</c:v>
                </c:pt>
                <c:pt idx="65">
                  <c:v>3225.107141544016</c:v>
                </c:pt>
                <c:pt idx="66">
                  <c:v>3260.727995687189</c:v>
                </c:pt>
                <c:pt idx="67">
                  <c:v>3296.348849830361</c:v>
                </c:pt>
                <c:pt idx="68">
                  <c:v>3331.969703973533</c:v>
                </c:pt>
                <c:pt idx="69">
                  <c:v>3367.590558116707</c:v>
                </c:pt>
                <c:pt idx="70">
                  <c:v>3403.21141225988</c:v>
                </c:pt>
                <c:pt idx="71">
                  <c:v>3438.832266403052</c:v>
                </c:pt>
                <c:pt idx="72">
                  <c:v>3474.453120546223</c:v>
                </c:pt>
                <c:pt idx="73">
                  <c:v>3514.783372162134</c:v>
                </c:pt>
                <c:pt idx="74">
                  <c:v>3559.82302125078</c:v>
                </c:pt>
                <c:pt idx="75">
                  <c:v>3604.862670339427</c:v>
                </c:pt>
                <c:pt idx="76">
                  <c:v>3649.902319428073</c:v>
                </c:pt>
                <c:pt idx="77">
                  <c:v>3694.94196851672</c:v>
                </c:pt>
                <c:pt idx="78">
                  <c:v>3739.981617605366</c:v>
                </c:pt>
                <c:pt idx="79">
                  <c:v>3785.021266694013</c:v>
                </c:pt>
                <c:pt idx="80">
                  <c:v>3830.06091578266</c:v>
                </c:pt>
                <c:pt idx="81">
                  <c:v>3875.100564871306</c:v>
                </c:pt>
                <c:pt idx="82">
                  <c:v>3920.140213959953</c:v>
                </c:pt>
                <c:pt idx="83">
                  <c:v>3965.1798630486</c:v>
                </c:pt>
                <c:pt idx="84">
                  <c:v>4010.219512137246</c:v>
                </c:pt>
                <c:pt idx="85">
                  <c:v>4055.259161225893</c:v>
                </c:pt>
                <c:pt idx="86">
                  <c:v>4100.298810314539</c:v>
                </c:pt>
                <c:pt idx="87">
                  <c:v>4145.338459403186</c:v>
                </c:pt>
                <c:pt idx="88">
                  <c:v>4190.378108491832</c:v>
                </c:pt>
                <c:pt idx="89">
                  <c:v>4235.417757580479</c:v>
                </c:pt>
                <c:pt idx="90">
                  <c:v>4280.457406669126</c:v>
                </c:pt>
                <c:pt idx="91">
                  <c:v>4325.497055757773</c:v>
                </c:pt>
                <c:pt idx="92">
                  <c:v>4370.536704846419</c:v>
                </c:pt>
                <c:pt idx="93">
                  <c:v>4415.576353935066</c:v>
                </c:pt>
                <c:pt idx="94">
                  <c:v>4521.936353935065</c:v>
                </c:pt>
                <c:pt idx="95">
                  <c:v>4628.296353935066</c:v>
                </c:pt>
                <c:pt idx="96">
                  <c:v>4734.656353935065</c:v>
                </c:pt>
                <c:pt idx="97">
                  <c:v>4841.016353935066</c:v>
                </c:pt>
                <c:pt idx="98">
                  <c:v>4947.376353935066</c:v>
                </c:pt>
                <c:pt idx="99">
                  <c:v>5053.736353935066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1.799918887978388</c:v>
                </c:pt>
                <c:pt idx="20">
                  <c:v>3.599837775956776</c:v>
                </c:pt>
                <c:pt idx="21">
                  <c:v>5.399756663935164</c:v>
                </c:pt>
                <c:pt idx="22">
                  <c:v>7.199675551913551</c:v>
                </c:pt>
                <c:pt idx="23">
                  <c:v>8.99959443989194</c:v>
                </c:pt>
                <c:pt idx="24">
                  <c:v>10.79951332787033</c:v>
                </c:pt>
                <c:pt idx="25">
                  <c:v>12.59943221584871</c:v>
                </c:pt>
                <c:pt idx="26">
                  <c:v>14.3993511038271</c:v>
                </c:pt>
                <c:pt idx="27">
                  <c:v>16.1992699918055</c:v>
                </c:pt>
                <c:pt idx="28">
                  <c:v>17.99918887978388</c:v>
                </c:pt>
                <c:pt idx="29">
                  <c:v>19.79910776776227</c:v>
                </c:pt>
                <c:pt idx="30">
                  <c:v>21.59902665574065</c:v>
                </c:pt>
                <c:pt idx="31">
                  <c:v>23.39894554371904</c:v>
                </c:pt>
                <c:pt idx="32">
                  <c:v>25.19886443169743</c:v>
                </c:pt>
                <c:pt idx="33">
                  <c:v>26.99878331967582</c:v>
                </c:pt>
                <c:pt idx="34">
                  <c:v>28.79870220765421</c:v>
                </c:pt>
                <c:pt idx="35">
                  <c:v>30.59862109563259</c:v>
                </c:pt>
                <c:pt idx="36">
                  <c:v>32.39853998361098</c:v>
                </c:pt>
                <c:pt idx="37">
                  <c:v>34.19845887158936</c:v>
                </c:pt>
                <c:pt idx="38">
                  <c:v>35.99837775956776</c:v>
                </c:pt>
                <c:pt idx="39">
                  <c:v>37.79829664754614</c:v>
                </c:pt>
                <c:pt idx="40">
                  <c:v>39.59821553552453</c:v>
                </c:pt>
                <c:pt idx="41">
                  <c:v>41.39813442350292</c:v>
                </c:pt>
                <c:pt idx="42">
                  <c:v>43.1980533114813</c:v>
                </c:pt>
                <c:pt idx="43">
                  <c:v>44.9979721994597</c:v>
                </c:pt>
                <c:pt idx="44">
                  <c:v>46.79789108743808</c:v>
                </c:pt>
                <c:pt idx="45">
                  <c:v>48.59780997541647</c:v>
                </c:pt>
                <c:pt idx="46">
                  <c:v>50.39772886339486</c:v>
                </c:pt>
                <c:pt idx="47">
                  <c:v>52.19764775137325</c:v>
                </c:pt>
                <c:pt idx="48">
                  <c:v>90.05354180333471</c:v>
                </c:pt>
                <c:pt idx="49">
                  <c:v>163.9654110192793</c:v>
                </c:pt>
                <c:pt idx="50">
                  <c:v>237.8772802352238</c:v>
                </c:pt>
                <c:pt idx="51">
                  <c:v>311.7891494511683</c:v>
                </c:pt>
                <c:pt idx="52">
                  <c:v>385.7010186671129</c:v>
                </c:pt>
                <c:pt idx="53">
                  <c:v>459.6128878830573</c:v>
                </c:pt>
                <c:pt idx="54">
                  <c:v>533.524757099002</c:v>
                </c:pt>
                <c:pt idx="55">
                  <c:v>607.4366263149465</c:v>
                </c:pt>
                <c:pt idx="56">
                  <c:v>681.348495530891</c:v>
                </c:pt>
                <c:pt idx="57">
                  <c:v>755.2603647468355</c:v>
                </c:pt>
                <c:pt idx="58">
                  <c:v>829.17223396278</c:v>
                </c:pt>
                <c:pt idx="59">
                  <c:v>903.0841031787246</c:v>
                </c:pt>
                <c:pt idx="60">
                  <c:v>976.9959723946691</c:v>
                </c:pt>
                <c:pt idx="61">
                  <c:v>1050.907841610614</c:v>
                </c:pt>
                <c:pt idx="62">
                  <c:v>1124.819710826558</c:v>
                </c:pt>
                <c:pt idx="63">
                  <c:v>1198.731580042503</c:v>
                </c:pt>
                <c:pt idx="64">
                  <c:v>1272.643449258447</c:v>
                </c:pt>
                <c:pt idx="65">
                  <c:v>1346.555318474392</c:v>
                </c:pt>
                <c:pt idx="66">
                  <c:v>1420.467187690336</c:v>
                </c:pt>
                <c:pt idx="67">
                  <c:v>1494.379056906281</c:v>
                </c:pt>
                <c:pt idx="68">
                  <c:v>1568.290926122225</c:v>
                </c:pt>
                <c:pt idx="69">
                  <c:v>1642.20279533817</c:v>
                </c:pt>
                <c:pt idx="70">
                  <c:v>1716.114664554114</c:v>
                </c:pt>
                <c:pt idx="71">
                  <c:v>1790.026533770059</c:v>
                </c:pt>
                <c:pt idx="72">
                  <c:v>1863.938402986003</c:v>
                </c:pt>
                <c:pt idx="73">
                  <c:v>2563.428056782905</c:v>
                </c:pt>
                <c:pt idx="74">
                  <c:v>3888.495495160762</c:v>
                </c:pt>
                <c:pt idx="75">
                  <c:v>5213.56293353862</c:v>
                </c:pt>
                <c:pt idx="76">
                  <c:v>6538.630371916479</c:v>
                </c:pt>
                <c:pt idx="77">
                  <c:v>7863.697810294336</c:v>
                </c:pt>
                <c:pt idx="78">
                  <c:v>9188.765248672194</c:v>
                </c:pt>
                <c:pt idx="79">
                  <c:v>10513.83268705005</c:v>
                </c:pt>
                <c:pt idx="80">
                  <c:v>11838.90012542791</c:v>
                </c:pt>
                <c:pt idx="81">
                  <c:v>13163.96756380577</c:v>
                </c:pt>
                <c:pt idx="82">
                  <c:v>14489.03500218363</c:v>
                </c:pt>
                <c:pt idx="83">
                  <c:v>15814.10244056148</c:v>
                </c:pt>
                <c:pt idx="84">
                  <c:v>17139.16987893934</c:v>
                </c:pt>
                <c:pt idx="85">
                  <c:v>18464.2373173172</c:v>
                </c:pt>
                <c:pt idx="86">
                  <c:v>19789.30475569506</c:v>
                </c:pt>
                <c:pt idx="87">
                  <c:v>21114.37219407291</c:v>
                </c:pt>
                <c:pt idx="88">
                  <c:v>22439.43963245077</c:v>
                </c:pt>
                <c:pt idx="89">
                  <c:v>23764.50707082863</c:v>
                </c:pt>
                <c:pt idx="90">
                  <c:v>25089.57450920649</c:v>
                </c:pt>
                <c:pt idx="91">
                  <c:v>26414.64194758434</c:v>
                </c:pt>
                <c:pt idx="92">
                  <c:v>27739.7093859622</c:v>
                </c:pt>
                <c:pt idx="93">
                  <c:v>29064.77682434006</c:v>
                </c:pt>
                <c:pt idx="94">
                  <c:v>29789.63682434006</c:v>
                </c:pt>
                <c:pt idx="95">
                  <c:v>30514.49682434006</c:v>
                </c:pt>
                <c:pt idx="96">
                  <c:v>31239.35682434006</c:v>
                </c:pt>
                <c:pt idx="97">
                  <c:v>31964.21682434006</c:v>
                </c:pt>
                <c:pt idx="98">
                  <c:v>32689.07682434006</c:v>
                </c:pt>
                <c:pt idx="99">
                  <c:v>33413.93682434006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1087.630945269708</c:v>
                </c:pt>
                <c:pt idx="20">
                  <c:v>1153.73042999615</c:v>
                </c:pt>
                <c:pt idx="21">
                  <c:v>1219.829914722593</c:v>
                </c:pt>
                <c:pt idx="22">
                  <c:v>1285.929399449036</c:v>
                </c:pt>
                <c:pt idx="23">
                  <c:v>1352.028884175479</c:v>
                </c:pt>
                <c:pt idx="24">
                  <c:v>1418.128368901921</c:v>
                </c:pt>
                <c:pt idx="25">
                  <c:v>1484.227853628364</c:v>
                </c:pt>
                <c:pt idx="26">
                  <c:v>1550.327338354807</c:v>
                </c:pt>
                <c:pt idx="27">
                  <c:v>1616.42682308125</c:v>
                </c:pt>
                <c:pt idx="28">
                  <c:v>1682.526307807692</c:v>
                </c:pt>
                <c:pt idx="29">
                  <c:v>1748.625792534135</c:v>
                </c:pt>
                <c:pt idx="30">
                  <c:v>1814.725277260578</c:v>
                </c:pt>
                <c:pt idx="31">
                  <c:v>1880.824761987021</c:v>
                </c:pt>
                <c:pt idx="32">
                  <c:v>1946.924246713463</c:v>
                </c:pt>
                <c:pt idx="33">
                  <c:v>2013.023731439906</c:v>
                </c:pt>
                <c:pt idx="34">
                  <c:v>2079.123216166349</c:v>
                </c:pt>
                <c:pt idx="35">
                  <c:v>2145.222700892792</c:v>
                </c:pt>
                <c:pt idx="36">
                  <c:v>2211.322185619234</c:v>
                </c:pt>
                <c:pt idx="37">
                  <c:v>2277.421670345677</c:v>
                </c:pt>
                <c:pt idx="38">
                  <c:v>2343.52115507212</c:v>
                </c:pt>
                <c:pt idx="39">
                  <c:v>2409.620639798562</c:v>
                </c:pt>
                <c:pt idx="40">
                  <c:v>2475.720124525005</c:v>
                </c:pt>
                <c:pt idx="41">
                  <c:v>2541.819609251448</c:v>
                </c:pt>
                <c:pt idx="42">
                  <c:v>2607.919093977891</c:v>
                </c:pt>
                <c:pt idx="43">
                  <c:v>2674.018578704334</c:v>
                </c:pt>
                <c:pt idx="44">
                  <c:v>2740.118063430777</c:v>
                </c:pt>
                <c:pt idx="45">
                  <c:v>2806.217548157219</c:v>
                </c:pt>
                <c:pt idx="46">
                  <c:v>2872.317032883661</c:v>
                </c:pt>
                <c:pt idx="47">
                  <c:v>2938.416517610104</c:v>
                </c:pt>
                <c:pt idx="48">
                  <c:v>2985.252905661911</c:v>
                </c:pt>
                <c:pt idx="49">
                  <c:v>3012.826197039081</c:v>
                </c:pt>
                <c:pt idx="50">
                  <c:v>3040.399488416251</c:v>
                </c:pt>
                <c:pt idx="51">
                  <c:v>3067.972779793421</c:v>
                </c:pt>
                <c:pt idx="52">
                  <c:v>3095.546071170591</c:v>
                </c:pt>
                <c:pt idx="53">
                  <c:v>3123.119362547761</c:v>
                </c:pt>
                <c:pt idx="54">
                  <c:v>3150.692653924932</c:v>
                </c:pt>
                <c:pt idx="55">
                  <c:v>3178.265945302101</c:v>
                </c:pt>
                <c:pt idx="56">
                  <c:v>3205.839236679271</c:v>
                </c:pt>
                <c:pt idx="57">
                  <c:v>3233.412528056442</c:v>
                </c:pt>
                <c:pt idx="58">
                  <c:v>3260.985819433612</c:v>
                </c:pt>
                <c:pt idx="59">
                  <c:v>3288.559110810782</c:v>
                </c:pt>
                <c:pt idx="60">
                  <c:v>3316.132402187952</c:v>
                </c:pt>
                <c:pt idx="61">
                  <c:v>3343.705693565122</c:v>
                </c:pt>
                <c:pt idx="62">
                  <c:v>3371.278984942292</c:v>
                </c:pt>
                <c:pt idx="63">
                  <c:v>3398.852276319462</c:v>
                </c:pt>
                <c:pt idx="64">
                  <c:v>3426.425567696632</c:v>
                </c:pt>
                <c:pt idx="65">
                  <c:v>3453.998859073802</c:v>
                </c:pt>
                <c:pt idx="66">
                  <c:v>3481.572150450972</c:v>
                </c:pt>
                <c:pt idx="67">
                  <c:v>3509.145441828142</c:v>
                </c:pt>
                <c:pt idx="68">
                  <c:v>3536.718733205312</c:v>
                </c:pt>
                <c:pt idx="69">
                  <c:v>3564.292024582483</c:v>
                </c:pt>
                <c:pt idx="70">
                  <c:v>3591.865315959652</c:v>
                </c:pt>
                <c:pt idx="71">
                  <c:v>3619.438607336822</c:v>
                </c:pt>
                <c:pt idx="72">
                  <c:v>3647.011898713993</c:v>
                </c:pt>
                <c:pt idx="73">
                  <c:v>3656.583646870825</c:v>
                </c:pt>
                <c:pt idx="74">
                  <c:v>3648.153851807321</c:v>
                </c:pt>
                <c:pt idx="75">
                  <c:v>3639.724056743816</c:v>
                </c:pt>
                <c:pt idx="76">
                  <c:v>3631.294261680312</c:v>
                </c:pt>
                <c:pt idx="77">
                  <c:v>3622.864466616807</c:v>
                </c:pt>
                <c:pt idx="78">
                  <c:v>3614.434671553303</c:v>
                </c:pt>
                <c:pt idx="79">
                  <c:v>3606.004876489798</c:v>
                </c:pt>
                <c:pt idx="80">
                  <c:v>3597.575081426294</c:v>
                </c:pt>
                <c:pt idx="81">
                  <c:v>3589.14528636279</c:v>
                </c:pt>
                <c:pt idx="82">
                  <c:v>3580.715491299285</c:v>
                </c:pt>
                <c:pt idx="83">
                  <c:v>3572.285696235781</c:v>
                </c:pt>
                <c:pt idx="84">
                  <c:v>3563.855901172276</c:v>
                </c:pt>
                <c:pt idx="85">
                  <c:v>3555.426106108771</c:v>
                </c:pt>
                <c:pt idx="86">
                  <c:v>3546.996311045267</c:v>
                </c:pt>
                <c:pt idx="87">
                  <c:v>3538.566515981763</c:v>
                </c:pt>
                <c:pt idx="88">
                  <c:v>3530.136720918258</c:v>
                </c:pt>
                <c:pt idx="89">
                  <c:v>3521.706925854754</c:v>
                </c:pt>
                <c:pt idx="90">
                  <c:v>3513.277130791249</c:v>
                </c:pt>
                <c:pt idx="91">
                  <c:v>3504.847335727745</c:v>
                </c:pt>
                <c:pt idx="92">
                  <c:v>3496.41754066424</c:v>
                </c:pt>
                <c:pt idx="93">
                  <c:v>3487.987745600736</c:v>
                </c:pt>
                <c:pt idx="94">
                  <c:v>3496.418745600736</c:v>
                </c:pt>
                <c:pt idx="95">
                  <c:v>3504.849745600736</c:v>
                </c:pt>
                <c:pt idx="96">
                  <c:v>3513.280745600736</c:v>
                </c:pt>
                <c:pt idx="97">
                  <c:v>3521.711745600736</c:v>
                </c:pt>
                <c:pt idx="98">
                  <c:v>3530.142745600736</c:v>
                </c:pt>
                <c:pt idx="99">
                  <c:v>3538.573745600735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0.514262539422397</c:v>
                </c:pt>
                <c:pt idx="20">
                  <c:v>1.028525078844793</c:v>
                </c:pt>
                <c:pt idx="21">
                  <c:v>1.54278761826719</c:v>
                </c:pt>
                <c:pt idx="22">
                  <c:v>2.057050157689586</c:v>
                </c:pt>
                <c:pt idx="23">
                  <c:v>2.571312697111983</c:v>
                </c:pt>
                <c:pt idx="24">
                  <c:v>3.08557523653438</c:v>
                </c:pt>
                <c:pt idx="25">
                  <c:v>3.599837775956776</c:v>
                </c:pt>
                <c:pt idx="26">
                  <c:v>4.114100315379172</c:v>
                </c:pt>
                <c:pt idx="27">
                  <c:v>4.62836285480157</c:v>
                </c:pt>
                <c:pt idx="28">
                  <c:v>5.142625394223965</c:v>
                </c:pt>
                <c:pt idx="29">
                  <c:v>5.656887933646361</c:v>
                </c:pt>
                <c:pt idx="30">
                  <c:v>6.171150473068758</c:v>
                </c:pt>
                <c:pt idx="31">
                  <c:v>6.685413012491155</c:v>
                </c:pt>
                <c:pt idx="32">
                  <c:v>7.199675551913551</c:v>
                </c:pt>
                <c:pt idx="33">
                  <c:v>7.713938091335947</c:v>
                </c:pt>
                <c:pt idx="34">
                  <c:v>8.228200630758344</c:v>
                </c:pt>
                <c:pt idx="35">
                  <c:v>8.742463170180741</c:v>
                </c:pt>
                <c:pt idx="36">
                  <c:v>9.256725709603138</c:v>
                </c:pt>
                <c:pt idx="37">
                  <c:v>9.770988249025533</c:v>
                </c:pt>
                <c:pt idx="38">
                  <c:v>10.28525078844793</c:v>
                </c:pt>
                <c:pt idx="39">
                  <c:v>10.79951332787033</c:v>
                </c:pt>
                <c:pt idx="40">
                  <c:v>11.31377586729272</c:v>
                </c:pt>
                <c:pt idx="41">
                  <c:v>11.82803840671512</c:v>
                </c:pt>
                <c:pt idx="42">
                  <c:v>12.34230094613752</c:v>
                </c:pt>
                <c:pt idx="43">
                  <c:v>12.85656348555991</c:v>
                </c:pt>
                <c:pt idx="44">
                  <c:v>13.37082602498231</c:v>
                </c:pt>
                <c:pt idx="45">
                  <c:v>13.88508856440471</c:v>
                </c:pt>
                <c:pt idx="46">
                  <c:v>14.3993511038271</c:v>
                </c:pt>
                <c:pt idx="47">
                  <c:v>14.9136136432495</c:v>
                </c:pt>
                <c:pt idx="48">
                  <c:v>16.23269705686794</c:v>
                </c:pt>
                <c:pt idx="49">
                  <c:v>18.35660134468245</c:v>
                </c:pt>
                <c:pt idx="50">
                  <c:v>20.48050563249694</c:v>
                </c:pt>
                <c:pt idx="51">
                  <c:v>22.60440992031144</c:v>
                </c:pt>
                <c:pt idx="52">
                  <c:v>24.72831420812594</c:v>
                </c:pt>
                <c:pt idx="53">
                  <c:v>26.85221849594044</c:v>
                </c:pt>
                <c:pt idx="54">
                  <c:v>28.97612278375494</c:v>
                </c:pt>
                <c:pt idx="55">
                  <c:v>31.10002707156944</c:v>
                </c:pt>
                <c:pt idx="56">
                  <c:v>33.22393135938393</c:v>
                </c:pt>
                <c:pt idx="57">
                  <c:v>35.34783564719844</c:v>
                </c:pt>
                <c:pt idx="58">
                  <c:v>37.47173993501293</c:v>
                </c:pt>
                <c:pt idx="59">
                  <c:v>39.59564422282743</c:v>
                </c:pt>
                <c:pt idx="60">
                  <c:v>41.71954851064193</c:v>
                </c:pt>
                <c:pt idx="61">
                  <c:v>43.84345279845643</c:v>
                </c:pt>
                <c:pt idx="62">
                  <c:v>45.96735708627092</c:v>
                </c:pt>
                <c:pt idx="63">
                  <c:v>48.09126137408542</c:v>
                </c:pt>
                <c:pt idx="64">
                  <c:v>50.21516566189992</c:v>
                </c:pt>
                <c:pt idx="65">
                  <c:v>52.33906994971441</c:v>
                </c:pt>
                <c:pt idx="66">
                  <c:v>54.4629742375289</c:v>
                </c:pt>
                <c:pt idx="67">
                  <c:v>56.58687852534342</c:v>
                </c:pt>
                <c:pt idx="68">
                  <c:v>58.71078281315792</c:v>
                </c:pt>
                <c:pt idx="69">
                  <c:v>60.83468710097242</c:v>
                </c:pt>
                <c:pt idx="70">
                  <c:v>62.95859138878691</c:v>
                </c:pt>
                <c:pt idx="71">
                  <c:v>65.08249567660141</c:v>
                </c:pt>
                <c:pt idx="72">
                  <c:v>67.2063999644159</c:v>
                </c:pt>
                <c:pt idx="73">
                  <c:v>69.60966796953005</c:v>
                </c:pt>
                <c:pt idx="74">
                  <c:v>72.2922996919438</c:v>
                </c:pt>
                <c:pt idx="75">
                  <c:v>74.97493141435761</c:v>
                </c:pt>
                <c:pt idx="76">
                  <c:v>77.6575631367714</c:v>
                </c:pt>
                <c:pt idx="77">
                  <c:v>80.34019485918517</c:v>
                </c:pt>
                <c:pt idx="78">
                  <c:v>83.02282658159896</c:v>
                </c:pt>
                <c:pt idx="79">
                  <c:v>85.70545830401275</c:v>
                </c:pt>
                <c:pt idx="80">
                  <c:v>88.38809002642652</c:v>
                </c:pt>
                <c:pt idx="81">
                  <c:v>91.07072174884031</c:v>
                </c:pt>
                <c:pt idx="82">
                  <c:v>93.75335347125408</c:v>
                </c:pt>
                <c:pt idx="83">
                  <c:v>96.43598519366788</c:v>
                </c:pt>
                <c:pt idx="84">
                  <c:v>99.11861691608166</c:v>
                </c:pt>
                <c:pt idx="85">
                  <c:v>101.8012486384955</c:v>
                </c:pt>
                <c:pt idx="86">
                  <c:v>104.4838803609092</c:v>
                </c:pt>
                <c:pt idx="87">
                  <c:v>107.166512083323</c:v>
                </c:pt>
                <c:pt idx="88">
                  <c:v>109.8491438057368</c:v>
                </c:pt>
                <c:pt idx="89">
                  <c:v>112.5317755281506</c:v>
                </c:pt>
                <c:pt idx="90">
                  <c:v>115.2144072505644</c:v>
                </c:pt>
                <c:pt idx="91">
                  <c:v>117.8970389729781</c:v>
                </c:pt>
                <c:pt idx="92">
                  <c:v>120.5796706953919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102.8525078844793</c:v>
                </c:pt>
                <c:pt idx="20">
                  <c:v>205.7050157689586</c:v>
                </c:pt>
                <c:pt idx="21">
                  <c:v>308.5575236534379</c:v>
                </c:pt>
                <c:pt idx="22">
                  <c:v>411.4100315379172</c:v>
                </c:pt>
                <c:pt idx="23">
                  <c:v>514.2625394223966</c:v>
                </c:pt>
                <c:pt idx="24">
                  <c:v>617.1150473068757</c:v>
                </c:pt>
                <c:pt idx="25">
                  <c:v>719.9675551913551</c:v>
                </c:pt>
                <c:pt idx="26">
                  <c:v>822.8200630758345</c:v>
                </c:pt>
                <c:pt idx="27">
                  <c:v>925.6725709603138</c:v>
                </c:pt>
                <c:pt idx="28">
                  <c:v>1028.525078844793</c:v>
                </c:pt>
                <c:pt idx="29">
                  <c:v>1131.377586729272</c:v>
                </c:pt>
                <c:pt idx="30">
                  <c:v>1234.230094613752</c:v>
                </c:pt>
                <c:pt idx="31">
                  <c:v>1337.082602498231</c:v>
                </c:pt>
                <c:pt idx="32">
                  <c:v>1439.93511038271</c:v>
                </c:pt>
                <c:pt idx="33">
                  <c:v>1542.78761826719</c:v>
                </c:pt>
                <c:pt idx="34">
                  <c:v>1645.640126151669</c:v>
                </c:pt>
                <c:pt idx="35">
                  <c:v>1748.492634036148</c:v>
                </c:pt>
                <c:pt idx="36">
                  <c:v>1851.345141920628</c:v>
                </c:pt>
                <c:pt idx="37">
                  <c:v>1954.197649805107</c:v>
                </c:pt>
                <c:pt idx="38">
                  <c:v>2057.050157689586</c:v>
                </c:pt>
                <c:pt idx="39">
                  <c:v>2159.902665574065</c:v>
                </c:pt>
                <c:pt idx="40">
                  <c:v>2262.755173458545</c:v>
                </c:pt>
                <c:pt idx="41">
                  <c:v>2365.607681343024</c:v>
                </c:pt>
                <c:pt idx="42">
                  <c:v>2468.460189227503</c:v>
                </c:pt>
                <c:pt idx="43">
                  <c:v>2571.312697111983</c:v>
                </c:pt>
                <c:pt idx="44">
                  <c:v>2674.165204996462</c:v>
                </c:pt>
                <c:pt idx="45">
                  <c:v>2777.017712880941</c:v>
                </c:pt>
                <c:pt idx="46">
                  <c:v>2879.870220765421</c:v>
                </c:pt>
                <c:pt idx="47">
                  <c:v>2982.7227286499</c:v>
                </c:pt>
                <c:pt idx="48">
                  <c:v>3178.271059265266</c:v>
                </c:pt>
                <c:pt idx="49">
                  <c:v>3466.51521261152</c:v>
                </c:pt>
                <c:pt idx="50">
                  <c:v>3754.759365957773</c:v>
                </c:pt>
                <c:pt idx="51">
                  <c:v>4043.003519304026</c:v>
                </c:pt>
                <c:pt idx="52">
                  <c:v>4331.24767265028</c:v>
                </c:pt>
                <c:pt idx="53">
                  <c:v>4619.491825996532</c:v>
                </c:pt>
                <c:pt idx="54">
                  <c:v>4907.735979342786</c:v>
                </c:pt>
                <c:pt idx="55">
                  <c:v>5195.98013268904</c:v>
                </c:pt>
                <c:pt idx="56">
                  <c:v>5484.224286035292</c:v>
                </c:pt>
                <c:pt idx="57">
                  <c:v>5772.468439381546</c:v>
                </c:pt>
                <c:pt idx="58">
                  <c:v>6060.7125927278</c:v>
                </c:pt>
                <c:pt idx="59">
                  <c:v>6348.956746074053</c:v>
                </c:pt>
                <c:pt idx="60">
                  <c:v>6637.200899420306</c:v>
                </c:pt>
                <c:pt idx="61">
                  <c:v>6925.445052766559</c:v>
                </c:pt>
                <c:pt idx="62">
                  <c:v>7213.689206112812</c:v>
                </c:pt>
                <c:pt idx="63">
                  <c:v>7501.933359459066</c:v>
                </c:pt>
                <c:pt idx="64">
                  <c:v>7790.17751280532</c:v>
                </c:pt>
                <c:pt idx="65">
                  <c:v>8078.421666151572</c:v>
                </c:pt>
                <c:pt idx="66">
                  <c:v>8366.665819497826</c:v>
                </c:pt>
                <c:pt idx="67">
                  <c:v>8654.90997284408</c:v>
                </c:pt>
                <c:pt idx="68">
                  <c:v>8943.154126190333</c:v>
                </c:pt>
                <c:pt idx="69">
                  <c:v>9231.398279536586</c:v>
                </c:pt>
                <c:pt idx="70">
                  <c:v>9519.64243288284</c:v>
                </c:pt>
                <c:pt idx="71">
                  <c:v>9807.886586229093</c:v>
                </c:pt>
                <c:pt idx="72">
                  <c:v>10096.13073957534</c:v>
                </c:pt>
                <c:pt idx="73">
                  <c:v>11262.42800703028</c:v>
                </c:pt>
                <c:pt idx="74">
                  <c:v>13306.77838859388</c:v>
                </c:pt>
                <c:pt idx="75">
                  <c:v>15351.12877015749</c:v>
                </c:pt>
                <c:pt idx="76">
                  <c:v>17395.4791517211</c:v>
                </c:pt>
                <c:pt idx="77">
                  <c:v>19439.8295332847</c:v>
                </c:pt>
                <c:pt idx="78">
                  <c:v>21484.1799148483</c:v>
                </c:pt>
                <c:pt idx="79">
                  <c:v>23528.53029641191</c:v>
                </c:pt>
                <c:pt idx="80">
                  <c:v>25572.88067797552</c:v>
                </c:pt>
                <c:pt idx="81">
                  <c:v>27617.23105953912</c:v>
                </c:pt>
                <c:pt idx="82">
                  <c:v>29661.58144110273</c:v>
                </c:pt>
                <c:pt idx="83">
                  <c:v>31705.93182266634</c:v>
                </c:pt>
                <c:pt idx="84">
                  <c:v>33750.28220422994</c:v>
                </c:pt>
                <c:pt idx="85">
                  <c:v>35794.63258579355</c:v>
                </c:pt>
                <c:pt idx="86">
                  <c:v>37838.98296735715</c:v>
                </c:pt>
                <c:pt idx="87">
                  <c:v>39883.33334892076</c:v>
                </c:pt>
                <c:pt idx="88">
                  <c:v>41927.68373048436</c:v>
                </c:pt>
                <c:pt idx="89">
                  <c:v>43972.03411204797</c:v>
                </c:pt>
                <c:pt idx="90">
                  <c:v>46016.38449361158</c:v>
                </c:pt>
                <c:pt idx="91">
                  <c:v>48060.73487517518</c:v>
                </c:pt>
                <c:pt idx="92">
                  <c:v>50105.0852567388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191.5107766364652</c:v>
                </c:pt>
                <c:pt idx="20">
                  <c:v>206.3951445335106</c:v>
                </c:pt>
                <c:pt idx="21">
                  <c:v>221.2795124305561</c:v>
                </c:pt>
                <c:pt idx="22">
                  <c:v>236.1638803276016</c:v>
                </c:pt>
                <c:pt idx="23">
                  <c:v>251.048248224647</c:v>
                </c:pt>
                <c:pt idx="24">
                  <c:v>265.9326161216925</c:v>
                </c:pt>
                <c:pt idx="25">
                  <c:v>280.816984018738</c:v>
                </c:pt>
                <c:pt idx="26">
                  <c:v>295.7013519157834</c:v>
                </c:pt>
                <c:pt idx="27">
                  <c:v>310.5857198128289</c:v>
                </c:pt>
                <c:pt idx="28">
                  <c:v>325.4700877098744</c:v>
                </c:pt>
                <c:pt idx="29">
                  <c:v>340.3544556069198</c:v>
                </c:pt>
                <c:pt idx="30">
                  <c:v>355.2388235039653</c:v>
                </c:pt>
                <c:pt idx="31">
                  <c:v>370.1231914010108</c:v>
                </c:pt>
                <c:pt idx="32">
                  <c:v>385.0075592980563</c:v>
                </c:pt>
                <c:pt idx="33">
                  <c:v>399.8919271951017</c:v>
                </c:pt>
                <c:pt idx="34">
                  <c:v>414.7762950921472</c:v>
                </c:pt>
                <c:pt idx="35">
                  <c:v>429.6606629891927</c:v>
                </c:pt>
                <c:pt idx="36">
                  <c:v>444.5450308862381</c:v>
                </c:pt>
                <c:pt idx="37">
                  <c:v>459.4293987832836</c:v>
                </c:pt>
                <c:pt idx="38">
                  <c:v>474.3137666803291</c:v>
                </c:pt>
                <c:pt idx="39">
                  <c:v>489.1981345773746</c:v>
                </c:pt>
                <c:pt idx="40">
                  <c:v>504.08250247442</c:v>
                </c:pt>
                <c:pt idx="41">
                  <c:v>518.9668703714654</c:v>
                </c:pt>
                <c:pt idx="42">
                  <c:v>533.851238268511</c:v>
                </c:pt>
                <c:pt idx="43">
                  <c:v>548.7356061655564</c:v>
                </c:pt>
                <c:pt idx="44">
                  <c:v>563.6199740626018</c:v>
                </c:pt>
                <c:pt idx="45">
                  <c:v>578.5043419596473</c:v>
                </c:pt>
                <c:pt idx="46">
                  <c:v>593.388709856693</c:v>
                </c:pt>
                <c:pt idx="47">
                  <c:v>608.2730777537383</c:v>
                </c:pt>
                <c:pt idx="48">
                  <c:v>613.8216946256738</c:v>
                </c:pt>
                <c:pt idx="49">
                  <c:v>610.0345604724993</c:v>
                </c:pt>
                <c:pt idx="50">
                  <c:v>606.2474263193247</c:v>
                </c:pt>
                <c:pt idx="51">
                  <c:v>602.4602921661502</c:v>
                </c:pt>
                <c:pt idx="52">
                  <c:v>598.6731580129757</c:v>
                </c:pt>
                <c:pt idx="53">
                  <c:v>594.8860238598012</c:v>
                </c:pt>
                <c:pt idx="54">
                  <c:v>591.0988897066267</c:v>
                </c:pt>
                <c:pt idx="55">
                  <c:v>587.3117555534522</c:v>
                </c:pt>
                <c:pt idx="56">
                  <c:v>583.5246214002777</c:v>
                </c:pt>
                <c:pt idx="57">
                  <c:v>579.7374872471032</c:v>
                </c:pt>
                <c:pt idx="58">
                  <c:v>575.9503530939287</c:v>
                </c:pt>
                <c:pt idx="59">
                  <c:v>572.1632189407542</c:v>
                </c:pt>
                <c:pt idx="60">
                  <c:v>568.3760847875797</c:v>
                </c:pt>
                <c:pt idx="61">
                  <c:v>564.5889506344051</c:v>
                </c:pt>
                <c:pt idx="62">
                  <c:v>560.8018164812306</c:v>
                </c:pt>
                <c:pt idx="63">
                  <c:v>557.014682328056</c:v>
                </c:pt>
                <c:pt idx="64">
                  <c:v>553.2275481748816</c:v>
                </c:pt>
                <c:pt idx="65">
                  <c:v>549.4404140217071</c:v>
                </c:pt>
                <c:pt idx="66">
                  <c:v>545.6532798685325</c:v>
                </c:pt>
                <c:pt idx="67">
                  <c:v>541.866145715358</c:v>
                </c:pt>
                <c:pt idx="68">
                  <c:v>538.0790115621836</c:v>
                </c:pt>
                <c:pt idx="69">
                  <c:v>534.291877409009</c:v>
                </c:pt>
                <c:pt idx="70">
                  <c:v>530.5047432558345</c:v>
                </c:pt>
                <c:pt idx="71">
                  <c:v>526.71760910266</c:v>
                </c:pt>
                <c:pt idx="72">
                  <c:v>522.9304749494855</c:v>
                </c:pt>
                <c:pt idx="73">
                  <c:v>512.6366517964719</c:v>
                </c:pt>
                <c:pt idx="74">
                  <c:v>495.8361396436193</c:v>
                </c:pt>
                <c:pt idx="75">
                  <c:v>479.0356274907667</c:v>
                </c:pt>
                <c:pt idx="76">
                  <c:v>462.2351153379141</c:v>
                </c:pt>
                <c:pt idx="77">
                  <c:v>445.4346031850615</c:v>
                </c:pt>
                <c:pt idx="78">
                  <c:v>428.6340910322089</c:v>
                </c:pt>
                <c:pt idx="79">
                  <c:v>411.8335788793562</c:v>
                </c:pt>
                <c:pt idx="80">
                  <c:v>395.0330667265036</c:v>
                </c:pt>
                <c:pt idx="81">
                  <c:v>378.232554573651</c:v>
                </c:pt>
                <c:pt idx="82">
                  <c:v>361.4320424207984</c:v>
                </c:pt>
                <c:pt idx="83">
                  <c:v>344.6315302679458</c:v>
                </c:pt>
                <c:pt idx="84">
                  <c:v>327.8310181150931</c:v>
                </c:pt>
                <c:pt idx="85">
                  <c:v>311.0305059622406</c:v>
                </c:pt>
                <c:pt idx="86">
                  <c:v>294.229993809388</c:v>
                </c:pt>
                <c:pt idx="87">
                  <c:v>277.4294816565353</c:v>
                </c:pt>
                <c:pt idx="88">
                  <c:v>260.6289695036827</c:v>
                </c:pt>
                <c:pt idx="89">
                  <c:v>243.82845735083</c:v>
                </c:pt>
                <c:pt idx="90">
                  <c:v>227.0279451979774</c:v>
                </c:pt>
                <c:pt idx="91">
                  <c:v>210.2274330451248</c:v>
                </c:pt>
                <c:pt idx="92">
                  <c:v>193.4269208922722</c:v>
                </c:pt>
                <c:pt idx="93">
                  <c:v>176.6264087394196</c:v>
                </c:pt>
                <c:pt idx="94">
                  <c:v>228.8164087394195</c:v>
                </c:pt>
                <c:pt idx="95">
                  <c:v>281.0064087394194</c:v>
                </c:pt>
                <c:pt idx="96">
                  <c:v>333.1964087394193</c:v>
                </c:pt>
                <c:pt idx="97">
                  <c:v>385.3864087394192</c:v>
                </c:pt>
                <c:pt idx="98">
                  <c:v>437.5764087394191</c:v>
                </c:pt>
                <c:pt idx="99">
                  <c:v>489.766408739419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2671.7</c:v>
                </c:pt>
                <c:pt idx="95">
                  <c:v>5343.4</c:v>
                </c:pt>
                <c:pt idx="96">
                  <c:v>8015.1</c:v>
                </c:pt>
                <c:pt idx="97">
                  <c:v>10686.8</c:v>
                </c:pt>
                <c:pt idx="98">
                  <c:v>13358.5</c:v>
                </c:pt>
                <c:pt idx="99">
                  <c:v>16030.2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829.53</c:v>
                </c:pt>
                <c:pt idx="95">
                  <c:v>1659.06</c:v>
                </c:pt>
                <c:pt idx="96">
                  <c:v>2488.59</c:v>
                </c:pt>
                <c:pt idx="97">
                  <c:v>3318.12</c:v>
                </c:pt>
                <c:pt idx="98">
                  <c:v>4147.65</c:v>
                </c:pt>
                <c:pt idx="99">
                  <c:v>4977.18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5770.02569231929</c:v>
                </c:pt>
                <c:pt idx="20">
                  <c:v>6078.583215972728</c:v>
                </c:pt>
                <c:pt idx="21">
                  <c:v>6387.140739626166</c:v>
                </c:pt>
                <c:pt idx="22">
                  <c:v>6695.698263279604</c:v>
                </c:pt>
                <c:pt idx="23">
                  <c:v>7004.255786933041</c:v>
                </c:pt>
                <c:pt idx="24">
                  <c:v>7312.81331058648</c:v>
                </c:pt>
                <c:pt idx="25">
                  <c:v>7621.370834239917</c:v>
                </c:pt>
                <c:pt idx="26">
                  <c:v>7929.928357893355</c:v>
                </c:pt>
                <c:pt idx="27">
                  <c:v>8238.485881546792</c:v>
                </c:pt>
                <c:pt idx="28">
                  <c:v>8547.04340520023</c:v>
                </c:pt>
                <c:pt idx="29">
                  <c:v>8855.60092885367</c:v>
                </c:pt>
                <c:pt idx="30">
                  <c:v>9164.158452507106</c:v>
                </c:pt>
                <c:pt idx="31">
                  <c:v>9472.715976160545</c:v>
                </c:pt>
                <c:pt idx="32">
                  <c:v>9781.27349981398</c:v>
                </c:pt>
                <c:pt idx="33">
                  <c:v>10089.83102346742</c:v>
                </c:pt>
                <c:pt idx="34">
                  <c:v>10398.38854712086</c:v>
                </c:pt>
                <c:pt idx="35">
                  <c:v>10706.9460707743</c:v>
                </c:pt>
                <c:pt idx="36">
                  <c:v>11015.50359442773</c:v>
                </c:pt>
                <c:pt idx="37">
                  <c:v>11324.06111808117</c:v>
                </c:pt>
                <c:pt idx="38">
                  <c:v>11632.61864173461</c:v>
                </c:pt>
                <c:pt idx="39">
                  <c:v>11941.17616538805</c:v>
                </c:pt>
                <c:pt idx="40">
                  <c:v>12249.73368904149</c:v>
                </c:pt>
                <c:pt idx="41">
                  <c:v>12558.29121269492</c:v>
                </c:pt>
                <c:pt idx="42">
                  <c:v>12866.84873634836</c:v>
                </c:pt>
                <c:pt idx="43">
                  <c:v>13175.4062600018</c:v>
                </c:pt>
                <c:pt idx="44">
                  <c:v>13483.96378365524</c:v>
                </c:pt>
                <c:pt idx="45">
                  <c:v>13792.52130730867</c:v>
                </c:pt>
                <c:pt idx="46">
                  <c:v>14101.07883096211</c:v>
                </c:pt>
                <c:pt idx="47">
                  <c:v>14409.63635461555</c:v>
                </c:pt>
                <c:pt idx="48">
                  <c:v>14928.01299435333</c:v>
                </c:pt>
                <c:pt idx="49">
                  <c:v>15656.20875017544</c:v>
                </c:pt>
                <c:pt idx="50">
                  <c:v>16384.40450599755</c:v>
                </c:pt>
                <c:pt idx="51">
                  <c:v>17112.60026181967</c:v>
                </c:pt>
                <c:pt idx="52">
                  <c:v>17840.79601764178</c:v>
                </c:pt>
                <c:pt idx="53">
                  <c:v>18568.9917734639</c:v>
                </c:pt>
                <c:pt idx="54">
                  <c:v>19297.18752928601</c:v>
                </c:pt>
                <c:pt idx="55">
                  <c:v>20025.38328510812</c:v>
                </c:pt>
                <c:pt idx="56">
                  <c:v>20753.57904093024</c:v>
                </c:pt>
                <c:pt idx="57">
                  <c:v>21481.77479675235</c:v>
                </c:pt>
                <c:pt idx="58">
                  <c:v>22209.97055257446</c:v>
                </c:pt>
                <c:pt idx="59">
                  <c:v>22938.16630839658</c:v>
                </c:pt>
                <c:pt idx="60">
                  <c:v>23666.3620642187</c:v>
                </c:pt>
                <c:pt idx="61">
                  <c:v>24394.55782004081</c:v>
                </c:pt>
                <c:pt idx="62">
                  <c:v>25122.75357586292</c:v>
                </c:pt>
                <c:pt idx="63">
                  <c:v>25850.94933168503</c:v>
                </c:pt>
                <c:pt idx="64">
                  <c:v>26579.14508750715</c:v>
                </c:pt>
                <c:pt idx="65">
                  <c:v>27307.34084332926</c:v>
                </c:pt>
                <c:pt idx="66">
                  <c:v>28035.53659915138</c:v>
                </c:pt>
                <c:pt idx="67">
                  <c:v>28763.73235497349</c:v>
                </c:pt>
                <c:pt idx="68">
                  <c:v>29491.9281107956</c:v>
                </c:pt>
                <c:pt idx="69">
                  <c:v>30220.12386661772</c:v>
                </c:pt>
                <c:pt idx="70">
                  <c:v>30948.31962243983</c:v>
                </c:pt>
                <c:pt idx="71">
                  <c:v>31676.51537826195</c:v>
                </c:pt>
                <c:pt idx="72">
                  <c:v>32404.71113408406</c:v>
                </c:pt>
                <c:pt idx="73">
                  <c:v>33449.82745131961</c:v>
                </c:pt>
                <c:pt idx="74">
                  <c:v>34811.8643299686</c:v>
                </c:pt>
                <c:pt idx="75">
                  <c:v>36173.90120861758</c:v>
                </c:pt>
                <c:pt idx="76">
                  <c:v>37535.93808726655</c:v>
                </c:pt>
                <c:pt idx="77">
                  <c:v>38897.97496591554</c:v>
                </c:pt>
                <c:pt idx="78">
                  <c:v>40260.01184456453</c:v>
                </c:pt>
                <c:pt idx="79">
                  <c:v>41622.04872321351</c:v>
                </c:pt>
                <c:pt idx="80">
                  <c:v>42984.08560186249</c:v>
                </c:pt>
                <c:pt idx="81">
                  <c:v>44346.12248051148</c:v>
                </c:pt>
                <c:pt idx="82">
                  <c:v>45708.15935916046</c:v>
                </c:pt>
                <c:pt idx="83">
                  <c:v>47070.19623780945</c:v>
                </c:pt>
                <c:pt idx="84">
                  <c:v>48432.23311645843</c:v>
                </c:pt>
                <c:pt idx="85">
                  <c:v>49794.26999510742</c:v>
                </c:pt>
                <c:pt idx="86">
                  <c:v>51156.3068737564</c:v>
                </c:pt>
                <c:pt idx="87">
                  <c:v>52518.34375240539</c:v>
                </c:pt>
                <c:pt idx="88">
                  <c:v>53880.38063105436</c:v>
                </c:pt>
                <c:pt idx="89">
                  <c:v>55242.41750970335</c:v>
                </c:pt>
                <c:pt idx="90">
                  <c:v>56604.45438835232</c:v>
                </c:pt>
                <c:pt idx="91">
                  <c:v>57966.49126700131</c:v>
                </c:pt>
                <c:pt idx="92">
                  <c:v>59328.5281456503</c:v>
                </c:pt>
                <c:pt idx="93">
                  <c:v>60690.56502429929</c:v>
                </c:pt>
                <c:pt idx="94">
                  <c:v>66894.06502429928</c:v>
                </c:pt>
                <c:pt idx="95">
                  <c:v>73097.56502429928</c:v>
                </c:pt>
                <c:pt idx="96">
                  <c:v>79301.06502429928</c:v>
                </c:pt>
                <c:pt idx="97">
                  <c:v>85504.56502429928</c:v>
                </c:pt>
                <c:pt idx="98">
                  <c:v>91708.06502429928</c:v>
                </c:pt>
                <c:pt idx="99">
                  <c:v>97911.56502429928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1666.770698034593</c:v>
                </c:pt>
                <c:pt idx="74">
                  <c:v>1635.999546686262</c:v>
                </c:pt>
                <c:pt idx="75">
                  <c:v>1605.228395337931</c:v>
                </c:pt>
                <c:pt idx="76">
                  <c:v>1574.4572439896</c:v>
                </c:pt>
                <c:pt idx="77">
                  <c:v>1543.68609264127</c:v>
                </c:pt>
                <c:pt idx="78">
                  <c:v>1512.914941292938</c:v>
                </c:pt>
                <c:pt idx="79">
                  <c:v>1482.143789944607</c:v>
                </c:pt>
                <c:pt idx="80">
                  <c:v>1451.372638596276</c:v>
                </c:pt>
                <c:pt idx="81">
                  <c:v>1420.601487247945</c:v>
                </c:pt>
                <c:pt idx="82">
                  <c:v>1389.830335899615</c:v>
                </c:pt>
                <c:pt idx="83">
                  <c:v>1359.059184551284</c:v>
                </c:pt>
                <c:pt idx="84">
                  <c:v>1328.288033202953</c:v>
                </c:pt>
                <c:pt idx="85">
                  <c:v>1297.516881854622</c:v>
                </c:pt>
                <c:pt idx="86">
                  <c:v>1266.745730506291</c:v>
                </c:pt>
                <c:pt idx="87">
                  <c:v>1235.97457915796</c:v>
                </c:pt>
                <c:pt idx="88">
                  <c:v>1205.203427809629</c:v>
                </c:pt>
                <c:pt idx="89">
                  <c:v>1174.432276461298</c:v>
                </c:pt>
                <c:pt idx="90">
                  <c:v>1143.661125112967</c:v>
                </c:pt>
                <c:pt idx="91">
                  <c:v>1112.889973764636</c:v>
                </c:pt>
                <c:pt idx="92">
                  <c:v>1082.118822416305</c:v>
                </c:pt>
                <c:pt idx="93">
                  <c:v>1051.347671067974</c:v>
                </c:pt>
                <c:pt idx="94">
                  <c:v>1066.077671067974</c:v>
                </c:pt>
                <c:pt idx="95">
                  <c:v>1080.807671067974</c:v>
                </c:pt>
                <c:pt idx="96">
                  <c:v>1095.537671067974</c:v>
                </c:pt>
                <c:pt idx="97">
                  <c:v>1110.267671067974</c:v>
                </c:pt>
                <c:pt idx="98">
                  <c:v>1124.997671067974</c:v>
                </c:pt>
                <c:pt idx="99">
                  <c:v>1139.727671067974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23910.5740555005</c:v>
                </c:pt>
                <c:pt idx="74">
                  <c:v>24034.90016015306</c:v>
                </c:pt>
                <c:pt idx="75">
                  <c:v>24159.22626480561</c:v>
                </c:pt>
                <c:pt idx="76">
                  <c:v>24283.55236945817</c:v>
                </c:pt>
                <c:pt idx="77">
                  <c:v>24407.87847411072</c:v>
                </c:pt>
                <c:pt idx="78">
                  <c:v>24532.20457876328</c:v>
                </c:pt>
                <c:pt idx="79">
                  <c:v>24656.53068341584</c:v>
                </c:pt>
                <c:pt idx="80">
                  <c:v>24780.8567880684</c:v>
                </c:pt>
                <c:pt idx="81">
                  <c:v>24905.18289272094</c:v>
                </c:pt>
                <c:pt idx="82">
                  <c:v>25029.5089973735</c:v>
                </c:pt>
                <c:pt idx="83">
                  <c:v>25153.83510202606</c:v>
                </c:pt>
                <c:pt idx="84">
                  <c:v>25278.16120667861</c:v>
                </c:pt>
                <c:pt idx="85">
                  <c:v>25402.48731133117</c:v>
                </c:pt>
                <c:pt idx="86">
                  <c:v>25526.81341598372</c:v>
                </c:pt>
                <c:pt idx="87">
                  <c:v>25651.13952063628</c:v>
                </c:pt>
                <c:pt idx="88">
                  <c:v>25775.46562528884</c:v>
                </c:pt>
                <c:pt idx="89">
                  <c:v>25899.79172994139</c:v>
                </c:pt>
                <c:pt idx="90">
                  <c:v>26024.11783459395</c:v>
                </c:pt>
                <c:pt idx="91">
                  <c:v>26148.44393924651</c:v>
                </c:pt>
                <c:pt idx="92">
                  <c:v>26272.77004389906</c:v>
                </c:pt>
                <c:pt idx="93">
                  <c:v>26397.09614855162</c:v>
                </c:pt>
                <c:pt idx="94">
                  <c:v>25269.26614855161</c:v>
                </c:pt>
                <c:pt idx="95">
                  <c:v>24141.43614855162</c:v>
                </c:pt>
                <c:pt idx="96">
                  <c:v>23013.60614855162</c:v>
                </c:pt>
                <c:pt idx="97">
                  <c:v>21885.77614855162</c:v>
                </c:pt>
                <c:pt idx="98">
                  <c:v>20757.94614855161</c:v>
                </c:pt>
                <c:pt idx="99">
                  <c:v>19630.11614855162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9195.01420487245</c:v>
                </c:pt>
                <c:pt idx="20">
                  <c:v>9287.581461968482</c:v>
                </c:pt>
                <c:pt idx="21">
                  <c:v>9380.148719064513</c:v>
                </c:pt>
                <c:pt idx="22">
                  <c:v>9472.715976160545</c:v>
                </c:pt>
                <c:pt idx="23">
                  <c:v>9565.283233256575</c:v>
                </c:pt>
                <c:pt idx="24">
                  <c:v>9657.850490352608</c:v>
                </c:pt>
                <c:pt idx="25">
                  <c:v>9750.417747448639</c:v>
                </c:pt>
                <c:pt idx="26">
                  <c:v>9842.985004544671</c:v>
                </c:pt>
                <c:pt idx="27">
                  <c:v>9935.552261640701</c:v>
                </c:pt>
                <c:pt idx="28">
                  <c:v>10028.11951873673</c:v>
                </c:pt>
                <c:pt idx="29">
                  <c:v>10120.68677583276</c:v>
                </c:pt>
                <c:pt idx="30">
                  <c:v>10213.2540329288</c:v>
                </c:pt>
                <c:pt idx="31">
                  <c:v>10305.82129002483</c:v>
                </c:pt>
                <c:pt idx="32">
                  <c:v>10398.38854712086</c:v>
                </c:pt>
                <c:pt idx="33">
                  <c:v>10490.95580421689</c:v>
                </c:pt>
                <c:pt idx="34">
                  <c:v>10583.52306131292</c:v>
                </c:pt>
                <c:pt idx="35">
                  <c:v>10676.09031840895</c:v>
                </c:pt>
                <c:pt idx="36">
                  <c:v>10768.65757550499</c:v>
                </c:pt>
                <c:pt idx="37">
                  <c:v>10861.22483260102</c:v>
                </c:pt>
                <c:pt idx="38">
                  <c:v>10953.79208969705</c:v>
                </c:pt>
                <c:pt idx="39">
                  <c:v>11046.35934679308</c:v>
                </c:pt>
                <c:pt idx="40">
                  <c:v>11138.92660388911</c:v>
                </c:pt>
                <c:pt idx="41">
                  <c:v>11231.49386098514</c:v>
                </c:pt>
                <c:pt idx="42">
                  <c:v>11324.06111808117</c:v>
                </c:pt>
                <c:pt idx="43">
                  <c:v>11416.6283751772</c:v>
                </c:pt>
                <c:pt idx="44">
                  <c:v>11509.19563227324</c:v>
                </c:pt>
                <c:pt idx="45">
                  <c:v>11601.76288936927</c:v>
                </c:pt>
                <c:pt idx="46">
                  <c:v>11694.3301464653</c:v>
                </c:pt>
                <c:pt idx="47">
                  <c:v>11786.89740356133</c:v>
                </c:pt>
                <c:pt idx="48">
                  <c:v>11596.51741146716</c:v>
                </c:pt>
                <c:pt idx="49">
                  <c:v>11123.19017018278</c:v>
                </c:pt>
                <c:pt idx="50">
                  <c:v>10649.86292889841</c:v>
                </c:pt>
                <c:pt idx="51">
                  <c:v>10176.53568761404</c:v>
                </c:pt>
                <c:pt idx="52">
                  <c:v>9703.20844632966</c:v>
                </c:pt>
                <c:pt idx="53">
                  <c:v>9229.881205045289</c:v>
                </c:pt>
                <c:pt idx="54">
                  <c:v>8756.553963760914</c:v>
                </c:pt>
                <c:pt idx="55">
                  <c:v>8283.22672247654</c:v>
                </c:pt>
                <c:pt idx="56">
                  <c:v>7809.899481192167</c:v>
                </c:pt>
                <c:pt idx="57">
                  <c:v>7336.572239907794</c:v>
                </c:pt>
                <c:pt idx="58">
                  <c:v>6863.244998623421</c:v>
                </c:pt>
                <c:pt idx="59">
                  <c:v>6389.917757339046</c:v>
                </c:pt>
                <c:pt idx="60">
                  <c:v>5916.590516054672</c:v>
                </c:pt>
                <c:pt idx="61">
                  <c:v>5443.263274770298</c:v>
                </c:pt>
                <c:pt idx="62">
                  <c:v>4969.936033485924</c:v>
                </c:pt>
                <c:pt idx="63">
                  <c:v>4496.608792201551</c:v>
                </c:pt>
                <c:pt idx="64">
                  <c:v>4023.281550917177</c:v>
                </c:pt>
                <c:pt idx="65">
                  <c:v>3549.954309632803</c:v>
                </c:pt>
                <c:pt idx="66">
                  <c:v>3076.62706834843</c:v>
                </c:pt>
                <c:pt idx="67">
                  <c:v>2603.299827064056</c:v>
                </c:pt>
                <c:pt idx="68">
                  <c:v>2129.972585779682</c:v>
                </c:pt>
                <c:pt idx="69">
                  <c:v>1656.645344495308</c:v>
                </c:pt>
                <c:pt idx="70">
                  <c:v>1183.318103210935</c:v>
                </c:pt>
                <c:pt idx="71">
                  <c:v>709.9908619265606</c:v>
                </c:pt>
                <c:pt idx="72">
                  <c:v>236.6636206421863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296.33</c:v>
                </c:pt>
                <c:pt idx="95">
                  <c:v>592.66</c:v>
                </c:pt>
                <c:pt idx="96">
                  <c:v>888.99</c:v>
                </c:pt>
                <c:pt idx="97">
                  <c:v>1185.32</c:v>
                </c:pt>
                <c:pt idx="98">
                  <c:v>1481.65</c:v>
                </c:pt>
                <c:pt idx="99">
                  <c:v>1777.98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6249528"/>
        <c:axId val="-204625439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44636.79842908461</c:v>
                </c:pt>
                <c:pt idx="1">
                  <c:v>44636.79842908461</c:v>
                </c:pt>
                <c:pt idx="2">
                  <c:v>44636.79842908461</c:v>
                </c:pt>
                <c:pt idx="3">
                  <c:v>44636.79842908461</c:v>
                </c:pt>
                <c:pt idx="4">
                  <c:v>44636.79842908461</c:v>
                </c:pt>
                <c:pt idx="5">
                  <c:v>44636.79842908461</c:v>
                </c:pt>
                <c:pt idx="6">
                  <c:v>44636.79842908461</c:v>
                </c:pt>
                <c:pt idx="7">
                  <c:v>44636.79842908461</c:v>
                </c:pt>
                <c:pt idx="8">
                  <c:v>44636.79842908461</c:v>
                </c:pt>
                <c:pt idx="9">
                  <c:v>44636.79842908461</c:v>
                </c:pt>
                <c:pt idx="10">
                  <c:v>44636.79842908461</c:v>
                </c:pt>
                <c:pt idx="11">
                  <c:v>44636.79842908461</c:v>
                </c:pt>
                <c:pt idx="12">
                  <c:v>44636.79842908461</c:v>
                </c:pt>
                <c:pt idx="13">
                  <c:v>44636.79842908461</c:v>
                </c:pt>
                <c:pt idx="14">
                  <c:v>44636.79842908461</c:v>
                </c:pt>
                <c:pt idx="15">
                  <c:v>44636.79842908461</c:v>
                </c:pt>
                <c:pt idx="16">
                  <c:v>44636.79842908461</c:v>
                </c:pt>
                <c:pt idx="17">
                  <c:v>44636.79842908461</c:v>
                </c:pt>
                <c:pt idx="18">
                  <c:v>44636.79842908461</c:v>
                </c:pt>
                <c:pt idx="19">
                  <c:v>45198.90710863595</c:v>
                </c:pt>
                <c:pt idx="20">
                  <c:v>45761.01578818729</c:v>
                </c:pt>
                <c:pt idx="21">
                  <c:v>46323.12446773863</c:v>
                </c:pt>
                <c:pt idx="22">
                  <c:v>46885.23314728997</c:v>
                </c:pt>
                <c:pt idx="23">
                  <c:v>47447.34182684131</c:v>
                </c:pt>
                <c:pt idx="24">
                  <c:v>48009.45050639264</c:v>
                </c:pt>
                <c:pt idx="25">
                  <c:v>48571.55918594399</c:v>
                </c:pt>
                <c:pt idx="26">
                  <c:v>49133.66786549534</c:v>
                </c:pt>
                <c:pt idx="27">
                  <c:v>49695.77654504667</c:v>
                </c:pt>
                <c:pt idx="28">
                  <c:v>50257.88522459801</c:v>
                </c:pt>
                <c:pt idx="29">
                  <c:v>50819.99390414936</c:v>
                </c:pt>
                <c:pt idx="30">
                  <c:v>51382.10258370069</c:v>
                </c:pt>
                <c:pt idx="31">
                  <c:v>51944.21126325203</c:v>
                </c:pt>
                <c:pt idx="32">
                  <c:v>52506.31994280337</c:v>
                </c:pt>
                <c:pt idx="33">
                  <c:v>53068.42862235471</c:v>
                </c:pt>
                <c:pt idx="34">
                  <c:v>53630.53730190605</c:v>
                </c:pt>
                <c:pt idx="35">
                  <c:v>54192.64598145739</c:v>
                </c:pt>
                <c:pt idx="36">
                  <c:v>54754.75466100873</c:v>
                </c:pt>
                <c:pt idx="37">
                  <c:v>55316.86334056007</c:v>
                </c:pt>
                <c:pt idx="38">
                  <c:v>55878.97202011141</c:v>
                </c:pt>
                <c:pt idx="39">
                  <c:v>56441.08069966275</c:v>
                </c:pt>
                <c:pt idx="40">
                  <c:v>57003.1893792141</c:v>
                </c:pt>
                <c:pt idx="41">
                  <c:v>57565.29805876543</c:v>
                </c:pt>
                <c:pt idx="42">
                  <c:v>58127.40673831677</c:v>
                </c:pt>
                <c:pt idx="43">
                  <c:v>58689.51541786812</c:v>
                </c:pt>
                <c:pt idx="44">
                  <c:v>59251.62409741946</c:v>
                </c:pt>
                <c:pt idx="45">
                  <c:v>59813.7327769708</c:v>
                </c:pt>
                <c:pt idx="46">
                  <c:v>60375.84145652213</c:v>
                </c:pt>
                <c:pt idx="47">
                  <c:v>60937.95013607347</c:v>
                </c:pt>
                <c:pt idx="48">
                  <c:v>61558.28220222661</c:v>
                </c:pt>
                <c:pt idx="49">
                  <c:v>62236.83765498153</c:v>
                </c:pt>
                <c:pt idx="50">
                  <c:v>62915.39310773644</c:v>
                </c:pt>
                <c:pt idx="51">
                  <c:v>63593.94856049135</c:v>
                </c:pt>
                <c:pt idx="52">
                  <c:v>64272.50401324628</c:v>
                </c:pt>
                <c:pt idx="53">
                  <c:v>64951.05946600121</c:v>
                </c:pt>
                <c:pt idx="54">
                  <c:v>65629.61491875612</c:v>
                </c:pt>
                <c:pt idx="55">
                  <c:v>66308.17037151103</c:v>
                </c:pt>
                <c:pt idx="56">
                  <c:v>66986.72582426597</c:v>
                </c:pt>
                <c:pt idx="57">
                  <c:v>67665.28127702088</c:v>
                </c:pt>
                <c:pt idx="58">
                  <c:v>68343.8367297758</c:v>
                </c:pt>
                <c:pt idx="59">
                  <c:v>69022.39218253073</c:v>
                </c:pt>
                <c:pt idx="60">
                  <c:v>69700.94763528566</c:v>
                </c:pt>
                <c:pt idx="61">
                  <c:v>70379.50308804057</c:v>
                </c:pt>
                <c:pt idx="62">
                  <c:v>71058.0585407955</c:v>
                </c:pt>
                <c:pt idx="63">
                  <c:v>71736.61399355042</c:v>
                </c:pt>
                <c:pt idx="64">
                  <c:v>72415.1694463053</c:v>
                </c:pt>
                <c:pt idx="65">
                  <c:v>73093.72489906024</c:v>
                </c:pt>
                <c:pt idx="66">
                  <c:v>73772.28035181517</c:v>
                </c:pt>
                <c:pt idx="67">
                  <c:v>74450.83580457009</c:v>
                </c:pt>
                <c:pt idx="68">
                  <c:v>75129.39125732501</c:v>
                </c:pt>
                <c:pt idx="69">
                  <c:v>75807.94671007994</c:v>
                </c:pt>
                <c:pt idx="70">
                  <c:v>76486.50216283486</c:v>
                </c:pt>
                <c:pt idx="71">
                  <c:v>77165.05761558977</c:v>
                </c:pt>
                <c:pt idx="72">
                  <c:v>77843.61306834468</c:v>
                </c:pt>
                <c:pt idx="73">
                  <c:v>80606.64160746685</c:v>
                </c:pt>
                <c:pt idx="74">
                  <c:v>85454.14323295622</c:v>
                </c:pt>
                <c:pt idx="75">
                  <c:v>90301.6448584456</c:v>
                </c:pt>
                <c:pt idx="76">
                  <c:v>95149.14648393496</c:v>
                </c:pt>
                <c:pt idx="77">
                  <c:v>99996.64810942432</c:v>
                </c:pt>
                <c:pt idx="78">
                  <c:v>104844.1497349137</c:v>
                </c:pt>
                <c:pt idx="79">
                  <c:v>109691.6513604031</c:v>
                </c:pt>
                <c:pt idx="80">
                  <c:v>114539.1529858925</c:v>
                </c:pt>
                <c:pt idx="81">
                  <c:v>119386.6546113818</c:v>
                </c:pt>
                <c:pt idx="82">
                  <c:v>124234.1562368712</c:v>
                </c:pt>
                <c:pt idx="83">
                  <c:v>129081.6578623606</c:v>
                </c:pt>
                <c:pt idx="84">
                  <c:v>133929.15948785</c:v>
                </c:pt>
                <c:pt idx="85">
                  <c:v>138776.6611133394</c:v>
                </c:pt>
                <c:pt idx="86">
                  <c:v>143624.1627388287</c:v>
                </c:pt>
                <c:pt idx="87">
                  <c:v>148471.6643643181</c:v>
                </c:pt>
                <c:pt idx="88">
                  <c:v>153319.1659898074</c:v>
                </c:pt>
                <c:pt idx="89">
                  <c:v>158166.6676152968</c:v>
                </c:pt>
                <c:pt idx="90">
                  <c:v>163014.1692407862</c:v>
                </c:pt>
                <c:pt idx="91">
                  <c:v>167861.6708662756</c:v>
                </c:pt>
                <c:pt idx="92">
                  <c:v>172709.172491765</c:v>
                </c:pt>
                <c:pt idx="93">
                  <c:v>177556.6741172544</c:v>
                </c:pt>
                <c:pt idx="94">
                  <c:v>187336.4751172543</c:v>
                </c:pt>
                <c:pt idx="95">
                  <c:v>197116.2761172544</c:v>
                </c:pt>
                <c:pt idx="96">
                  <c:v>206896.0771172544</c:v>
                </c:pt>
                <c:pt idx="97">
                  <c:v>216675.8781172544</c:v>
                </c:pt>
                <c:pt idx="98">
                  <c:v>226455.6791172544</c:v>
                </c:pt>
                <c:pt idx="99">
                  <c:v>236235.4801172544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249528"/>
        <c:axId val="-2046254392"/>
      </c:lineChart>
      <c:catAx>
        <c:axId val="-2046249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62543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62543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624952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0.135562640099626</c:v>
                </c:pt>
                <c:pt idx="1">
                  <c:v>0.0677813200498132</c:v>
                </c:pt>
                <c:pt idx="2" formatCode="0.0%">
                  <c:v>0.0677813200498132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0.0619156288916563</c:v>
                </c:pt>
                <c:pt idx="1">
                  <c:v>0.0309578144458281</c:v>
                </c:pt>
                <c:pt idx="2" formatCode="0.0%">
                  <c:v>0.0309578144458281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0.0520482328767123</c:v>
                </c:pt>
                <c:pt idx="1">
                  <c:v>0.0567325738356164</c:v>
                </c:pt>
                <c:pt idx="2" formatCode="0.0%">
                  <c:v>-0.0254128775949983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0.0199433499377335</c:v>
                </c:pt>
                <c:pt idx="1">
                  <c:v>0.0199433499377335</c:v>
                </c:pt>
                <c:pt idx="2" formatCode="0.0%">
                  <c:v>0.0199433499377335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0.0198846930261519</c:v>
                </c:pt>
                <c:pt idx="1">
                  <c:v>0.0198846930261519</c:v>
                </c:pt>
                <c:pt idx="2" formatCode="0.0%">
                  <c:v>0.0206810736207698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0.0603286335616438</c:v>
                </c:pt>
                <c:pt idx="1">
                  <c:v>0.0603286335616438</c:v>
                </c:pt>
                <c:pt idx="2" formatCode="0.0%">
                  <c:v>0.0603286335616438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0.000733211394769614</c:v>
                </c:pt>
                <c:pt idx="1">
                  <c:v>0.000733211394769614</c:v>
                </c:pt>
                <c:pt idx="2" formatCode="0.0%">
                  <c:v>0.000733211394769614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0.0019123599003736</c:v>
                </c:pt>
                <c:pt idx="1">
                  <c:v>0.0019123599003736</c:v>
                </c:pt>
                <c:pt idx="2" formatCode="0.0%">
                  <c:v>0.00176465084008695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0.0660379062889166</c:v>
                </c:pt>
                <c:pt idx="1">
                  <c:v>0.0660379062889166</c:v>
                </c:pt>
                <c:pt idx="2" formatCode="0.0%">
                  <c:v>0.0651877876232017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0.000865115193026152</c:v>
                </c:pt>
                <c:pt idx="1">
                  <c:v>0.000865115193026152</c:v>
                </c:pt>
                <c:pt idx="2" formatCode="0.0%">
                  <c:v>0.000594315249167299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0.0242255603985056</c:v>
                </c:pt>
                <c:pt idx="1">
                  <c:v>0.0242255603985056</c:v>
                </c:pt>
                <c:pt idx="2" formatCode="0.0%">
                  <c:v>0.0237889559824162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0.00401618929016189</c:v>
                </c:pt>
                <c:pt idx="1">
                  <c:v>0.00401618929016189</c:v>
                </c:pt>
                <c:pt idx="2" formatCode="0.0%">
                  <c:v>0.00401618929016189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 formatCode="0.0%">
                  <c:v>0.0109011234599064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0.0595238095238095</c:v>
                </c:pt>
                <c:pt idx="1">
                  <c:v>0.0595238095238095</c:v>
                </c:pt>
                <c:pt idx="2" formatCode="0.0%">
                  <c:v>0.0595238095238095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0.0289020658187229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0.135301942714819</c:v>
                </c:pt>
                <c:pt idx="1">
                  <c:v>0.135301942714819</c:v>
                </c:pt>
                <c:pt idx="2" formatCode="0.0%">
                  <c:v>0.147494318189943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0.407171839819427</c:v>
                </c:pt>
                <c:pt idx="1">
                  <c:v>0.407171839819427</c:v>
                </c:pt>
                <c:pt idx="2" formatCode="0.0%">
                  <c:v>0.423620502831198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0.592630330012453</c:v>
                </c:pt>
                <c:pt idx="1">
                  <c:v>0.313229089334637</c:v>
                </c:pt>
                <c:pt idx="2" formatCode="0.0%">
                  <c:v>0.0591937557758266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9148040"/>
        <c:axId val="2102534632"/>
      </c:barChart>
      <c:catAx>
        <c:axId val="2119148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2534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2534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9148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0.0333692652552926</c:v>
                </c:pt>
                <c:pt idx="1">
                  <c:v>0.0166846326276463</c:v>
                </c:pt>
                <c:pt idx="2" formatCode="0.0%">
                  <c:v>0.0166846326276463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0.0150161693648817</c:v>
                </c:pt>
                <c:pt idx="1">
                  <c:v>0.00750808468244084</c:v>
                </c:pt>
                <c:pt idx="2" formatCode="0.0%">
                  <c:v>0.00750808468244084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0.0094502801992528</c:v>
                </c:pt>
                <c:pt idx="1">
                  <c:v>0.0047251400996264</c:v>
                </c:pt>
                <c:pt idx="2" formatCode="0.0%">
                  <c:v>0.0047251400996264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0.0354874315068493</c:v>
                </c:pt>
                <c:pt idx="1">
                  <c:v>0.0386813003424657</c:v>
                </c:pt>
                <c:pt idx="2" formatCode="0.0%">
                  <c:v>0.0386813003424657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0.0620459775840598</c:v>
                </c:pt>
                <c:pt idx="1">
                  <c:v>0.0620459775840598</c:v>
                </c:pt>
                <c:pt idx="2" formatCode="0.0%">
                  <c:v>0.0620459775840598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0.012372697882939</c:v>
                </c:pt>
                <c:pt idx="1">
                  <c:v>0.012372697882939</c:v>
                </c:pt>
                <c:pt idx="2" formatCode="0.0%">
                  <c:v>0.012372697882939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0.00946331506849315</c:v>
                </c:pt>
                <c:pt idx="1">
                  <c:v>0.00946331506849315</c:v>
                </c:pt>
                <c:pt idx="2" formatCode="0.0%">
                  <c:v>0.00946331506849315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0.0036425902864259</c:v>
                </c:pt>
                <c:pt idx="1">
                  <c:v>0.0036425902864259</c:v>
                </c:pt>
                <c:pt idx="2" formatCode="0.0%">
                  <c:v>0.0036425902864259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0.0241510057285181</c:v>
                </c:pt>
                <c:pt idx="1">
                  <c:v>0.0241510057285181</c:v>
                </c:pt>
                <c:pt idx="2" formatCode="0.0%">
                  <c:v>0.0241510057285181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0.0239189850560398</c:v>
                </c:pt>
                <c:pt idx="1">
                  <c:v>0.0239189850560398</c:v>
                </c:pt>
                <c:pt idx="2" formatCode="0.0%">
                  <c:v>0.0239189850560398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0.00455323785803238</c:v>
                </c:pt>
                <c:pt idx="1">
                  <c:v>0.00455323785803238</c:v>
                </c:pt>
                <c:pt idx="2" formatCode="0.0%">
                  <c:v>0.00455323785803238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0.012093399750934</c:v>
                </c:pt>
                <c:pt idx="1">
                  <c:v>0.012093399750934</c:v>
                </c:pt>
                <c:pt idx="2" formatCode="0.0%">
                  <c:v>0.012093399750934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0.00160647571606476</c:v>
                </c:pt>
                <c:pt idx="1">
                  <c:v>0.00160647571606476</c:v>
                </c:pt>
                <c:pt idx="2" formatCode="0.0%">
                  <c:v>0.00160647571606476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 formatCode="0.0%">
                  <c:v>0.03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0.00563013698630137</c:v>
                </c:pt>
                <c:pt idx="1">
                  <c:v>0.00563013698630137</c:v>
                </c:pt>
                <c:pt idx="2" formatCode="0.0%">
                  <c:v>0.00563013698630137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0.0106051696139477</c:v>
                </c:pt>
                <c:pt idx="1">
                  <c:v>0.0106051696139477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0.223315986799502</c:v>
                </c:pt>
                <c:pt idx="1">
                  <c:v>0.223315986799502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0.474104264009963</c:v>
                </c:pt>
                <c:pt idx="1">
                  <c:v>0.0617271928538539</c:v>
                </c:pt>
                <c:pt idx="2" formatCode="0.0%">
                  <c:v>0.301828118521866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895576"/>
        <c:axId val="-2057926472"/>
      </c:barChart>
      <c:catAx>
        <c:axId val="-2041895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926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926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895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0.0351712055790784</c:v>
                </c:pt>
                <c:pt idx="1">
                  <c:v>0.0351712055790784</c:v>
                </c:pt>
                <c:pt idx="2">
                  <c:v>0.0682735167123287</c:v>
                </c:pt>
                <c:pt idx="3">
                  <c:v>0.0682735167123287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0.120129354919054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0.0094502801992528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0.165040214794521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0.141819377334994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0.0494907915317559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0.0126808421917808</c:v>
                </c:pt>
                <c:pt idx="3">
                  <c:v>0.00624578794520548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0.0072851805728518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0.0301887571606476</c:v>
                </c:pt>
                <c:pt idx="1">
                  <c:v>0.0301887571606476</c:v>
                </c:pt>
                <c:pt idx="2">
                  <c:v>0.0301887571606476</c:v>
                </c:pt>
                <c:pt idx="3">
                  <c:v>0.0301887571606476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0.0650596393524284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0.00257108592777086</c:v>
                </c:pt>
                <c:pt idx="1">
                  <c:v>0.00154300124533001</c:v>
                </c:pt>
                <c:pt idx="2">
                  <c:v>0.00205704358655044</c:v>
                </c:pt>
                <c:pt idx="3">
                  <c:v>0.00257108592777086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-0.699658850892308</c:v>
                </c:pt>
                <c:pt idx="1">
                  <c:v>-0.700887362674653</c:v>
                </c:pt>
                <c:pt idx="2">
                  <c:v>-0.700887362674653</c:v>
                </c:pt>
                <c:pt idx="3">
                  <c:v>-0.307763592324327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998104"/>
        <c:axId val="2088905832"/>
      </c:barChart>
      <c:catAx>
        <c:axId val="21189981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89058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8905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998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0.0113455501867995</c:v>
                </c:pt>
                <c:pt idx="1">
                  <c:v>0.0113455501867995</c:v>
                </c:pt>
                <c:pt idx="2">
                  <c:v>0.0220237150684931</c:v>
                </c:pt>
                <c:pt idx="3">
                  <c:v>0.0220237150684931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0.0300323387297634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0.0189005603985056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0.154725201369863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0.248183910336239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0.0494907915317559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0.0253616843835616</c:v>
                </c:pt>
                <c:pt idx="3">
                  <c:v>0.012491575890411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0.0145703611457036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0.0241510057285181</c:v>
                </c:pt>
                <c:pt idx="1">
                  <c:v>0.0241510057285181</c:v>
                </c:pt>
                <c:pt idx="2">
                  <c:v>0.0241510057285181</c:v>
                </c:pt>
                <c:pt idx="3">
                  <c:v>0.0241510057285181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-0.0448620709025473</c:v>
                </c:pt>
                <c:pt idx="1">
                  <c:v>-0.0448620709025473</c:v>
                </c:pt>
                <c:pt idx="2">
                  <c:v>-0.0448620709025473</c:v>
                </c:pt>
                <c:pt idx="3">
                  <c:v>-0.0448620709025473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0807240"/>
        <c:axId val="-2100598936"/>
      </c:barChart>
      <c:catAx>
        <c:axId val="-21008072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5989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0598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807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0.0313137185155666</c:v>
                </c:pt>
                <c:pt idx="1">
                  <c:v>0.0313137185155666</c:v>
                </c:pt>
                <c:pt idx="2">
                  <c:v>0.0607854535890411</c:v>
                </c:pt>
                <c:pt idx="3">
                  <c:v>0.0607854535890411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0.150161693648817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0.0801644458281444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0.251686327561644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0.0606058238564102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0.103982905972603</c:v>
                </c:pt>
                <c:pt idx="3">
                  <c:v>0.0512154611506849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0.0117313823163138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0.0048183764634933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0.0309960890310351</c:v>
                </c:pt>
                <c:pt idx="1">
                  <c:v>0.0309960890310351</c:v>
                </c:pt>
                <c:pt idx="2">
                  <c:v>0.0309960890310351</c:v>
                </c:pt>
                <c:pt idx="3">
                  <c:v>0.0309960890310351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0.0880218650062266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0.000565824425566339</c:v>
                </c:pt>
                <c:pt idx="1">
                  <c:v>0.000339571612079085</c:v>
                </c:pt>
                <c:pt idx="2">
                  <c:v>0.000452698018822712</c:v>
                </c:pt>
                <c:pt idx="3">
                  <c:v>0.000565824425566339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0.193325651170315</c:v>
                </c:pt>
                <c:pt idx="3">
                  <c:v>0.193325651170315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0.290474038329866</c:v>
                </c:pt>
                <c:pt idx="1">
                  <c:v>0.290474038329866</c:v>
                </c:pt>
                <c:pt idx="2">
                  <c:v>0.290474038329866</c:v>
                </c:pt>
                <c:pt idx="3">
                  <c:v>0.290474038329866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0.134596625659066</c:v>
                </c:pt>
                <c:pt idx="1">
                  <c:v>0.534192481571573</c:v>
                </c:pt>
                <c:pt idx="2">
                  <c:v>0.212117439411929</c:v>
                </c:pt>
                <c:pt idx="3">
                  <c:v>0.0265881991720601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7160056"/>
        <c:axId val="-2137703368"/>
      </c:barChart>
      <c:catAx>
        <c:axId val="21171600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77033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7703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160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0.046091297633873</c:v>
                </c:pt>
                <c:pt idx="1">
                  <c:v>0.046091297633873</c:v>
                </c:pt>
                <c:pt idx="2">
                  <c:v>0.0894713424657534</c:v>
                </c:pt>
                <c:pt idx="3">
                  <c:v>0.0894713424657534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0.123831257783313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-0.20533280698208</c:v>
                </c:pt>
                <c:pt idx="1">
                  <c:v>0.103681296602086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0.079773399750934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0.0827242944830792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0.161680737945205</c:v>
                </c:pt>
                <c:pt idx="3">
                  <c:v>0.0796337963013699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0.00293284557907845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0.00705860336034781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0.0651877876232017</c:v>
                </c:pt>
                <c:pt idx="1">
                  <c:v>0.0651877876232017</c:v>
                </c:pt>
                <c:pt idx="2">
                  <c:v>0.0651877876232017</c:v>
                </c:pt>
                <c:pt idx="3">
                  <c:v>0.0651877876232017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0.00069915245912041</c:v>
                </c:pt>
                <c:pt idx="1">
                  <c:v>0.000419586565912113</c:v>
                </c:pt>
                <c:pt idx="2">
                  <c:v>0.000559369512516262</c:v>
                </c:pt>
                <c:pt idx="3">
                  <c:v>0.000699152459120411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0.294988636379885</c:v>
                </c:pt>
                <c:pt idx="3">
                  <c:v>0.294988636379885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0.423620502831198</c:v>
                </c:pt>
                <c:pt idx="1">
                  <c:v>0.423620502831198</c:v>
                </c:pt>
                <c:pt idx="2">
                  <c:v>0.423620502831198</c:v>
                </c:pt>
                <c:pt idx="3">
                  <c:v>0.423620502831198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0.29204639349575</c:v>
                </c:pt>
                <c:pt idx="1">
                  <c:v>0.265515050040849</c:v>
                </c:pt>
                <c:pt idx="2">
                  <c:v>-0.123934252100293</c:v>
                </c:pt>
                <c:pt idx="3">
                  <c:v>-0.0420270934030613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084184"/>
        <c:axId val="-2144172712"/>
      </c:barChart>
      <c:catAx>
        <c:axId val="21180841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1727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4172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084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0.000232747585243803</c:v>
                </c:pt>
                <c:pt idx="1">
                  <c:v>0.000137321075293844</c:v>
                </c:pt>
                <c:pt idx="2">
                  <c:v>0.000137321075293844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0.0290934481554754</c:v>
                </c:pt>
                <c:pt idx="1">
                  <c:v>0.0274642150587688</c:v>
                </c:pt>
                <c:pt idx="2">
                  <c:v>0.0274642150587688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0.0174560688932852</c:v>
                </c:pt>
                <c:pt idx="1">
                  <c:v>0.0164785290352613</c:v>
                </c:pt>
                <c:pt idx="2">
                  <c:v>0.0164785290352613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0.000814616548353311</c:v>
                </c:pt>
                <c:pt idx="1">
                  <c:v>0.00114046316769463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0.0205981612940766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0.223437681834051</c:v>
                </c:pt>
                <c:pt idx="1">
                  <c:v>0.210925171651344</c:v>
                </c:pt>
                <c:pt idx="2">
                  <c:v>0.210925171651344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0.365879204003258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0.181543116490166</c:v>
                </c:pt>
                <c:pt idx="1">
                  <c:v>0.214220877458396</c:v>
                </c:pt>
                <c:pt idx="2">
                  <c:v>0.214220877458396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0.181543116490166</c:v>
                </c:pt>
                <c:pt idx="1">
                  <c:v>0.201512859304085</c:v>
                </c:pt>
                <c:pt idx="2">
                  <c:v>0.201512859304085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4920872"/>
        <c:axId val="2104878984"/>
      </c:barChart>
      <c:catAx>
        <c:axId val="210492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878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878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920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o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oc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ZAOCC</v>
          </cell>
          <cell r="D1">
            <v>59209</v>
          </cell>
        </row>
        <row r="2">
          <cell r="A2" t="str">
            <v>Free State Open Access Cattle and Crops</v>
          </cell>
        </row>
        <row r="9">
          <cell r="CK9">
            <v>0.36</v>
          </cell>
        </row>
        <row r="10">
          <cell r="CK10">
            <v>0.23</v>
          </cell>
        </row>
        <row r="11">
          <cell r="CK11">
            <v>0.27</v>
          </cell>
        </row>
        <row r="12">
          <cell r="CK12">
            <v>0.14000000000000001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10249.436373711666</v>
          </cell>
          <cell r="E1031">
            <v>10249.436373711666</v>
          </cell>
          <cell r="H1031">
            <v>10249.436373711666</v>
          </cell>
          <cell r="J1031">
            <v>8199.5490989693317</v>
          </cell>
        </row>
        <row r="1032">
          <cell r="C1032">
            <v>9736.6666666666679</v>
          </cell>
          <cell r="E1032">
            <v>9736.6666666666679</v>
          </cell>
          <cell r="H1032">
            <v>9736.6666666666679</v>
          </cell>
          <cell r="J1032">
            <v>7789.3333333333339</v>
          </cell>
        </row>
        <row r="1033">
          <cell r="C1033">
            <v>17340</v>
          </cell>
          <cell r="E1033">
            <v>17340</v>
          </cell>
          <cell r="H1033">
            <v>17340</v>
          </cell>
          <cell r="J1033">
            <v>13872</v>
          </cell>
        </row>
        <row r="1034">
          <cell r="C1034">
            <v>750</v>
          </cell>
          <cell r="E1034">
            <v>906</v>
          </cell>
          <cell r="H1034">
            <v>1250</v>
          </cell>
          <cell r="J1034">
            <v>1620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0.67746781315776472</v>
          </cell>
          <cell r="E1038">
            <v>0.67746781315776472</v>
          </cell>
          <cell r="H1038">
            <v>0.67746781315776472</v>
          </cell>
          <cell r="J1038">
            <v>0.67746781315776472</v>
          </cell>
        </row>
        <row r="1039">
          <cell r="C1039">
            <v>5</v>
          </cell>
          <cell r="E1039">
            <v>5</v>
          </cell>
          <cell r="H1039">
            <v>5</v>
          </cell>
          <cell r="J1039">
            <v>4</v>
          </cell>
        </row>
        <row r="1040">
          <cell r="C1040">
            <v>9.4166666666666661</v>
          </cell>
          <cell r="E1040">
            <v>9.4166666666666661</v>
          </cell>
          <cell r="H1040">
            <v>9.4166666666666661</v>
          </cell>
          <cell r="J1040">
            <v>9.4166666666666661</v>
          </cell>
        </row>
        <row r="1044">
          <cell r="A1044" t="str">
            <v>Cows' milk - season 1</v>
          </cell>
          <cell r="C1044">
            <v>3.3369265255292643E-2</v>
          </cell>
          <cell r="D1044">
            <v>0</v>
          </cell>
          <cell r="E1044">
            <v>0.10344472229140719</v>
          </cell>
          <cell r="F1044">
            <v>0</v>
          </cell>
          <cell r="H1044">
            <v>9.2099172104607704E-2</v>
          </cell>
          <cell r="I1044">
            <v>0</v>
          </cell>
          <cell r="J1044">
            <v>0.1355626400996264</v>
          </cell>
          <cell r="K1044">
            <v>0</v>
          </cell>
        </row>
        <row r="1045">
          <cell r="A1045" t="str">
            <v>Cows' milk - season 2</v>
          </cell>
          <cell r="C1045">
            <v>1.5016169364881694E-2</v>
          </cell>
          <cell r="D1045">
            <v>0</v>
          </cell>
          <cell r="E1045">
            <v>6.0064677459526775E-2</v>
          </cell>
          <cell r="F1045">
            <v>0</v>
          </cell>
          <cell r="H1045">
            <v>7.5080846824408465E-2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9.4502801992528019E-3</v>
          </cell>
          <cell r="D1046">
            <v>0</v>
          </cell>
          <cell r="E1046">
            <v>4.7251400996264009E-3</v>
          </cell>
          <cell r="F1046">
            <v>0</v>
          </cell>
          <cell r="H1046">
            <v>4.0082222914072228E-2</v>
          </cell>
          <cell r="I1046">
            <v>0</v>
          </cell>
          <cell r="J1046">
            <v>6.1915628891656291E-2</v>
          </cell>
          <cell r="K1046">
            <v>0</v>
          </cell>
        </row>
        <row r="1047">
          <cell r="A1047" t="str">
            <v>Maize: kg produced</v>
          </cell>
          <cell r="C1047">
            <v>3.5487431506849305E-2</v>
          </cell>
          <cell r="D1047">
            <v>0</v>
          </cell>
          <cell r="E1047">
            <v>3.7853260273972601E-2</v>
          </cell>
          <cell r="F1047">
            <v>0</v>
          </cell>
          <cell r="H1047">
            <v>5.7726221917808213E-2</v>
          </cell>
          <cell r="I1047">
            <v>0</v>
          </cell>
          <cell r="J1047">
            <v>5.2048232876712328E-2</v>
          </cell>
          <cell r="K1047">
            <v>0.83632046917808212</v>
          </cell>
        </row>
        <row r="1048">
          <cell r="A1048" t="str">
            <v>Onions: kg produced</v>
          </cell>
          <cell r="C1048">
            <v>6.2045977584059775E-2</v>
          </cell>
          <cell r="D1048">
            <v>0</v>
          </cell>
          <cell r="E1048">
            <v>3.5454844333748438E-2</v>
          </cell>
          <cell r="F1048">
            <v>0</v>
          </cell>
          <cell r="H1048">
            <v>0</v>
          </cell>
          <cell r="I1048">
            <v>0</v>
          </cell>
          <cell r="J1048">
            <v>1.9943349937733498E-2</v>
          </cell>
          <cell r="K1048">
            <v>0</v>
          </cell>
        </row>
        <row r="1049">
          <cell r="A1049" t="str">
            <v>Beans: kg produced</v>
          </cell>
          <cell r="C1049">
            <v>1.2372697882938977E-2</v>
          </cell>
          <cell r="D1049">
            <v>0</v>
          </cell>
          <cell r="E1049">
            <v>1.2372697882938977E-2</v>
          </cell>
          <cell r="F1049">
            <v>0</v>
          </cell>
          <cell r="H1049">
            <v>1.5907754420921547E-2</v>
          </cell>
          <cell r="I1049">
            <v>-7.0701130759651329E-3</v>
          </cell>
          <cell r="J1049">
            <v>1.9884693026151933E-2</v>
          </cell>
          <cell r="K1049">
            <v>-8.8376413449564144E-3</v>
          </cell>
        </row>
        <row r="1050">
          <cell r="A1050" t="str">
            <v>Cabbage: kg produced</v>
          </cell>
          <cell r="C1050">
            <v>9.4633150684931503E-3</v>
          </cell>
          <cell r="D1050">
            <v>0</v>
          </cell>
          <cell r="E1050">
            <v>4.7316575342465752E-3</v>
          </cell>
          <cell r="F1050">
            <v>0</v>
          </cell>
          <cell r="H1050">
            <v>3.8799591780821908E-2</v>
          </cell>
          <cell r="I1050">
            <v>0</v>
          </cell>
          <cell r="J1050">
            <v>6.0328633561643842E-2</v>
          </cell>
          <cell r="K1050">
            <v>0</v>
          </cell>
        </row>
        <row r="1051">
          <cell r="A1051" t="str">
            <v>Green beans /peas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2.9328455790784552E-3</v>
          </cell>
          <cell r="I1051">
            <v>0</v>
          </cell>
          <cell r="J1051">
            <v>7.3321139476961381E-4</v>
          </cell>
          <cell r="K1051">
            <v>0</v>
          </cell>
        </row>
        <row r="1052">
          <cell r="A1052" t="str">
            <v xml:space="preserve">Other root crops: Beetroot </v>
          </cell>
          <cell r="C1052">
            <v>3.6425902864259028E-3</v>
          </cell>
          <cell r="D1052">
            <v>0</v>
          </cell>
          <cell r="E1052">
            <v>1.8212951432129514E-3</v>
          </cell>
          <cell r="F1052">
            <v>0</v>
          </cell>
          <cell r="H1052">
            <v>1.1656288916562889E-3</v>
          </cell>
          <cell r="I1052">
            <v>3.6425902864259028E-4</v>
          </cell>
          <cell r="J1052">
            <v>1.9123599003735992E-3</v>
          </cell>
          <cell r="K1052">
            <v>1.6391656288916559E-3</v>
          </cell>
        </row>
        <row r="1053">
          <cell r="A1053" t="str">
            <v xml:space="preserve">Tomato: </v>
          </cell>
          <cell r="C1053">
            <v>2.4151005728518058E-2</v>
          </cell>
          <cell r="D1053">
            <v>0</v>
          </cell>
          <cell r="E1053">
            <v>3.0188757160647575E-2</v>
          </cell>
          <cell r="F1053">
            <v>0</v>
          </cell>
          <cell r="H1053">
            <v>3.0188757160647575E-2</v>
          </cell>
          <cell r="I1053">
            <v>7.5471892901618973E-3</v>
          </cell>
          <cell r="J1053">
            <v>6.6037906288916565E-2</v>
          </cell>
          <cell r="K1053">
            <v>9.4339866127023664E-3</v>
          </cell>
        </row>
        <row r="1054">
          <cell r="A1054" t="str">
            <v>Potato's: no. local meas</v>
          </cell>
          <cell r="C1054">
            <v>2.391898505603985E-2</v>
          </cell>
          <cell r="D1054">
            <v>0</v>
          </cell>
          <cell r="E1054">
            <v>1.6264909838107095E-2</v>
          </cell>
          <cell r="F1054">
            <v>0</v>
          </cell>
          <cell r="H1054">
            <v>2.2005466251556659E-2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>Leafy green vegetables (spinach etc)</v>
          </cell>
          <cell r="C1055">
            <v>4.5532378580323786E-3</v>
          </cell>
          <cell r="D1055">
            <v>0</v>
          </cell>
          <cell r="E1055">
            <v>1.8212951432129514E-3</v>
          </cell>
          <cell r="F1055">
            <v>3.6425902864259028E-4</v>
          </cell>
          <cell r="H1055">
            <v>2.5498132004981319E-4</v>
          </cell>
          <cell r="I1055">
            <v>2.1127023661270238E-3</v>
          </cell>
          <cell r="J1055">
            <v>8.6511519302615199E-4</v>
          </cell>
          <cell r="K1055">
            <v>3.0051369863013694E-3</v>
          </cell>
        </row>
        <row r="1056">
          <cell r="A1056" t="str">
            <v>Other crop: pumpkin</v>
          </cell>
          <cell r="C1056">
            <v>1.2093399750933997E-2</v>
          </cell>
          <cell r="D1056">
            <v>0</v>
          </cell>
          <cell r="E1056">
            <v>4.6513075965130763E-3</v>
          </cell>
          <cell r="F1056">
            <v>0</v>
          </cell>
          <cell r="H1056">
            <v>2.7132627646326277E-2</v>
          </cell>
          <cell r="I1056">
            <v>5.4265255292652512E-3</v>
          </cell>
          <cell r="J1056">
            <v>2.4225560398505604E-2</v>
          </cell>
          <cell r="K1056">
            <v>4.8451120797011228E-3</v>
          </cell>
        </row>
        <row r="1057">
          <cell r="A1057" t="str">
            <v>Other crop: Carrots</v>
          </cell>
          <cell r="C1057">
            <v>1.6064757160647572E-3</v>
          </cell>
          <cell r="D1057">
            <v>0</v>
          </cell>
          <cell r="E1057">
            <v>2.1419676214196764E-3</v>
          </cell>
          <cell r="F1057">
            <v>0</v>
          </cell>
          <cell r="H1057">
            <v>1.6064757160647572E-3</v>
          </cell>
          <cell r="I1057">
            <v>0</v>
          </cell>
          <cell r="J1057">
            <v>4.0161892901618926E-3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1.4859750933997511E-2</v>
          </cell>
          <cell r="F1058">
            <v>-1.4859750933997511E-2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>WILD FOODS -- see worksheet Data 3</v>
          </cell>
          <cell r="C1059">
            <v>0.01</v>
          </cell>
          <cell r="D1059">
            <v>1.9999999999999997E-2</v>
          </cell>
          <cell r="E1059">
            <v>0.02</v>
          </cell>
          <cell r="F1059">
            <v>3.0000000000000002E-2</v>
          </cell>
          <cell r="H1059">
            <v>2.9499377334993776E-2</v>
          </cell>
          <cell r="I1059">
            <v>-2.9499377334993776E-2</v>
          </cell>
          <cell r="J1059">
            <v>0.01</v>
          </cell>
          <cell r="K1059">
            <v>-0.01</v>
          </cell>
        </row>
        <row r="1060">
          <cell r="A1060" t="str">
            <v>Gifts/remittances: Events(Funerals, weddings)</v>
          </cell>
          <cell r="C1060">
            <v>5.6301369863013704E-3</v>
          </cell>
          <cell r="D1060">
            <v>0</v>
          </cell>
          <cell r="E1060">
            <v>5.6301369863013704E-3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9.5238095238095233E-2</v>
          </cell>
          <cell r="D1064">
            <v>0</v>
          </cell>
          <cell r="E1064">
            <v>9.5238095238095233E-2</v>
          </cell>
          <cell r="F1064">
            <v>0</v>
          </cell>
          <cell r="H1064">
            <v>9.5238095238095233E-2</v>
          </cell>
          <cell r="I1064">
            <v>0</v>
          </cell>
          <cell r="J1064">
            <v>5.9523809523809521E-2</v>
          </cell>
          <cell r="K1064">
            <v>0</v>
          </cell>
        </row>
        <row r="1065">
          <cell r="A1065" t="str">
            <v>Purchase - other</v>
          </cell>
          <cell r="C1065">
            <v>1.0605169613947694E-2</v>
          </cell>
          <cell r="D1065">
            <v>-1.0605169613947694E-2</v>
          </cell>
          <cell r="E1065">
            <v>1.0605169613947694E-2</v>
          </cell>
          <cell r="F1065">
            <v>-1.0605169613947694E-2</v>
          </cell>
          <cell r="H1065">
            <v>1.4140226151930261E-2</v>
          </cell>
          <cell r="I1065">
            <v>-1.4140226151930261E-2</v>
          </cell>
          <cell r="J1065">
            <v>2.651292403486924E-2</v>
          </cell>
          <cell r="K1065">
            <v>-2.651292403486924E-2</v>
          </cell>
        </row>
        <row r="1066">
          <cell r="A1066" t="str">
            <v>Purchase - desirable</v>
          </cell>
          <cell r="C1066">
            <v>0.10824155417185553</v>
          </cell>
          <cell r="D1066">
            <v>-0.10824155417185553</v>
          </cell>
          <cell r="E1066">
            <v>0.10824155417185553</v>
          </cell>
          <cell r="F1066">
            <v>-0.10824155417185553</v>
          </cell>
          <cell r="H1066">
            <v>0.10824155417185553</v>
          </cell>
          <cell r="I1066">
            <v>-0.10824155417185553</v>
          </cell>
          <cell r="J1066">
            <v>0.13530194271481941</v>
          </cell>
          <cell r="K1066">
            <v>-0.13530194271481941</v>
          </cell>
        </row>
        <row r="1067">
          <cell r="A1067" t="str">
            <v>Purchase - fpl non staple</v>
          </cell>
          <cell r="C1067">
            <v>0.22331598679950185</v>
          </cell>
          <cell r="D1067">
            <v>1.3207871424952061E-3</v>
          </cell>
          <cell r="E1067">
            <v>0.27258779252801996</v>
          </cell>
          <cell r="F1067">
            <v>-4.7951018586022839E-2</v>
          </cell>
          <cell r="H1067">
            <v>0.29836033599003736</v>
          </cell>
          <cell r="I1067">
            <v>-7.3723562048040314E-2</v>
          </cell>
          <cell r="J1067">
            <v>0.40717183981942706</v>
          </cell>
          <cell r="K1067">
            <v>-0.18253506587742999</v>
          </cell>
        </row>
        <row r="1068">
          <cell r="A1068" t="str">
            <v>Purchase - staple</v>
          </cell>
          <cell r="C1068">
            <v>0.47410426400996258</v>
          </cell>
          <cell r="E1068">
            <v>0.47410426400996258</v>
          </cell>
          <cell r="H1068">
            <v>0.44088098929016184</v>
          </cell>
          <cell r="J1068">
            <v>0.59263033001245335</v>
          </cell>
        </row>
        <row r="1072">
          <cell r="A1072" t="str">
            <v>other: Sheep hides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15</v>
          </cell>
          <cell r="I1072">
            <v>0</v>
          </cell>
          <cell r="J1072">
            <v>15</v>
          </cell>
          <cell r="K1072">
            <v>0</v>
          </cell>
        </row>
        <row r="1073">
          <cell r="A1073" t="str">
            <v>Other: cattle hides</v>
          </cell>
          <cell r="C1073">
            <v>0</v>
          </cell>
          <cell r="D1073">
            <v>0</v>
          </cell>
          <cell r="E1073">
            <v>10</v>
          </cell>
          <cell r="F1073">
            <v>0</v>
          </cell>
          <cell r="H1073">
            <v>30</v>
          </cell>
          <cell r="I1073">
            <v>0</v>
          </cell>
          <cell r="J1073">
            <v>50</v>
          </cell>
          <cell r="K1073">
            <v>0</v>
          </cell>
        </row>
        <row r="1074">
          <cell r="A1074" t="str">
            <v>Cattle sales - local: no. sold</v>
          </cell>
          <cell r="C1074">
            <v>0</v>
          </cell>
          <cell r="D1074">
            <v>0</v>
          </cell>
          <cell r="E1074">
            <v>1250</v>
          </cell>
          <cell r="F1074">
            <v>0</v>
          </cell>
          <cell r="H1074">
            <v>6000</v>
          </cell>
          <cell r="I1074">
            <v>-1500</v>
          </cell>
          <cell r="J1074">
            <v>20000</v>
          </cell>
          <cell r="K1074">
            <v>-7500</v>
          </cell>
        </row>
        <row r="1075">
          <cell r="A1075" t="str">
            <v>Sheep sales - local: no. sold</v>
          </cell>
          <cell r="C1075">
            <v>0</v>
          </cell>
          <cell r="D1075">
            <v>0</v>
          </cell>
          <cell r="E1075">
            <v>750</v>
          </cell>
          <cell r="F1075">
            <v>0</v>
          </cell>
          <cell r="H1075">
            <v>750</v>
          </cell>
          <cell r="I1075">
            <v>750</v>
          </cell>
          <cell r="J1075">
            <v>7500</v>
          </cell>
          <cell r="K1075">
            <v>2250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13609.75</v>
          </cell>
          <cell r="K1076">
            <v>-13609.75</v>
          </cell>
        </row>
        <row r="1077">
          <cell r="A1077" t="str">
            <v>Onions: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420</v>
          </cell>
          <cell r="K1077">
            <v>0</v>
          </cell>
        </row>
        <row r="1078">
          <cell r="A1078" t="str">
            <v>Beans: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20</v>
          </cell>
          <cell r="I1078">
            <v>80</v>
          </cell>
          <cell r="J1078">
            <v>20</v>
          </cell>
          <cell r="K1078">
            <v>80</v>
          </cell>
        </row>
        <row r="1079">
          <cell r="A1079" t="str">
            <v xml:space="preserve">Other root crops: Beetroot 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35</v>
          </cell>
          <cell r="I1079">
            <v>-35</v>
          </cell>
          <cell r="J1079">
            <v>126</v>
          </cell>
          <cell r="K1079">
            <v>-126</v>
          </cell>
        </row>
        <row r="1080">
          <cell r="A1080" t="str">
            <v xml:space="preserve">Tomato: 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50</v>
          </cell>
          <cell r="I1080">
            <v>-50</v>
          </cell>
          <cell r="J1080">
            <v>50</v>
          </cell>
          <cell r="K1080">
            <v>-50</v>
          </cell>
        </row>
        <row r="1081">
          <cell r="A1081" t="str">
            <v>Leafy green vegetables (spinach etc)</v>
          </cell>
          <cell r="C1081">
            <v>0</v>
          </cell>
          <cell r="D1081">
            <v>0</v>
          </cell>
          <cell r="E1081">
            <v>35</v>
          </cell>
          <cell r="F1081">
            <v>-35</v>
          </cell>
          <cell r="H1081">
            <v>203</v>
          </cell>
          <cell r="I1081">
            <v>-203</v>
          </cell>
          <cell r="J1081">
            <v>231</v>
          </cell>
          <cell r="K1081">
            <v>-231</v>
          </cell>
        </row>
        <row r="1082">
          <cell r="A1082" t="str">
            <v>Other crop: pumpkin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875</v>
          </cell>
          <cell r="I1082">
            <v>-875</v>
          </cell>
          <cell r="J1082">
            <v>625</v>
          </cell>
          <cell r="K1082">
            <v>-625</v>
          </cell>
        </row>
        <row r="1083">
          <cell r="A1083" t="str">
            <v>Other crop: Carrots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70</v>
          </cell>
          <cell r="I1083">
            <v>0</v>
          </cell>
          <cell r="J1083">
            <v>245</v>
          </cell>
          <cell r="K1083">
            <v>0</v>
          </cell>
        </row>
        <row r="1084">
          <cell r="A1084" t="str">
            <v>WILD FOODS -- see worksheet Data 3</v>
          </cell>
          <cell r="C1084">
            <v>0</v>
          </cell>
          <cell r="D1084">
            <v>750</v>
          </cell>
          <cell r="E1084">
            <v>0</v>
          </cell>
          <cell r="F1084">
            <v>750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Small business -- see Data2</v>
          </cell>
          <cell r="C1085">
            <v>3600</v>
          </cell>
          <cell r="D1085">
            <v>0</v>
          </cell>
          <cell r="E1085">
            <v>9600</v>
          </cell>
          <cell r="F1085">
            <v>0</v>
          </cell>
          <cell r="H1085">
            <v>21600</v>
          </cell>
          <cell r="I1085">
            <v>0</v>
          </cell>
          <cell r="J1085">
            <v>32004</v>
          </cell>
          <cell r="K1085">
            <v>0</v>
          </cell>
        </row>
        <row r="1086">
          <cell r="A1086" t="str">
            <v>Social development -- see Data2</v>
          </cell>
          <cell r="C1086">
            <v>15720</v>
          </cell>
          <cell r="D1086">
            <v>0</v>
          </cell>
          <cell r="E1086">
            <v>15720</v>
          </cell>
          <cell r="F1086">
            <v>0</v>
          </cell>
          <cell r="H1086">
            <v>15720</v>
          </cell>
          <cell r="I1086">
            <v>0</v>
          </cell>
          <cell r="J1086">
            <v>13920</v>
          </cell>
          <cell r="K1086">
            <v>0</v>
          </cell>
        </row>
        <row r="1087">
          <cell r="A1087" t="str">
            <v>Public works -- see Data2</v>
          </cell>
          <cell r="C1087">
            <v>7800</v>
          </cell>
          <cell r="D1087">
            <v>0</v>
          </cell>
          <cell r="E1087">
            <v>7800</v>
          </cell>
          <cell r="F1087">
            <v>0</v>
          </cell>
          <cell r="H1087">
            <v>7800</v>
          </cell>
          <cell r="I1087">
            <v>0</v>
          </cell>
          <cell r="J1087">
            <v>7800</v>
          </cell>
          <cell r="K1087">
            <v>0</v>
          </cell>
        </row>
        <row r="1088">
          <cell r="A1088" t="str">
            <v>Remittances: no. times per year</v>
          </cell>
          <cell r="C1088">
            <v>6000</v>
          </cell>
          <cell r="D1088">
            <v>0</v>
          </cell>
          <cell r="E1088">
            <v>7800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3.3369265255292643E-2</v>
      </c>
      <c r="C6" s="215">
        <f>IF([1]Summ!D1044="",0,[1]Summ!D1044)</f>
        <v>0</v>
      </c>
      <c r="D6" s="24">
        <f t="shared" ref="D6:D28" si="0">(B6+C6)</f>
        <v>3.3369265255292643E-2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1.6684632627646322E-2</v>
      </c>
      <c r="J6" s="24">
        <f t="shared" ref="J6:J13" si="3">IF(I$32&lt;=1+I$131,I6,B6*H6+J$33*(I6-B6*H6))</f>
        <v>1.6684632627646322E-2</v>
      </c>
      <c r="K6" s="22">
        <f t="shared" ref="K6:K31" si="4">B6</f>
        <v>3.3369265255292643E-2</v>
      </c>
      <c r="L6" s="22">
        <f t="shared" ref="L6:L29" si="5">IF(K6="","",K6*H6)</f>
        <v>1.6684632627646322E-2</v>
      </c>
      <c r="M6" s="177">
        <f t="shared" ref="M6:M31" si="6">J6</f>
        <v>1.6684632627646322E-2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6.6738530510585287E-2</v>
      </c>
      <c r="Z6" s="156">
        <f>Poor!Z6</f>
        <v>0.17</v>
      </c>
      <c r="AA6" s="121">
        <f>$M6*Z6*4</f>
        <v>1.1345550186799499E-2</v>
      </c>
      <c r="AB6" s="156">
        <f>Poor!AB6</f>
        <v>0.17</v>
      </c>
      <c r="AC6" s="121">
        <f t="shared" ref="AC6:AC29" si="7">$M6*AB6*4</f>
        <v>1.1345550186799499E-2</v>
      </c>
      <c r="AD6" s="156">
        <f>Poor!AD6</f>
        <v>0.33</v>
      </c>
      <c r="AE6" s="121">
        <f t="shared" ref="AE6:AE29" si="8">$M6*AD6*4</f>
        <v>2.2023715068493144E-2</v>
      </c>
      <c r="AF6" s="122">
        <f>1-SUM(Z6,AB6,AD6)</f>
        <v>0.32999999999999996</v>
      </c>
      <c r="AG6" s="121">
        <f>$M6*AF6*4</f>
        <v>2.2023715068493141E-2</v>
      </c>
      <c r="AH6" s="123">
        <f>SUM(Z6,AB6,AD6,AF6)</f>
        <v>1</v>
      </c>
      <c r="AI6" s="183">
        <f>SUM(AA6,AC6,AE6,AG6)/4</f>
        <v>1.6684632627646322E-2</v>
      </c>
      <c r="AJ6" s="120">
        <f>(AA6+AC6)/2</f>
        <v>1.1345550186799499E-2</v>
      </c>
      <c r="AK6" s="119">
        <f>(AE6+AG6)/2</f>
        <v>2.2023715068493141E-2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1.5016169364881694E-2</v>
      </c>
      <c r="C7" s="215">
        <f>IF([1]Summ!D1045="",0,[1]Summ!D1045)</f>
        <v>0</v>
      </c>
      <c r="D7" s="24">
        <f t="shared" si="0"/>
        <v>1.5016169364881694E-2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7.5080846824408468E-3</v>
      </c>
      <c r="J7" s="24">
        <f t="shared" si="3"/>
        <v>7.5080846824408468E-3</v>
      </c>
      <c r="K7" s="22">
        <f t="shared" si="4"/>
        <v>1.5016169364881694E-2</v>
      </c>
      <c r="L7" s="22">
        <f t="shared" si="5"/>
        <v>7.5080846824408468E-3</v>
      </c>
      <c r="M7" s="177">
        <f t="shared" si="6"/>
        <v>7.5080846824408468E-3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3344.15816647667</v>
      </c>
      <c r="S7" s="223">
        <f>IF($B$81=0,0,(SUMIF($N$6:$N$28,$U7,L$6:L$28)+SUMIF($N$91:$N$118,$U7,L$91:L$118))*$I$83*Poor!$B$81/$B$81)</f>
        <v>3698.5270452950558</v>
      </c>
      <c r="T7" s="223">
        <f>IF($B$81=0,0,(SUMIF($N$6:$N$28,$U7,M$6:M$28)+SUMIF($N$91:$N$118,$U7,M$91:M$118))*$I$83*Poor!$B$81/$B$81)</f>
        <v>3698.5270452950558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3.0032338729763387E-2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3.0032338729763387E-2</v>
      </c>
      <c r="AH7" s="123">
        <f t="shared" ref="AH7:AH30" si="12">SUM(Z7,AB7,AD7,AF7)</f>
        <v>1</v>
      </c>
      <c r="AI7" s="183">
        <f t="shared" ref="AI7:AI30" si="13">SUM(AA7,AC7,AE7,AG7)/4</f>
        <v>7.5080846824408468E-3</v>
      </c>
      <c r="AJ7" s="120">
        <f t="shared" ref="AJ7:AJ31" si="14">(AA7+AC7)/2</f>
        <v>0</v>
      </c>
      <c r="AK7" s="119">
        <f t="shared" ref="AK7:AK31" si="15">(AE7+AG7)/2</f>
        <v>1.5016169364881694E-2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9.4502801992528019E-3</v>
      </c>
      <c r="C8" s="215">
        <f>IF([1]Summ!D1046="",0,[1]Summ!D1046)</f>
        <v>0</v>
      </c>
      <c r="D8" s="24">
        <f t="shared" si="0"/>
        <v>9.4502801992528019E-3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4.7251400996264009E-3</v>
      </c>
      <c r="J8" s="24">
        <f t="shared" si="3"/>
        <v>4.7251400996264009E-3</v>
      </c>
      <c r="K8" s="22">
        <f t="shared" si="4"/>
        <v>9.4502801992528019E-3</v>
      </c>
      <c r="L8" s="22">
        <f t="shared" si="5"/>
        <v>4.7251400996264009E-3</v>
      </c>
      <c r="M8" s="225">
        <f t="shared" si="6"/>
        <v>4.7251400996264009E-3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1.8900560398505604E-2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1.8900560398505604E-2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4.7251400996264009E-3</v>
      </c>
      <c r="AJ8" s="120">
        <f t="shared" si="14"/>
        <v>9.4502801992528019E-3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3.5487431506849305E-2</v>
      </c>
      <c r="C9" s="215">
        <f>IF([1]Summ!D1047="",0,[1]Summ!D1047)</f>
        <v>0</v>
      </c>
      <c r="D9" s="24">
        <f t="shared" si="0"/>
        <v>3.5487431506849305E-2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3.8681300342465745E-2</v>
      </c>
      <c r="J9" s="24">
        <f t="shared" si="3"/>
        <v>3.8681300342465745E-2</v>
      </c>
      <c r="K9" s="22">
        <f t="shared" si="4"/>
        <v>3.5487431506849305E-2</v>
      </c>
      <c r="L9" s="22">
        <f t="shared" si="5"/>
        <v>3.8681300342465745E-2</v>
      </c>
      <c r="M9" s="225">
        <f t="shared" si="6"/>
        <v>3.8681300342465745E-2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1021.5314605432648</v>
      </c>
      <c r="S9" s="223">
        <f>IF($B$81=0,0,(SUMIF($N$6:$N$28,$U9,L$6:L$28)+SUMIF($N$91:$N$118,$U9,L$91:L$118))*$I$83*Poor!$B$81/$B$81)</f>
        <v>555.51883561643831</v>
      </c>
      <c r="T9" s="223">
        <f>IF($B$81=0,0,(SUMIF($N$6:$N$28,$U9,M$6:M$28)+SUMIF($N$91:$N$118,$U9,M$91:M$118))*$I$83*Poor!$B$81/$B$81)</f>
        <v>555.51883561643831</v>
      </c>
      <c r="U9" s="224">
        <v>3</v>
      </c>
      <c r="V9" s="56"/>
      <c r="W9" s="115"/>
      <c r="X9" s="118">
        <f>Poor!X9</f>
        <v>1</v>
      </c>
      <c r="Y9" s="183">
        <f t="shared" si="9"/>
        <v>0.15472520136986298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0.15472520136986298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3.8681300342465745E-2</v>
      </c>
      <c r="AJ9" s="120">
        <f t="shared" si="14"/>
        <v>7.736260068493149E-2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Onions: kg produced</v>
      </c>
      <c r="B10" s="215">
        <f>IF([1]Summ!C1048="",0,[1]Summ!C1048)</f>
        <v>6.2045977584059775E-2</v>
      </c>
      <c r="C10" s="215">
        <f>IF([1]Summ!D1048="",0,[1]Summ!D1048)</f>
        <v>0</v>
      </c>
      <c r="D10" s="24">
        <f t="shared" si="0"/>
        <v>6.2045977584059775E-2</v>
      </c>
      <c r="E10" s="75">
        <f>Poor!E10</f>
        <v>1</v>
      </c>
      <c r="H10" s="24">
        <f t="shared" si="1"/>
        <v>1</v>
      </c>
      <c r="I10" s="22">
        <f t="shared" si="2"/>
        <v>6.2045977584059775E-2</v>
      </c>
      <c r="J10" s="24">
        <f t="shared" si="3"/>
        <v>6.2045977584059775E-2</v>
      </c>
      <c r="K10" s="22">
        <f t="shared" si="4"/>
        <v>6.2045977584059775E-2</v>
      </c>
      <c r="L10" s="22">
        <f t="shared" si="5"/>
        <v>6.2045977584059775E-2</v>
      </c>
      <c r="M10" s="225">
        <f t="shared" si="6"/>
        <v>6.2045977584059775E-2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0.2481839103362391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0.2481839103362391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6.2045977584059775E-2</v>
      </c>
      <c r="AJ10" s="120">
        <f t="shared" si="14"/>
        <v>0.12409195516811955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1.2372697882938977E-2</v>
      </c>
      <c r="C11" s="215">
        <f>IF([1]Summ!D1049="",0,[1]Summ!D1049)</f>
        <v>0</v>
      </c>
      <c r="D11" s="24">
        <f t="shared" si="0"/>
        <v>1.2372697882938977E-2</v>
      </c>
      <c r="E11" s="75">
        <f>Poor!E11</f>
        <v>1</v>
      </c>
      <c r="H11" s="24">
        <f t="shared" si="1"/>
        <v>1</v>
      </c>
      <c r="I11" s="22">
        <f t="shared" si="2"/>
        <v>1.2372697882938977E-2</v>
      </c>
      <c r="J11" s="24">
        <f t="shared" si="3"/>
        <v>1.2372697882938977E-2</v>
      </c>
      <c r="K11" s="22">
        <f t="shared" si="4"/>
        <v>1.2372697882938977E-2</v>
      </c>
      <c r="L11" s="22">
        <f t="shared" si="5"/>
        <v>1.2372697882938977E-2</v>
      </c>
      <c r="M11" s="225">
        <f t="shared" si="6"/>
        <v>1.2372697882938977E-2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0</v>
      </c>
      <c r="S11" s="223">
        <f>IF($B$81=0,0,(SUMIF($N$6:$N$28,$U11,L$6:L$28)+SUMIF($N$91:$N$118,$U11,L$91:L$118))*$I$83*Poor!$B$81/$B$81)</f>
        <v>0</v>
      </c>
      <c r="T11" s="223">
        <f>IF($B$81=0,0,(SUMIF($N$6:$N$28,$U11,M$6:M$28)+SUMIF($N$91:$N$118,$U11,M$91:M$118))*$I$83*Poor!$B$81/$B$81)</f>
        <v>0</v>
      </c>
      <c r="U11" s="224">
        <v>5</v>
      </c>
      <c r="V11" s="56"/>
      <c r="W11" s="115"/>
      <c r="X11" s="118">
        <f>Poor!X11</f>
        <v>1</v>
      </c>
      <c r="Y11" s="183">
        <f t="shared" si="9"/>
        <v>4.9490791531755909E-2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4.9490791531755909E-2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1.2372697882938977E-2</v>
      </c>
      <c r="AJ11" s="120">
        <f t="shared" si="14"/>
        <v>2.4745395765877955E-2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kg produced</v>
      </c>
      <c r="B12" s="215">
        <f>IF([1]Summ!C1050="",0,[1]Summ!C1050)</f>
        <v>9.4633150684931503E-3</v>
      </c>
      <c r="C12" s="215">
        <f>IF([1]Summ!D1050="",0,[1]Summ!D1050)</f>
        <v>0</v>
      </c>
      <c r="D12" s="24">
        <f t="shared" si="0"/>
        <v>9.4633150684931503E-3</v>
      </c>
      <c r="E12" s="75">
        <f>Poor!E12</f>
        <v>1</v>
      </c>
      <c r="H12" s="24">
        <f t="shared" si="1"/>
        <v>1</v>
      </c>
      <c r="I12" s="22">
        <f t="shared" si="2"/>
        <v>9.4633150684931503E-3</v>
      </c>
      <c r="J12" s="24">
        <f t="shared" si="3"/>
        <v>9.4633150684931503E-3</v>
      </c>
      <c r="K12" s="22">
        <f t="shared" si="4"/>
        <v>9.4633150684931503E-3</v>
      </c>
      <c r="L12" s="22">
        <f t="shared" si="5"/>
        <v>9.4633150684931503E-3</v>
      </c>
      <c r="M12" s="225">
        <f t="shared" si="6"/>
        <v>9.4633150684931503E-3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176.62640873941967</v>
      </c>
      <c r="S12" s="223">
        <f>IF($B$81=0,0,(SUMIF($N$6:$N$28,$U12,L$6:L$28)+SUMIF($N$91:$N$118,$U12,L$91:L$118))*$I$83*Poor!$B$81/$B$81)</f>
        <v>192.10234968163252</v>
      </c>
      <c r="T12" s="223">
        <f>IF($B$81=0,0,(SUMIF($N$6:$N$28,$U12,M$6:M$28)+SUMIF($N$91:$N$118,$U12,M$91:M$118))*$I$83*Poor!$B$81/$B$81)</f>
        <v>1461.3070490448974</v>
      </c>
      <c r="U12" s="224">
        <v>6</v>
      </c>
      <c r="V12" s="56"/>
      <c r="W12" s="117"/>
      <c r="X12" s="118">
        <v>1</v>
      </c>
      <c r="Y12" s="183">
        <f t="shared" si="9"/>
        <v>3.7853260273972601E-2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2.5361684383561643E-2</v>
      </c>
      <c r="AF12" s="122">
        <f>1-SUM(Z12,AB12,AD12)</f>
        <v>0.32999999999999996</v>
      </c>
      <c r="AG12" s="121">
        <f>$M12*AF12*4</f>
        <v>1.2491575890410956E-2</v>
      </c>
      <c r="AH12" s="123">
        <f t="shared" si="12"/>
        <v>1</v>
      </c>
      <c r="AI12" s="183">
        <f t="shared" si="13"/>
        <v>9.4633150684931503E-3</v>
      </c>
      <c r="AJ12" s="120">
        <f t="shared" si="14"/>
        <v>0</v>
      </c>
      <c r="AK12" s="119">
        <f t="shared" si="15"/>
        <v>1.8926630136986301E-2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Green beans /peas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 xml:space="preserve">Other root crops: Beetroot </v>
      </c>
      <c r="B14" s="215">
        <f>IF([1]Summ!C1052="",0,[1]Summ!C1052)</f>
        <v>3.6425902864259028E-3</v>
      </c>
      <c r="C14" s="215">
        <f>IF([1]Summ!D1052="",0,[1]Summ!D1052)</f>
        <v>0</v>
      </c>
      <c r="D14" s="24">
        <f t="shared" si="0"/>
        <v>3.6425902864259028E-3</v>
      </c>
      <c r="E14" s="75">
        <f>Poor!E14</f>
        <v>1</v>
      </c>
      <c r="F14" s="22"/>
      <c r="H14" s="24">
        <f t="shared" si="1"/>
        <v>1</v>
      </c>
      <c r="I14" s="22">
        <f t="shared" si="2"/>
        <v>3.6425902864259028E-3</v>
      </c>
      <c r="J14" s="24">
        <f>IF(I$32&lt;=1+I131,I14,B14*H14+J$33*(I14-B14*H14))</f>
        <v>3.6425902864259028E-3</v>
      </c>
      <c r="K14" s="22">
        <f t="shared" si="4"/>
        <v>3.6425902864259028E-3</v>
      </c>
      <c r="L14" s="22">
        <f t="shared" si="5"/>
        <v>3.6425902864259028E-3</v>
      </c>
      <c r="M14" s="226">
        <f t="shared" si="6"/>
        <v>3.6425902864259028E-3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1.4570361145703611E-2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1.4570361145703611E-2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3.6425902864259028E-3</v>
      </c>
      <c r="AJ14" s="120">
        <f t="shared" si="14"/>
        <v>7.2851805728518055E-3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 xml:space="preserve">Tomato: </v>
      </c>
      <c r="B15" s="215">
        <f>IF([1]Summ!C1053="",0,[1]Summ!C1053)</f>
        <v>2.4151005728518058E-2</v>
      </c>
      <c r="C15" s="215">
        <f>IF([1]Summ!D1053="",0,[1]Summ!D1053)</f>
        <v>0</v>
      </c>
      <c r="D15" s="24">
        <f t="shared" si="0"/>
        <v>2.4151005728518058E-2</v>
      </c>
      <c r="E15" s="75">
        <f>Poor!E15</f>
        <v>1</v>
      </c>
      <c r="F15" s="22"/>
      <c r="H15" s="24">
        <f t="shared" si="1"/>
        <v>1</v>
      </c>
      <c r="I15" s="22">
        <f t="shared" si="2"/>
        <v>2.4151005728518058E-2</v>
      </c>
      <c r="J15" s="24">
        <f t="shared" ref="J15:J25" si="17">IF(I$32&lt;=1+I131,I15,B15*H15+J$33*(I15-B15*H15))</f>
        <v>2.4151005728518058E-2</v>
      </c>
      <c r="K15" s="22">
        <f t="shared" si="4"/>
        <v>2.4151005728518058E-2</v>
      </c>
      <c r="L15" s="22">
        <f t="shared" si="5"/>
        <v>2.4151005728518058E-2</v>
      </c>
      <c r="M15" s="227">
        <f t="shared" si="6"/>
        <v>2.4151005728518058E-2</v>
      </c>
      <c r="N15" s="230">
        <v>1</v>
      </c>
      <c r="O15" s="2"/>
      <c r="P15" s="22"/>
      <c r="Q15" s="59" t="s">
        <v>128</v>
      </c>
      <c r="R15" s="223">
        <f>IF($B$81=0,0,(SUMIF($N$6:$N$28,$U15,K$6:K$28)+SUMIF($N$91:$N$118,$U15,K$91:K$118))*$B$83*$H$84*Poor!$B$81/$B$81)</f>
        <v>11833.181032109347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9.6604022914072232E-2</v>
      </c>
      <c r="Z15" s="156">
        <f>Poor!Z15</f>
        <v>0.25</v>
      </c>
      <c r="AA15" s="121">
        <f t="shared" si="16"/>
        <v>2.4151005728518058E-2</v>
      </c>
      <c r="AB15" s="156">
        <f>Poor!AB15</f>
        <v>0.25</v>
      </c>
      <c r="AC15" s="121">
        <f t="shared" si="7"/>
        <v>2.4151005728518058E-2</v>
      </c>
      <c r="AD15" s="156">
        <f>Poor!AD15</f>
        <v>0.25</v>
      </c>
      <c r="AE15" s="121">
        <f t="shared" si="8"/>
        <v>2.4151005728518058E-2</v>
      </c>
      <c r="AF15" s="122">
        <f t="shared" si="10"/>
        <v>0.25</v>
      </c>
      <c r="AG15" s="121">
        <f t="shared" si="11"/>
        <v>2.4151005728518058E-2</v>
      </c>
      <c r="AH15" s="123">
        <f t="shared" si="12"/>
        <v>1</v>
      </c>
      <c r="AI15" s="183">
        <f t="shared" si="13"/>
        <v>2.4151005728518058E-2</v>
      </c>
      <c r="AJ15" s="120">
        <f t="shared" si="14"/>
        <v>2.4151005728518058E-2</v>
      </c>
      <c r="AK15" s="119">
        <f t="shared" si="15"/>
        <v>2.4151005728518058E-2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Potato's: no. local meas</v>
      </c>
      <c r="B16" s="215">
        <f>IF([1]Summ!C1054="",0,[1]Summ!C1054)</f>
        <v>2.391898505603985E-2</v>
      </c>
      <c r="C16" s="215">
        <f>IF([1]Summ!D1054="",0,[1]Summ!D1054)</f>
        <v>0</v>
      </c>
      <c r="D16" s="24">
        <f t="shared" ref="D16:D25" si="18">(B16+C16)</f>
        <v>2.391898505603985E-2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2.391898505603985E-2</v>
      </c>
      <c r="J16" s="24">
        <f t="shared" si="17"/>
        <v>2.391898505603985E-2</v>
      </c>
      <c r="K16" s="22">
        <f t="shared" ref="K16:K25" si="21">B16</f>
        <v>2.391898505603985E-2</v>
      </c>
      <c r="L16" s="22">
        <f t="shared" ref="L16:L25" si="22">IF(K16="","",K16*H16)</f>
        <v>2.391898505603985E-2</v>
      </c>
      <c r="M16" s="227">
        <f t="shared" ref="M16:M25" si="23">J16</f>
        <v>2.391898505603985E-2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Leafy green vegetables (spinach etc)</v>
      </c>
      <c r="B17" s="215">
        <f>IF([1]Summ!C1055="",0,[1]Summ!C1055)</f>
        <v>4.5532378580323786E-3</v>
      </c>
      <c r="C17" s="215">
        <f>IF([1]Summ!D1055="",0,[1]Summ!D1055)</f>
        <v>0</v>
      </c>
      <c r="D17" s="24">
        <f t="shared" si="18"/>
        <v>4.5532378580323786E-3</v>
      </c>
      <c r="E17" s="75">
        <f>Poor!E17</f>
        <v>1</v>
      </c>
      <c r="F17" s="22"/>
      <c r="H17" s="24">
        <f t="shared" si="19"/>
        <v>1</v>
      </c>
      <c r="I17" s="22">
        <f t="shared" si="20"/>
        <v>4.5532378580323786E-3</v>
      </c>
      <c r="J17" s="24">
        <f t="shared" si="17"/>
        <v>4.5532378580323786E-3</v>
      </c>
      <c r="K17" s="22">
        <f t="shared" si="21"/>
        <v>4.5532378580323786E-3</v>
      </c>
      <c r="L17" s="22">
        <f t="shared" si="22"/>
        <v>4.5532378580323786E-3</v>
      </c>
      <c r="M17" s="227">
        <f t="shared" si="23"/>
        <v>4.5532378580323786E-3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5461.4681686658523</v>
      </c>
      <c r="S17" s="223">
        <f>IF($B$81=0,0,(SUMIF($N$6:$N$28,$U17,L$6:L$28)+SUMIF($N$91:$N$118,$U17,L$91:L$118))*$I$83*Poor!$B$81/$B$81)</f>
        <v>3398.4</v>
      </c>
      <c r="T17" s="223">
        <f>IF($B$81=0,0,(SUMIF($N$6:$N$28,$U17,M$6:M$28)+SUMIF($N$91:$N$118,$U17,M$91:M$118))*$I$83*Poor!$B$81/$B$81)</f>
        <v>3398.4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Other crop: pumpkin</v>
      </c>
      <c r="B18" s="215">
        <f>IF([1]Summ!C1056="",0,[1]Summ!C1056)</f>
        <v>1.2093399750933997E-2</v>
      </c>
      <c r="C18" s="215">
        <f>IF([1]Summ!D1056="",0,[1]Summ!D1056)</f>
        <v>0</v>
      </c>
      <c r="D18" s="24">
        <f t="shared" si="18"/>
        <v>1.2093399750933997E-2</v>
      </c>
      <c r="E18" s="75">
        <f>Poor!E18</f>
        <v>1</v>
      </c>
      <c r="F18" s="22"/>
      <c r="H18" s="24">
        <f t="shared" si="19"/>
        <v>1</v>
      </c>
      <c r="I18" s="22">
        <f t="shared" si="20"/>
        <v>1.2093399750933997E-2</v>
      </c>
      <c r="J18" s="24">
        <f t="shared" si="17"/>
        <v>1.2093399750933997E-2</v>
      </c>
      <c r="K18" s="22">
        <f t="shared" si="21"/>
        <v>1.2093399750933997E-2</v>
      </c>
      <c r="L18" s="22">
        <f t="shared" si="22"/>
        <v>1.2093399750933997E-2</v>
      </c>
      <c r="M18" s="227">
        <f t="shared" si="23"/>
        <v>1.2093399750933997E-2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Carrots</v>
      </c>
      <c r="B19" s="215">
        <f>IF([1]Summ!C1057="",0,[1]Summ!C1057)</f>
        <v>1.6064757160647572E-3</v>
      </c>
      <c r="C19" s="215">
        <f>IF([1]Summ!D1057="",0,[1]Summ!D1057)</f>
        <v>0</v>
      </c>
      <c r="D19" s="24">
        <f t="shared" si="18"/>
        <v>1.6064757160647572E-3</v>
      </c>
      <c r="E19" s="75">
        <f>Poor!E19</f>
        <v>1</v>
      </c>
      <c r="F19" s="22"/>
      <c r="H19" s="24">
        <f t="shared" si="19"/>
        <v>1</v>
      </c>
      <c r="I19" s="22">
        <f t="shared" si="20"/>
        <v>1.6064757160647572E-3</v>
      </c>
      <c r="J19" s="24">
        <f t="shared" si="17"/>
        <v>1.6064757160647572E-3</v>
      </c>
      <c r="K19" s="22">
        <f t="shared" si="21"/>
        <v>1.6064757160647572E-3</v>
      </c>
      <c r="L19" s="22">
        <f t="shared" si="22"/>
        <v>1.6064757160647572E-3</v>
      </c>
      <c r="M19" s="227">
        <f t="shared" si="23"/>
        <v>1.6064757160647572E-3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99.443087660139028</v>
      </c>
      <c r="S19" s="223">
        <f>IF($B$81=0,0,(SUMIF($N$6:$N$28,$U19,L$6:L$28)+SUMIF($N$91:$N$118,$U19,L$91:L$118))*$I$83*Poor!$B$81/$B$81)</f>
        <v>108.15625440979584</v>
      </c>
      <c r="T19" s="223">
        <f>IF($B$81=0,0,(SUMIF($N$6:$N$28,$U19,M$6:M$28)+SUMIF($N$91:$N$118,$U19,M$91:M$118))*$I$83*Poor!$B$81/$B$81)</f>
        <v>108.15625440979584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23848.411003174224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215">
        <f>IF([1]Summ!C1059="",0,[1]Summ!C1059)</f>
        <v>0.01</v>
      </c>
      <c r="C21" s="215">
        <f>IF([1]Summ!D1059="",0,[1]Summ!D1059)</f>
        <v>1.9999999999999997E-2</v>
      </c>
      <c r="D21" s="24">
        <f t="shared" si="18"/>
        <v>0.03</v>
      </c>
      <c r="E21" s="75">
        <f>Poor!E21</f>
        <v>1</v>
      </c>
      <c r="F21" s="22"/>
      <c r="H21" s="24">
        <f t="shared" si="19"/>
        <v>1</v>
      </c>
      <c r="I21" s="22">
        <f t="shared" si="20"/>
        <v>0.03</v>
      </c>
      <c r="J21" s="24">
        <f t="shared" si="17"/>
        <v>0.03</v>
      </c>
      <c r="K21" s="22">
        <f t="shared" si="21"/>
        <v>0.01</v>
      </c>
      <c r="L21" s="22">
        <f t="shared" si="22"/>
        <v>0.01</v>
      </c>
      <c r="M21" s="227">
        <f t="shared" si="23"/>
        <v>0.03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9102.4469477764196</v>
      </c>
      <c r="S21" s="223">
        <f>IF($B$81=0,0,(SUMIF($N$6:$N$28,$U21,L$6:L$28)+SUMIF($N$91:$N$118,$U21,L$91:L$118))*$I$83*Poor!$B$81/$B$81)</f>
        <v>6660</v>
      </c>
      <c r="T21" s="223">
        <f>IF($B$81=0,0,(SUMIF($N$6:$N$28,$U21,M$6:M$28)+SUMIF($N$91:$N$118,$U21,M$91:M$118))*$I$83*Poor!$B$81/$B$81)</f>
        <v>6660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Gifts/remittances: Events(Funerals, weddings)</v>
      </c>
      <c r="B22" s="215">
        <f>IF([1]Summ!C1060="",0,[1]Summ!C1060)</f>
        <v>5.6301369863013704E-3</v>
      </c>
      <c r="C22" s="215">
        <f>IF([1]Summ!D1060="",0,[1]Summ!D1060)</f>
        <v>0</v>
      </c>
      <c r="D22" s="24">
        <f t="shared" si="18"/>
        <v>5.6301369863013704E-3</v>
      </c>
      <c r="E22" s="75">
        <f>Poor!E22</f>
        <v>1</v>
      </c>
      <c r="F22" s="22"/>
      <c r="H22" s="24">
        <f t="shared" si="19"/>
        <v>1</v>
      </c>
      <c r="I22" s="22">
        <f t="shared" si="20"/>
        <v>5.6301369863013704E-3</v>
      </c>
      <c r="J22" s="24">
        <f t="shared" si="17"/>
        <v>5.6301369863013704E-3</v>
      </c>
      <c r="K22" s="22">
        <f t="shared" si="21"/>
        <v>5.6301369863013704E-3</v>
      </c>
      <c r="L22" s="22">
        <f t="shared" si="22"/>
        <v>5.6301369863013704E-3</v>
      </c>
      <c r="M22" s="227">
        <f t="shared" si="23"/>
        <v>5.6301369863013704E-3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56569.422548854098</v>
      </c>
      <c r="S23" s="179">
        <f>SUM(S7:S22)</f>
        <v>25646.250672447044</v>
      </c>
      <c r="T23" s="179">
        <f>SUM(T7:T22)</f>
        <v>26915.455371810309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9.5238095238095233E-2</v>
      </c>
      <c r="C26" s="215">
        <f>IF([1]Summ!D1064="",0,[1]Summ!D1064)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1.0605169613947694E-2</v>
      </c>
      <c r="C27" s="215">
        <f>IF([1]Summ!D1065="",0,[1]Summ!D1065)</f>
        <v>-1.0605169613947694E-2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1.0605169613947694E-2</v>
      </c>
      <c r="L27" s="22">
        <f t="shared" si="5"/>
        <v>1.0605169613947694E-2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0.10824155417185553</v>
      </c>
      <c r="C28" s="215">
        <f>IF([1]Summ!D1066="",0,[1]Summ!D1066)</f>
        <v>-0.10824155417185553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0.22331598679950185</v>
      </c>
      <c r="C29" s="215">
        <f>IF([1]Summ!D1067="",0,[1]Summ!D1067)</f>
        <v>1.3207871424952061E-3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0.22331598679950185</v>
      </c>
      <c r="L29" s="22">
        <f t="shared" si="5"/>
        <v>0.22331598679950185</v>
      </c>
      <c r="M29" s="225">
        <f t="shared" si="6"/>
        <v>0.22463677394199705</v>
      </c>
      <c r="N29" s="230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0.47410426400996258</v>
      </c>
      <c r="C30" s="103"/>
      <c r="D30" s="24">
        <f>(D119-B124)</f>
        <v>2.0288106859685207</v>
      </c>
      <c r="E30" s="75">
        <f>Poor!E30</f>
        <v>1</v>
      </c>
      <c r="H30" s="96">
        <f>(E30*F$7/F$9)</f>
        <v>1</v>
      </c>
      <c r="I30" s="29">
        <f>IF(E30&gt;=1,I119-I124,MIN(I119-I124,B30*H30))</f>
        <v>0.30182811852186575</v>
      </c>
      <c r="J30" s="232">
        <f>IF(I$32&lt;=1,I30,1-SUM(J6:J29))</f>
        <v>0.30182811852186575</v>
      </c>
      <c r="K30" s="22">
        <f t="shared" si="4"/>
        <v>0.47410426400996258</v>
      </c>
      <c r="L30" s="22">
        <f>IF(L124=L119,0,IF(K30="",0,(L119-L124)/(B119-B124)*K30))</f>
        <v>6.1727192853853932E-2</v>
      </c>
      <c r="M30" s="175">
        <f t="shared" si="6"/>
        <v>0.30182811852186575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3597.8700089966042</v>
      </c>
      <c r="T30" s="235">
        <f t="shared" si="24"/>
        <v>2328.6653096333393</v>
      </c>
      <c r="U30" s="56"/>
      <c r="V30" s="56"/>
      <c r="W30" s="110"/>
      <c r="X30" s="118"/>
      <c r="Y30" s="183">
        <f>M30*4</f>
        <v>1.207312474087463</v>
      </c>
      <c r="Z30" s="122">
        <f>IF($Y30=0,0,AA30/($Y$30))</f>
        <v>-3.7158624519684456E-2</v>
      </c>
      <c r="AA30" s="187">
        <f>IF(AA79*4/$I$83+SUM(AA6:AA29)&lt;1,AA79*4/$I$83,1-SUM(AA6:AA29))</f>
        <v>-4.4862070902547312E-2</v>
      </c>
      <c r="AB30" s="122">
        <f>IF($Y30=0,0,AC30/($Y$30))</f>
        <v>-3.7158624519684456E-2</v>
      </c>
      <c r="AC30" s="187">
        <f>IF(AC79*4/$I$83+SUM(AC6:AC29)&lt;1,AC79*4/$I$83,1-SUM(AC6:AC29))</f>
        <v>-4.4862070902547312E-2</v>
      </c>
      <c r="AD30" s="122">
        <f>IF($Y30=0,0,AE30/($Y$30))</f>
        <v>-3.7158624519684456E-2</v>
      </c>
      <c r="AE30" s="187">
        <f>IF(AE79*4/$I$83+SUM(AE6:AE29)&lt;1,AE79*4/$I$83,1-SUM(AE6:AE29))</f>
        <v>-4.4862070902547312E-2</v>
      </c>
      <c r="AF30" s="122">
        <f>IF($Y30=0,0,AG30/($Y$30))</f>
        <v>-3.7158624519684456E-2</v>
      </c>
      <c r="AG30" s="187">
        <f>IF(AG79*4/$I$83+SUM(AG6:AG29)&lt;1,AG79*4/$I$83,1-SUM(AG6:AG29))</f>
        <v>-4.4862070902547312E-2</v>
      </c>
      <c r="AH30" s="123">
        <f t="shared" si="12"/>
        <v>-0.14863449807873783</v>
      </c>
      <c r="AI30" s="183">
        <f t="shared" si="13"/>
        <v>-4.4862070902547312E-2</v>
      </c>
      <c r="AJ30" s="120">
        <f t="shared" si="14"/>
        <v>-4.4862070902547312E-2</v>
      </c>
      <c r="AK30" s="119">
        <f t="shared" si="15"/>
        <v>-4.4862070902547312E-2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0.12122003262805447</v>
      </c>
      <c r="K31" s="22" t="str">
        <f t="shared" si="4"/>
        <v/>
      </c>
      <c r="L31" s="22">
        <f>(1-SUM(L6:L30))</f>
        <v>0.26379502165275814</v>
      </c>
      <c r="M31" s="242">
        <f t="shared" si="6"/>
        <v>0.12122003262805447</v>
      </c>
      <c r="N31" s="167">
        <f>M31*I83</f>
        <v>2328.6653096333425</v>
      </c>
      <c r="P31" s="22"/>
      <c r="Q31" s="239" t="s">
        <v>142</v>
      </c>
      <c r="R31" s="235">
        <f t="shared" si="24"/>
        <v>0</v>
      </c>
      <c r="S31" s="235">
        <f t="shared" si="24"/>
        <v>15087.136675663271</v>
      </c>
      <c r="T31" s="235">
        <f>IF(T25&gt;T$23,T25-T$23,0)</f>
        <v>13817.931976300006</v>
      </c>
      <c r="U31" s="243"/>
      <c r="V31" s="56"/>
      <c r="W31" s="129" t="s">
        <v>84</v>
      </c>
      <c r="X31" s="130"/>
      <c r="Y31" s="121">
        <f>M31*4</f>
        <v>0.4848801305122179</v>
      </c>
      <c r="Z31" s="131"/>
      <c r="AA31" s="132">
        <f>1-AA32+IF($Y32&lt;0,$Y32/4,0)</f>
        <v>0.21819018217077391</v>
      </c>
      <c r="AB31" s="131"/>
      <c r="AC31" s="133">
        <f>1-AC32+IF($Y32&lt;0,$Y32/4,0)</f>
        <v>0.67492028466143383</v>
      </c>
      <c r="AD31" s="134"/>
      <c r="AE31" s="133">
        <f>1-AE32+IF($Y32&lt;0,$Y32/4,0)</f>
        <v>0.6534507965418821</v>
      </c>
      <c r="AF31" s="134"/>
      <c r="AG31" s="133">
        <f>1-AG32+IF($Y32&lt;0,$Y32/4,0)</f>
        <v>0.63628856630526953</v>
      </c>
      <c r="AH31" s="123"/>
      <c r="AI31" s="182">
        <f>SUM(AA31,AC31,AE31,AG31)/4</f>
        <v>0.54571245741983976</v>
      </c>
      <c r="AJ31" s="135">
        <f t="shared" si="14"/>
        <v>0.44655523341610387</v>
      </c>
      <c r="AK31" s="136">
        <f t="shared" si="15"/>
        <v>0.64486968142357581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1.1743060380774475</v>
      </c>
      <c r="C32" s="77">
        <f>SUM(C6:C31)</f>
        <v>-9.7525936643308025E-2</v>
      </c>
      <c r="D32" s="24">
        <f>SUM(D6:D30)</f>
        <v>2.6314865233926978</v>
      </c>
      <c r="E32" s="2"/>
      <c r="F32" s="2"/>
      <c r="H32" s="17"/>
      <c r="I32" s="22">
        <f>SUM(I6:I30)</f>
        <v>0.87877996737194553</v>
      </c>
      <c r="J32" s="17"/>
      <c r="L32" s="22">
        <f>SUM(L6:L30)</f>
        <v>0.73620497834724186</v>
      </c>
      <c r="M32" s="23"/>
      <c r="N32" s="56"/>
      <c r="O32" s="2"/>
      <c r="P32" s="22"/>
      <c r="Q32" s="235" t="s">
        <v>143</v>
      </c>
      <c r="R32" s="235">
        <f t="shared" si="24"/>
        <v>4625.1647992562212</v>
      </c>
      <c r="S32" s="235">
        <f t="shared" si="24"/>
        <v>35548.336675663275</v>
      </c>
      <c r="T32" s="235">
        <f t="shared" si="24"/>
        <v>34279.131976300006</v>
      </c>
      <c r="U32" s="56"/>
      <c r="V32" s="56"/>
      <c r="W32" s="110"/>
      <c r="X32" s="118"/>
      <c r="Y32" s="115">
        <f>SUM(Y6:Y31)</f>
        <v>3.6887910585305108</v>
      </c>
      <c r="Z32" s="137"/>
      <c r="AA32" s="138">
        <f>SUM(AA6:AA30)</f>
        <v>0.78180981782922609</v>
      </c>
      <c r="AB32" s="137"/>
      <c r="AC32" s="139">
        <f>SUM(AC6:AC30)</f>
        <v>0.32507971533856617</v>
      </c>
      <c r="AD32" s="137"/>
      <c r="AE32" s="139">
        <f>SUM(AE6:AE30)</f>
        <v>0.34654920345811785</v>
      </c>
      <c r="AF32" s="137"/>
      <c r="AG32" s="139">
        <f>SUM(AG6:AG30)</f>
        <v>0.36371143369473052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2.1733420118797793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11489.266666666665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other: Sheep hides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Other: cattle hides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Onions: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Beans: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 xml:space="preserve">Other root crops: Beetroot 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 xml:space="preserve">Tomato: 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Leafy green vegetables (spinach etc)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crop: pumpkin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Other crop: Carrots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WILD FOODS -- see worksheet Data 3</v>
      </c>
      <c r="B49" s="216">
        <f>IF([1]Summ!C1084="",0,[1]Summ!C1084)</f>
        <v>0</v>
      </c>
      <c r="C49" s="216">
        <f>IF([1]Summ!D1084="",0,[1]Summ!D1084)</f>
        <v>750</v>
      </c>
      <c r="D49" s="38">
        <f t="shared" si="25"/>
        <v>750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885</v>
      </c>
      <c r="J49" s="38">
        <f t="shared" si="32"/>
        <v>884.99999999999989</v>
      </c>
      <c r="K49" s="40">
        <f t="shared" si="33"/>
        <v>0</v>
      </c>
      <c r="L49" s="22">
        <f t="shared" si="34"/>
        <v>0</v>
      </c>
      <c r="M49" s="24">
        <f t="shared" si="35"/>
        <v>2.672101449275362E-2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221.24999999999997</v>
      </c>
      <c r="AB49" s="156">
        <f>Poor!AB49</f>
        <v>0.25</v>
      </c>
      <c r="AC49" s="147">
        <f t="shared" si="41"/>
        <v>221.24999999999997</v>
      </c>
      <c r="AD49" s="156">
        <f>Poor!AD49</f>
        <v>0.25</v>
      </c>
      <c r="AE49" s="147">
        <f t="shared" si="42"/>
        <v>221.24999999999997</v>
      </c>
      <c r="AF49" s="122">
        <f t="shared" si="29"/>
        <v>0.25</v>
      </c>
      <c r="AG49" s="147">
        <f t="shared" si="36"/>
        <v>221.24999999999997</v>
      </c>
      <c r="AH49" s="123">
        <f t="shared" si="37"/>
        <v>1</v>
      </c>
      <c r="AI49" s="112">
        <f t="shared" si="37"/>
        <v>884.99999999999989</v>
      </c>
      <c r="AJ49" s="148">
        <f t="shared" si="38"/>
        <v>442.49999999999994</v>
      </c>
      <c r="AK49" s="147">
        <f t="shared" si="39"/>
        <v>442.49999999999994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Small business -- see Data2</v>
      </c>
      <c r="B50" s="216">
        <f>IF([1]Summ!C1085="",0,[1]Summ!C1085)</f>
        <v>3600</v>
      </c>
      <c r="C50" s="216">
        <f>IF([1]Summ!D1085="",0,[1]Summ!D1085)</f>
        <v>0</v>
      </c>
      <c r="D50" s="38">
        <f t="shared" si="25"/>
        <v>3600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3398.3999999999996</v>
      </c>
      <c r="J50" s="38">
        <f t="shared" si="32"/>
        <v>3398.4</v>
      </c>
      <c r="K50" s="40">
        <f t="shared" si="33"/>
        <v>0.10869565217391304</v>
      </c>
      <c r="L50" s="22">
        <f t="shared" si="34"/>
        <v>0.1026086956521739</v>
      </c>
      <c r="M50" s="24">
        <f t="shared" si="35"/>
        <v>0.10260869565217391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849.6</v>
      </c>
      <c r="AB50" s="156">
        <f>Poor!AB55</f>
        <v>0.25</v>
      </c>
      <c r="AC50" s="147">
        <f t="shared" si="41"/>
        <v>849.6</v>
      </c>
      <c r="AD50" s="156">
        <f>Poor!AD55</f>
        <v>0.25</v>
      </c>
      <c r="AE50" s="147">
        <f t="shared" si="42"/>
        <v>849.6</v>
      </c>
      <c r="AF50" s="122">
        <f t="shared" si="29"/>
        <v>0.25</v>
      </c>
      <c r="AG50" s="147">
        <f t="shared" si="36"/>
        <v>849.6</v>
      </c>
      <c r="AH50" s="123">
        <f t="shared" si="37"/>
        <v>1</v>
      </c>
      <c r="AI50" s="112">
        <f t="shared" si="37"/>
        <v>3398.4</v>
      </c>
      <c r="AJ50" s="148">
        <f t="shared" si="38"/>
        <v>1699.2</v>
      </c>
      <c r="AK50" s="147">
        <f t="shared" si="39"/>
        <v>1699.2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Social development -- see Data2</v>
      </c>
      <c r="B51" s="216">
        <f>IF([1]Summ!C1086="",0,[1]Summ!C1086)</f>
        <v>15720</v>
      </c>
      <c r="C51" s="216">
        <f>IF([1]Summ!D1086="",0,[1]Summ!D1086)</f>
        <v>0</v>
      </c>
      <c r="D51" s="38">
        <f t="shared" si="25"/>
        <v>15720</v>
      </c>
      <c r="E51" s="75">
        <f>Poor!E51</f>
        <v>0</v>
      </c>
      <c r="F51" s="75">
        <f>Poor!F51</f>
        <v>1.18</v>
      </c>
      <c r="G51" s="75">
        <f>Poor!G51</f>
        <v>1.65</v>
      </c>
      <c r="H51" s="24">
        <f t="shared" si="30"/>
        <v>0</v>
      </c>
      <c r="I51" s="39">
        <f t="shared" si="31"/>
        <v>0</v>
      </c>
      <c r="J51" s="38">
        <f t="shared" si="32"/>
        <v>0</v>
      </c>
      <c r="K51" s="40">
        <f t="shared" si="33"/>
        <v>0.47463768115942029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Public works -- see Data2</v>
      </c>
      <c r="B52" s="216">
        <f>IF([1]Summ!C1087="",0,[1]Summ!C1087)</f>
        <v>7800</v>
      </c>
      <c r="C52" s="216">
        <f>IF([1]Summ!D1087="",0,[1]Summ!D1087)</f>
        <v>0</v>
      </c>
      <c r="D52" s="38">
        <f t="shared" si="25"/>
        <v>7800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9204</v>
      </c>
      <c r="J52" s="38">
        <f t="shared" si="32"/>
        <v>9204</v>
      </c>
      <c r="K52" s="40">
        <f t="shared" si="33"/>
        <v>0.23550724637681159</v>
      </c>
      <c r="L52" s="22">
        <f t="shared" si="34"/>
        <v>0.27789855072463765</v>
      </c>
      <c r="M52" s="24">
        <f t="shared" si="35"/>
        <v>0.27789855072463771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2301</v>
      </c>
      <c r="AB52" s="156">
        <f>Poor!AB57</f>
        <v>0.25</v>
      </c>
      <c r="AC52" s="147">
        <f t="shared" si="41"/>
        <v>2301</v>
      </c>
      <c r="AD52" s="156">
        <f>Poor!AD57</f>
        <v>0.25</v>
      </c>
      <c r="AE52" s="147">
        <f t="shared" si="42"/>
        <v>2301</v>
      </c>
      <c r="AF52" s="122">
        <f t="shared" si="29"/>
        <v>0.25</v>
      </c>
      <c r="AG52" s="147">
        <f t="shared" si="36"/>
        <v>2301</v>
      </c>
      <c r="AH52" s="123">
        <f t="shared" si="37"/>
        <v>1</v>
      </c>
      <c r="AI52" s="112">
        <f t="shared" si="37"/>
        <v>9204</v>
      </c>
      <c r="AJ52" s="148">
        <f t="shared" si="38"/>
        <v>4602</v>
      </c>
      <c r="AK52" s="147">
        <f t="shared" si="39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Remittances: no. times per year</v>
      </c>
      <c r="B53" s="216">
        <f>IF([1]Summ!C1088="",0,[1]Summ!C1088)</f>
        <v>6000</v>
      </c>
      <c r="C53" s="216">
        <f>IF([1]Summ!D1088="",0,[1]Summ!D1088)</f>
        <v>0</v>
      </c>
      <c r="D53" s="38">
        <f t="shared" si="25"/>
        <v>6000</v>
      </c>
      <c r="E53" s="75">
        <f>Poor!E53</f>
        <v>1</v>
      </c>
      <c r="F53" s="75">
        <f>Poor!F53</f>
        <v>1.1100000000000001</v>
      </c>
      <c r="G53" s="75">
        <f>Poor!G53</f>
        <v>1.65</v>
      </c>
      <c r="H53" s="24">
        <f t="shared" si="30"/>
        <v>1.1100000000000001</v>
      </c>
      <c r="I53" s="39">
        <f t="shared" si="31"/>
        <v>6660.0000000000009</v>
      </c>
      <c r="J53" s="38">
        <f t="shared" si="32"/>
        <v>6660</v>
      </c>
      <c r="K53" s="40">
        <f t="shared" si="33"/>
        <v>0.18115942028985507</v>
      </c>
      <c r="L53" s="22">
        <f t="shared" si="34"/>
        <v>0.20108695652173914</v>
      </c>
      <c r="M53" s="24">
        <f t="shared" si="35"/>
        <v>0.20108695652173914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33120</v>
      </c>
      <c r="C65" s="39">
        <f>SUM(C37:C64)</f>
        <v>750</v>
      </c>
      <c r="D65" s="42">
        <f>SUM(D37:D64)</f>
        <v>33870</v>
      </c>
      <c r="E65" s="32"/>
      <c r="F65" s="32"/>
      <c r="G65" s="32"/>
      <c r="H65" s="31"/>
      <c r="I65" s="39">
        <f>SUM(I37:I64)</f>
        <v>20147.400000000001</v>
      </c>
      <c r="J65" s="39">
        <f>SUM(J37:J64)</f>
        <v>20147.400000000001</v>
      </c>
      <c r="K65" s="40">
        <f>SUM(K37:K64)</f>
        <v>1</v>
      </c>
      <c r="L65" s="22">
        <f>SUM(L37:L64)</f>
        <v>0.58159420289855068</v>
      </c>
      <c r="M65" s="24">
        <f>SUM(M37:M64)</f>
        <v>0.60831521739130434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3371.85</v>
      </c>
      <c r="AB65" s="137"/>
      <c r="AC65" s="153">
        <f>SUM(AC37:AC64)</f>
        <v>3371.85</v>
      </c>
      <c r="AD65" s="137"/>
      <c r="AE65" s="153">
        <f>SUM(AE37:AE64)</f>
        <v>3371.85</v>
      </c>
      <c r="AF65" s="137"/>
      <c r="AG65" s="153">
        <f>SUM(AG37:AG64)</f>
        <v>3371.85</v>
      </c>
      <c r="AH65" s="137"/>
      <c r="AI65" s="153">
        <f>SUM(AI37:AI64)</f>
        <v>13487.4</v>
      </c>
      <c r="AJ65" s="153">
        <f>SUM(AJ37:AJ64)</f>
        <v>6743.7</v>
      </c>
      <c r="AK65" s="153">
        <f>SUM(AK37:AK64)</f>
        <v>6743.7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10249.436373711666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44">J124*I$83</f>
        <v>14349.210923196333</v>
      </c>
      <c r="K70" s="40">
        <f>B70/B$76</f>
        <v>0.30946365862655995</v>
      </c>
      <c r="L70" s="22">
        <f t="shared" ref="L70:L74" si="45">(L124*G$37*F$9/F$7)/B$130</f>
        <v>0.43324912207718402</v>
      </c>
      <c r="M70" s="24">
        <f>J70/B$76</f>
        <v>0.43324912207718397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3587.3027307990833</v>
      </c>
      <c r="AB70" s="156">
        <f>Poor!AB70</f>
        <v>0.25</v>
      </c>
      <c r="AC70" s="147">
        <f>$J70*AB70</f>
        <v>3587.3027307990833</v>
      </c>
      <c r="AD70" s="156">
        <f>Poor!AD70</f>
        <v>0.25</v>
      </c>
      <c r="AE70" s="147">
        <f>$J70*AD70</f>
        <v>3587.3027307990833</v>
      </c>
      <c r="AF70" s="156">
        <f>Poor!AF70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5798.1890768036674</v>
      </c>
      <c r="J71" s="51">
        <f t="shared" si="44"/>
        <v>5798.1890768036674</v>
      </c>
      <c r="K71" s="40">
        <f t="shared" ref="K71:K72" si="47">B71/B$76</f>
        <v>0.29398148148148151</v>
      </c>
      <c r="L71" s="22">
        <f t="shared" si="45"/>
        <v>0.14834508082136677</v>
      </c>
      <c r="M71" s="24">
        <f t="shared" ref="M71:M72" si="48">J71/B$76</f>
        <v>0.1750660953141204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0.52355072463768115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750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2.2644927536231884E-2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79.649999999999991</v>
      </c>
      <c r="AB73" s="156">
        <f>Poor!AB73</f>
        <v>0.09</v>
      </c>
      <c r="AC73" s="147">
        <f>$H$73*$B$73*AB73</f>
        <v>79.649999999999991</v>
      </c>
      <c r="AD73" s="156">
        <f>Poor!AD73</f>
        <v>0.23</v>
      </c>
      <c r="AE73" s="147">
        <f>$H$73*$B$73*AD73</f>
        <v>203.55</v>
      </c>
      <c r="AF73" s="156">
        <f>Poor!AF73</f>
        <v>0.59</v>
      </c>
      <c r="AG73" s="147">
        <f>$H$73*$B$73*AF73</f>
        <v>522.15</v>
      </c>
      <c r="AH73" s="155">
        <f>SUM(Z73,AB73,AD73,AF73)</f>
        <v>1</v>
      </c>
      <c r="AI73" s="147">
        <f>SUM(AA73,AC73,AE73,AG73)</f>
        <v>885</v>
      </c>
      <c r="AJ73" s="148">
        <f>(AA73+AC73)</f>
        <v>159.29999999999998</v>
      </c>
      <c r="AK73" s="147">
        <f>(AE73+AG73)</f>
        <v>725.7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5519.7904915390827</v>
      </c>
      <c r="C74" s="39"/>
      <c r="D74" s="38"/>
      <c r="E74" s="32"/>
      <c r="F74" s="32"/>
      <c r="G74" s="32"/>
      <c r="H74" s="31"/>
      <c r="I74" s="39">
        <f>I128*I$83</f>
        <v>5798.1890768036674</v>
      </c>
      <c r="J74" s="51">
        <f t="shared" si="44"/>
        <v>5798.1890768036674</v>
      </c>
      <c r="K74" s="40">
        <f>B74/B$76</f>
        <v>0.16666034092811241</v>
      </c>
      <c r="L74" s="22">
        <f t="shared" si="45"/>
        <v>3.5802955273178193E-2</v>
      </c>
      <c r="M74" s="24">
        <f>J74/B$76</f>
        <v>0.1750660953141204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-215.45273079908338</v>
      </c>
      <c r="AB74" s="156"/>
      <c r="AC74" s="147">
        <f>AC30*$I$83/4</f>
        <v>-215.45273079908338</v>
      </c>
      <c r="AD74" s="156"/>
      <c r="AE74" s="147">
        <f>AE30*$I$83/4</f>
        <v>-215.45273079908338</v>
      </c>
      <c r="AF74" s="156"/>
      <c r="AG74" s="147">
        <f>AG30*$I$83/4</f>
        <v>-215.45273079908338</v>
      </c>
      <c r="AH74" s="155"/>
      <c r="AI74" s="147">
        <f>SUM(AA74,AC74,AE74,AG74)</f>
        <v>-861.81092319633353</v>
      </c>
      <c r="AJ74" s="148">
        <f>(AA74+AC74)</f>
        <v>-430.90546159816677</v>
      </c>
      <c r="AK74" s="147">
        <f>(AE74+AG74)</f>
        <v>-430.90546159816677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33120</v>
      </c>
      <c r="C76" s="39"/>
      <c r="D76" s="38"/>
      <c r="E76" s="32"/>
      <c r="F76" s="32"/>
      <c r="G76" s="32"/>
      <c r="H76" s="31"/>
      <c r="I76" s="39">
        <f>I130*I$83</f>
        <v>20147.400000000001</v>
      </c>
      <c r="J76" s="51">
        <f t="shared" si="44"/>
        <v>20147.400000000001</v>
      </c>
      <c r="K76" s="40">
        <f>SUM(K70:K75)</f>
        <v>1.3163011332100669</v>
      </c>
      <c r="L76" s="22">
        <f>SUM(L70:L75)</f>
        <v>0.61739715817172902</v>
      </c>
      <c r="M76" s="24">
        <f>SUM(M70:M75)</f>
        <v>0.78338131270542477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3371.85</v>
      </c>
      <c r="AB76" s="137"/>
      <c r="AC76" s="153">
        <f>AC65</f>
        <v>3371.85</v>
      </c>
      <c r="AD76" s="137"/>
      <c r="AE76" s="153">
        <f>AE65</f>
        <v>3371.85</v>
      </c>
      <c r="AF76" s="137"/>
      <c r="AG76" s="153">
        <f>AG65</f>
        <v>3371.85</v>
      </c>
      <c r="AH76" s="137"/>
      <c r="AI76" s="153">
        <f>SUM(AA76,AC76,AE76,AG76)</f>
        <v>13487.4</v>
      </c>
      <c r="AJ76" s="154">
        <f>SUM(AA76,AC76)</f>
        <v>6743.7</v>
      </c>
      <c r="AK76" s="154">
        <f>SUM(AE76,AG76)</f>
        <v>6743.7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11489.266666666665</v>
      </c>
      <c r="J77" s="100">
        <f t="shared" si="44"/>
        <v>11489.266666666665</v>
      </c>
      <c r="K77" s="40"/>
      <c r="L77" s="22">
        <f>-(L131*G$37*F$9/F$7)/B$130</f>
        <v>-0.34689814814814818</v>
      </c>
      <c r="M77" s="24">
        <f>-J77/B$76</f>
        <v>-0.34689814814814807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1047.8711668117278</v>
      </c>
      <c r="AB77" s="112"/>
      <c r="AC77" s="111">
        <f>AC31*$I$83/4</f>
        <v>3241.3443132814432</v>
      </c>
      <c r="AD77" s="112"/>
      <c r="AE77" s="111">
        <f>AE31*$I$83/4</f>
        <v>3138.2358354257485</v>
      </c>
      <c r="AF77" s="112"/>
      <c r="AG77" s="111">
        <f>AG31*$I$83/4</f>
        <v>3055.8132165699876</v>
      </c>
      <c r="AH77" s="110"/>
      <c r="AI77" s="154">
        <f>SUM(AA77,AC77,AE77,AG77)</f>
        <v>10483.264532088908</v>
      </c>
      <c r="AJ77" s="153">
        <f>SUM(AA77,AC77)</f>
        <v>4289.2154800931712</v>
      </c>
      <c r="AK77" s="160">
        <f>SUM(AE77,AG77)</f>
        <v>6194.0490519957366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-215.45273079908338</v>
      </c>
      <c r="AB79" s="112"/>
      <c r="AC79" s="112">
        <f>AA79-AA74+AC65-AC70</f>
        <v>-215.45273079908338</v>
      </c>
      <c r="AD79" s="112"/>
      <c r="AE79" s="112">
        <f>AC79-AC74+AE65-AE70</f>
        <v>-215.45273079908338</v>
      </c>
      <c r="AF79" s="112"/>
      <c r="AG79" s="112">
        <f>AE79-AE74+AG65-AG70</f>
        <v>-215.45273079908338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11642.566647371668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4802.5587420408128</v>
      </c>
      <c r="AB83" s="112"/>
      <c r="AC83" s="165">
        <f>$I$83*AB82/4</f>
        <v>4802.5587420408128</v>
      </c>
      <c r="AD83" s="112"/>
      <c r="AE83" s="165">
        <f>$I$83*AD82/4</f>
        <v>4802.5587420408128</v>
      </c>
      <c r="AF83" s="112"/>
      <c r="AG83" s="165">
        <f>$I$83*AF82/4</f>
        <v>4802.5587420408128</v>
      </c>
      <c r="AH83" s="165">
        <f>SUM(AA83,AC83,AE83,AG83)</f>
        <v>19210.234968163251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29244.120681443648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other: Sheep hides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Other: cattle hides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8">
        <f t="shared" si="49"/>
        <v>0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0.57212121212121214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0.92484848484848492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9">
        <f t="shared" si="49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Onions: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9">
        <f t="shared" si="49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Beans: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 xml:space="preserve">Other root crops: Beetroot 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9">
        <f t="shared" si="49"/>
        <v>0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 xml:space="preserve">Tomato: 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Leafy green vegetables (spinach etc)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9">
        <f t="shared" si="49"/>
        <v>0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crop: pumpkin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8">
        <f t="shared" si="49"/>
        <v>0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Other crop: Carrots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9">
        <f t="shared" si="49"/>
        <v>0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WILD FOODS -- see worksheet Data 3</v>
      </c>
      <c r="B103" s="75">
        <f t="shared" si="51"/>
        <v>0</v>
      </c>
      <c r="C103" s="75">
        <f t="shared" si="51"/>
        <v>6.4418785197103756E-2</v>
      </c>
      <c r="D103" s="24">
        <f t="shared" si="52"/>
        <v>6.4418785197103756E-2</v>
      </c>
      <c r="H103" s="24">
        <f t="shared" si="53"/>
        <v>0.7151515151515152</v>
      </c>
      <c r="I103" s="22">
        <f t="shared" si="54"/>
        <v>4.606919183792875E-2</v>
      </c>
      <c r="J103" s="24">
        <f>IF(I$32&lt;=1+I131,I103,L103+J$33*(I103-L103))</f>
        <v>4.606919183792875E-2</v>
      </c>
      <c r="K103" s="22">
        <f t="shared" si="56"/>
        <v>0</v>
      </c>
      <c r="L103" s="22">
        <f t="shared" si="57"/>
        <v>0</v>
      </c>
      <c r="M103" s="229">
        <f t="shared" si="49"/>
        <v>4.606919183792875E-2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Small business -- see Data2</v>
      </c>
      <c r="B104" s="75">
        <f t="shared" si="51"/>
        <v>0.30921016894609804</v>
      </c>
      <c r="C104" s="75">
        <f t="shared" si="51"/>
        <v>0</v>
      </c>
      <c r="D104" s="24">
        <f t="shared" si="52"/>
        <v>0.30921016894609804</v>
      </c>
      <c r="H104" s="24">
        <f t="shared" si="53"/>
        <v>0.57212121212121214</v>
      </c>
      <c r="I104" s="22">
        <f t="shared" si="54"/>
        <v>0.17690569665764641</v>
      </c>
      <c r="J104" s="24">
        <f>IF(I$32&lt;=1+I131,I104,L104+J$33*(I104-L104))</f>
        <v>0.17690569665764641</v>
      </c>
      <c r="K104" s="22">
        <f t="shared" si="56"/>
        <v>0.30921016894609804</v>
      </c>
      <c r="L104" s="22">
        <f t="shared" si="57"/>
        <v>0.17690569665764641</v>
      </c>
      <c r="M104" s="229">
        <f t="shared" si="49"/>
        <v>0.17690569665764641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Social development -- see Data2</v>
      </c>
      <c r="B105" s="75">
        <f t="shared" si="51"/>
        <v>1.3502177377312949</v>
      </c>
      <c r="C105" s="75">
        <f t="shared" si="51"/>
        <v>0</v>
      </c>
      <c r="D105" s="24">
        <f t="shared" si="52"/>
        <v>1.3502177377312949</v>
      </c>
      <c r="H105" s="24">
        <f t="shared" si="53"/>
        <v>0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1.3502177377312949</v>
      </c>
      <c r="L105" s="22">
        <f t="shared" si="57"/>
        <v>0</v>
      </c>
      <c r="M105" s="229">
        <f t="shared" si="49"/>
        <v>0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Public works -- see Data2</v>
      </c>
      <c r="B106" s="75">
        <f t="shared" si="51"/>
        <v>0.66995536604987915</v>
      </c>
      <c r="C106" s="75">
        <f t="shared" si="51"/>
        <v>0</v>
      </c>
      <c r="D106" s="24">
        <f t="shared" si="52"/>
        <v>0.66995536604987915</v>
      </c>
      <c r="H106" s="24">
        <f t="shared" si="53"/>
        <v>0.7151515151515152</v>
      </c>
      <c r="I106" s="22">
        <f t="shared" si="54"/>
        <v>0.47911959511445906</v>
      </c>
      <c r="J106" s="24">
        <f>IF(I$32&lt;=1+I132,I106,L106+J$33*(I106-L106))</f>
        <v>0.47911959511445906</v>
      </c>
      <c r="K106" s="22">
        <f t="shared" si="56"/>
        <v>0.66995536604987915</v>
      </c>
      <c r="L106" s="22">
        <f t="shared" si="57"/>
        <v>0.47911959511445906</v>
      </c>
      <c r="M106" s="229">
        <f>(J106)</f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Remittances: no. times per year</v>
      </c>
      <c r="B107" s="75">
        <f t="shared" si="51"/>
        <v>0.51535028157683005</v>
      </c>
      <c r="C107" s="75">
        <f t="shared" si="51"/>
        <v>0</v>
      </c>
      <c r="D107" s="24">
        <f t="shared" ref="D107:D118" si="59">(B107+C107)</f>
        <v>0.51535028157683005</v>
      </c>
      <c r="H107" s="24">
        <f t="shared" ref="H107:H118" si="60">(E53*F53/G53*F$7/F$9)</f>
        <v>0.67272727272727284</v>
      </c>
      <c r="I107" s="22">
        <f t="shared" ref="I107:I118" si="61">(D107*H107)</f>
        <v>0.34669018942441299</v>
      </c>
      <c r="J107" s="24">
        <f t="shared" ref="J107:J118" si="62">IF(I$32&lt;=1+I133,I107,L107+J$33*(I107-L107))</f>
        <v>0.34669018942441299</v>
      </c>
      <c r="K107" s="22">
        <f t="shared" ref="K107:K118" si="63">(B107)</f>
        <v>0.51535028157683005</v>
      </c>
      <c r="L107" s="22">
        <f t="shared" ref="L107:L118" si="64">(K107*H107)</f>
        <v>0.34669018942441299</v>
      </c>
      <c r="M107" s="229">
        <f t="shared" ref="M107:M118" si="65">(J107)</f>
        <v>0.34669018942441299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2.8447335543041019</v>
      </c>
      <c r="C119" s="22">
        <f>SUM(C91:C118)</f>
        <v>6.4418785197103756E-2</v>
      </c>
      <c r="D119" s="24">
        <f>SUM(D91:D118)</f>
        <v>2.909152339501206</v>
      </c>
      <c r="E119" s="22"/>
      <c r="F119" s="2"/>
      <c r="G119" s="2"/>
      <c r="H119" s="31"/>
      <c r="I119" s="22">
        <f>SUM(I91:I118)</f>
        <v>1.0487846730344472</v>
      </c>
      <c r="J119" s="24">
        <f>SUM(J91:J118)</f>
        <v>1.0487846730344472</v>
      </c>
      <c r="K119" s="22">
        <f>SUM(K91:K118)</f>
        <v>2.8447335543041019</v>
      </c>
      <c r="L119" s="22">
        <f>SUM(L91:L118)</f>
        <v>1.0027154811965184</v>
      </c>
      <c r="M119" s="57">
        <f t="shared" si="49"/>
        <v>1.0487846730344472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0.88034165353268523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9">
        <f>(B124)</f>
        <v>0.88034165353268523</v>
      </c>
      <c r="L124" s="29">
        <f>IF(SUMPRODUCT($B$124:$B124,$H$124:$H124)&lt;L$119,($B124*$H124),L$119)</f>
        <v>0.74695655451258147</v>
      </c>
      <c r="M124" s="241">
        <f t="shared" si="66"/>
        <v>0.74695655451258147</v>
      </c>
      <c r="N124" s="58"/>
      <c r="O124" s="174">
        <f>B124*H124</f>
        <v>0.74695655451258147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0.30182811852186575</v>
      </c>
      <c r="J125" s="238">
        <f>IF(SUMPRODUCT($B$124:$B125,$H$124:$H125)&lt;J$119,($B125*$H125),IF(SUMPRODUCT($B$124:$B124,$H$124:$H124)&lt;J$119,J$119-SUMPRODUCT($B$124:$B124,$H$124:$H124),0))</f>
        <v>0.30182811852186575</v>
      </c>
      <c r="K125" s="29">
        <f>(B125)</f>
        <v>0.83629898471440045</v>
      </c>
      <c r="L125" s="29">
        <f>IF(SUMPRODUCT($B$124:$B125,$H$124:$H125)&lt;L$119,($B125*$H125),IF(SUMPRODUCT($B$124:$B124,$H$124:$H124)&lt;L$119,L$119-SUMPRODUCT($B$124:$B124,$H$124:$H124),0))</f>
        <v>0.25575892668393696</v>
      </c>
      <c r="M125" s="241">
        <f t="shared" si="66"/>
        <v>0.30182811852186575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6.4418785197103756E-2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6.4418785197103756E-2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4.606919183792875E-2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0.47410426400996258</v>
      </c>
      <c r="C128" s="2"/>
      <c r="D128" s="31"/>
      <c r="E128" s="2"/>
      <c r="F128" s="2"/>
      <c r="G128" s="2"/>
      <c r="H128" s="24"/>
      <c r="I128" s="29">
        <f>(I30)</f>
        <v>0.30182811852186575</v>
      </c>
      <c r="J128" s="229">
        <f>(J30)</f>
        <v>0.30182811852186575</v>
      </c>
      <c r="K128" s="29">
        <f>(B128)</f>
        <v>0.47410426400996258</v>
      </c>
      <c r="L128" s="29">
        <f>IF(L124=L119,0,(L119-L124)/(B119-B124)*K128)</f>
        <v>6.1727192853853932E-2</v>
      </c>
      <c r="M128" s="241">
        <f t="shared" si="66"/>
        <v>0.30182811852186575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2.8447335543041019</v>
      </c>
      <c r="C130" s="2"/>
      <c r="D130" s="31"/>
      <c r="E130" s="2"/>
      <c r="F130" s="2"/>
      <c r="G130" s="2"/>
      <c r="H130" s="24"/>
      <c r="I130" s="29">
        <f>(I119)</f>
        <v>1.0487846730344472</v>
      </c>
      <c r="J130" s="229">
        <f>(J119)</f>
        <v>1.0487846730344472</v>
      </c>
      <c r="K130" s="29">
        <f>(B130)</f>
        <v>2.8447335543041019</v>
      </c>
      <c r="L130" s="29">
        <f>(L119)</f>
        <v>1.0027154811965184</v>
      </c>
      <c r="M130" s="241">
        <f t="shared" si="66"/>
        <v>1.0487846730344472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0.59808048603817721</v>
      </c>
      <c r="K131" s="29"/>
      <c r="L131" s="29">
        <f>IF(I131&lt;SUM(L126:L127),0,I131-(SUM(L126:L127)))</f>
        <v>0.59808048603817721</v>
      </c>
      <c r="M131" s="238">
        <f>IF(I131&lt;SUM(M126:M127),0,I131-(SUM(M126:M127)))</f>
        <v>0.59808048603817721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276" operator="equal">
      <formula>16</formula>
    </cfRule>
    <cfRule type="cellIs" dxfId="570" priority="277" operator="equal">
      <formula>15</formula>
    </cfRule>
    <cfRule type="cellIs" dxfId="569" priority="278" operator="equal">
      <formula>14</formula>
    </cfRule>
    <cfRule type="cellIs" dxfId="568" priority="279" operator="equal">
      <formula>13</formula>
    </cfRule>
    <cfRule type="cellIs" dxfId="567" priority="280" operator="equal">
      <formula>12</formula>
    </cfRule>
    <cfRule type="cellIs" dxfId="566" priority="281" operator="equal">
      <formula>11</formula>
    </cfRule>
    <cfRule type="cellIs" dxfId="565" priority="282" operator="equal">
      <formula>10</formula>
    </cfRule>
    <cfRule type="cellIs" dxfId="564" priority="283" operator="equal">
      <formula>9</formula>
    </cfRule>
    <cfRule type="cellIs" dxfId="563" priority="284" operator="equal">
      <formula>8</formula>
    </cfRule>
    <cfRule type="cellIs" dxfId="562" priority="285" operator="equal">
      <formula>7</formula>
    </cfRule>
    <cfRule type="cellIs" dxfId="561" priority="286" operator="equal">
      <formula>6</formula>
    </cfRule>
    <cfRule type="cellIs" dxfId="560" priority="287" operator="equal">
      <formula>5</formula>
    </cfRule>
    <cfRule type="cellIs" dxfId="559" priority="288" operator="equal">
      <formula>4</formula>
    </cfRule>
    <cfRule type="cellIs" dxfId="558" priority="289" operator="equal">
      <formula>3</formula>
    </cfRule>
    <cfRule type="cellIs" dxfId="557" priority="290" operator="equal">
      <formula>2</formula>
    </cfRule>
    <cfRule type="cellIs" dxfId="556" priority="291" operator="equal">
      <formula>1</formula>
    </cfRule>
  </conditionalFormatting>
  <conditionalFormatting sqref="N29">
    <cfRule type="cellIs" dxfId="555" priority="260" operator="equal">
      <formula>16</formula>
    </cfRule>
    <cfRule type="cellIs" dxfId="554" priority="261" operator="equal">
      <formula>15</formula>
    </cfRule>
    <cfRule type="cellIs" dxfId="553" priority="262" operator="equal">
      <formula>14</formula>
    </cfRule>
    <cfRule type="cellIs" dxfId="552" priority="263" operator="equal">
      <formula>13</formula>
    </cfRule>
    <cfRule type="cellIs" dxfId="551" priority="264" operator="equal">
      <formula>12</formula>
    </cfRule>
    <cfRule type="cellIs" dxfId="550" priority="265" operator="equal">
      <formula>11</formula>
    </cfRule>
    <cfRule type="cellIs" dxfId="549" priority="266" operator="equal">
      <formula>10</formula>
    </cfRule>
    <cfRule type="cellIs" dxfId="548" priority="267" operator="equal">
      <formula>9</formula>
    </cfRule>
    <cfRule type="cellIs" dxfId="547" priority="268" operator="equal">
      <formula>8</formula>
    </cfRule>
    <cfRule type="cellIs" dxfId="546" priority="269" operator="equal">
      <formula>7</formula>
    </cfRule>
    <cfRule type="cellIs" dxfId="545" priority="270" operator="equal">
      <formula>6</formula>
    </cfRule>
    <cfRule type="cellIs" dxfId="544" priority="271" operator="equal">
      <formula>5</formula>
    </cfRule>
    <cfRule type="cellIs" dxfId="543" priority="272" operator="equal">
      <formula>4</formula>
    </cfRule>
    <cfRule type="cellIs" dxfId="542" priority="273" operator="equal">
      <formula>3</formula>
    </cfRule>
    <cfRule type="cellIs" dxfId="541" priority="274" operator="equal">
      <formula>2</formula>
    </cfRule>
    <cfRule type="cellIs" dxfId="540" priority="275" operator="equal">
      <formula>1</formula>
    </cfRule>
  </conditionalFormatting>
  <conditionalFormatting sqref="N119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7:N28">
    <cfRule type="cellIs" dxfId="523" priority="196" operator="equal">
      <formula>16</formula>
    </cfRule>
    <cfRule type="cellIs" dxfId="522" priority="197" operator="equal">
      <formula>15</formula>
    </cfRule>
    <cfRule type="cellIs" dxfId="521" priority="198" operator="equal">
      <formula>14</formula>
    </cfRule>
    <cfRule type="cellIs" dxfId="520" priority="199" operator="equal">
      <formula>13</formula>
    </cfRule>
    <cfRule type="cellIs" dxfId="519" priority="200" operator="equal">
      <formula>12</formula>
    </cfRule>
    <cfRule type="cellIs" dxfId="518" priority="201" operator="equal">
      <formula>11</formula>
    </cfRule>
    <cfRule type="cellIs" dxfId="517" priority="202" operator="equal">
      <formula>10</formula>
    </cfRule>
    <cfRule type="cellIs" dxfId="516" priority="203" operator="equal">
      <formula>9</formula>
    </cfRule>
    <cfRule type="cellIs" dxfId="515" priority="204" operator="equal">
      <formula>8</formula>
    </cfRule>
    <cfRule type="cellIs" dxfId="514" priority="205" operator="equal">
      <formula>7</formula>
    </cfRule>
    <cfRule type="cellIs" dxfId="513" priority="206" operator="equal">
      <formula>6</formula>
    </cfRule>
    <cfRule type="cellIs" dxfId="512" priority="207" operator="equal">
      <formula>5</formula>
    </cfRule>
    <cfRule type="cellIs" dxfId="511" priority="208" operator="equal">
      <formula>4</formula>
    </cfRule>
    <cfRule type="cellIs" dxfId="510" priority="209" operator="equal">
      <formula>3</formula>
    </cfRule>
    <cfRule type="cellIs" dxfId="509" priority="210" operator="equal">
      <formula>2</formula>
    </cfRule>
    <cfRule type="cellIs" dxfId="508" priority="211" operator="equal">
      <formula>1</formula>
    </cfRule>
  </conditionalFormatting>
  <conditionalFormatting sqref="N6:N26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3:N118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2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K20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ZAOCC: 59209</v>
      </c>
      <c r="B1" s="244" t="str">
        <f>[1]WB!$A$2</f>
        <v>Free State Open Access Cattle and Crops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0.10344472229140719</v>
      </c>
      <c r="C6" s="215">
        <f>IF([1]Summ!F1044="",0,[1]Summ!F1044)</f>
        <v>0</v>
      </c>
      <c r="D6" s="24">
        <f t="shared" ref="D6:D16" si="0">SUM(B6,C6)</f>
        <v>0.10344472229140719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5.1722361145703596E-2</v>
      </c>
      <c r="J6" s="24">
        <f t="shared" ref="J6:J13" si="3">IF(I$32&lt;=1+I$131,I6,B6*H6+J$33*(I6-B6*H6))</f>
        <v>5.1722361145703596E-2</v>
      </c>
      <c r="K6" s="22">
        <f t="shared" ref="K6:K31" si="4">B6</f>
        <v>0.10344472229140719</v>
      </c>
      <c r="L6" s="22">
        <f t="shared" ref="L6:L29" si="5">IF(K6="","",K6*H6)</f>
        <v>5.1722361145703596E-2</v>
      </c>
      <c r="M6" s="225">
        <f t="shared" ref="M6:M31" si="6">J6</f>
        <v>5.1722361145703596E-2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0.20688944458281439</v>
      </c>
      <c r="Z6" s="116">
        <v>0.17</v>
      </c>
      <c r="AA6" s="121">
        <f>$M6*Z6*4</f>
        <v>3.5171205579078449E-2</v>
      </c>
      <c r="AB6" s="116">
        <v>0.17</v>
      </c>
      <c r="AC6" s="121">
        <f t="shared" ref="AC6:AC29" si="7">$M6*AB6*4</f>
        <v>3.5171205579078449E-2</v>
      </c>
      <c r="AD6" s="116">
        <v>0.33</v>
      </c>
      <c r="AE6" s="121">
        <f t="shared" ref="AE6:AE29" si="8">$M6*AD6*4</f>
        <v>6.8273516712328744E-2</v>
      </c>
      <c r="AF6" s="122">
        <f>1-SUM(Z6,AB6,AD6)</f>
        <v>0.32999999999999996</v>
      </c>
      <c r="AG6" s="121">
        <f>$M6*AF6*4</f>
        <v>6.8273516712328744E-2</v>
      </c>
      <c r="AH6" s="123">
        <f>SUM(Z6,AB6,AD6,AF6)</f>
        <v>1</v>
      </c>
      <c r="AI6" s="183">
        <f>SUM(AA6,AC6,AE6,AG6)/4</f>
        <v>5.1722361145703596E-2</v>
      </c>
      <c r="AJ6" s="120">
        <f>(AA6+AC6)/2</f>
        <v>3.5171205579078449E-2</v>
      </c>
      <c r="AK6" s="119">
        <f>(AE6+AG6)/2</f>
        <v>6.8273516712328744E-2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6.0064677459526775E-2</v>
      </c>
      <c r="C7" s="215">
        <f>IF([1]Summ!F1045="",0,[1]Summ!F1045)</f>
        <v>0</v>
      </c>
      <c r="D7" s="24">
        <f t="shared" si="0"/>
        <v>6.0064677459526775E-2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3.0032338729763387E-2</v>
      </c>
      <c r="J7" s="24">
        <f t="shared" si="3"/>
        <v>3.0032338729763387E-2</v>
      </c>
      <c r="K7" s="22">
        <f t="shared" si="4"/>
        <v>6.0064677459526775E-2</v>
      </c>
      <c r="L7" s="22">
        <f t="shared" si="5"/>
        <v>3.0032338729763387E-2</v>
      </c>
      <c r="M7" s="225">
        <f t="shared" si="6"/>
        <v>3.0032338729763387E-2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2601.7421940384984</v>
      </c>
      <c r="S7" s="223">
        <f>IF($B$81=0,0,(SUMIF($N$6:$N$28,$U7,L$6:L$28)+SUMIF($N$91:$N$118,$U7,L$91:L$118))*$I$83*Poor!$B$81/$B$81)</f>
        <v>2895.1511899175553</v>
      </c>
      <c r="T7" s="223">
        <f>IF($B$81=0,0,(SUMIF($N$6:$N$28,$U7,M$6:M$28)+SUMIF($N$91:$N$118,$U7,M$91:M$118))*$I$83*Poor!$B$81/$B$81)</f>
        <v>2902.1486914470547</v>
      </c>
      <c r="U7" s="224">
        <v>1</v>
      </c>
      <c r="V7" s="56"/>
      <c r="W7" s="115"/>
      <c r="X7" s="124">
        <v>4</v>
      </c>
      <c r="Y7" s="183">
        <f t="shared" ref="Y7:Y29" si="9">M7*4</f>
        <v>0.12012935491905355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0.12012935491905355</v>
      </c>
      <c r="AH7" s="123">
        <f t="shared" ref="AH7:AH30" si="12">SUM(Z7,AB7,AD7,AF7)</f>
        <v>1</v>
      </c>
      <c r="AI7" s="183">
        <f t="shared" ref="AI7:AI30" si="13">SUM(AA7,AC7,AE7,AG7)/4</f>
        <v>3.0032338729763387E-2</v>
      </c>
      <c r="AJ7" s="120">
        <f t="shared" ref="AJ7:AJ31" si="14">(AA7+AC7)/2</f>
        <v>0</v>
      </c>
      <c r="AK7" s="119">
        <f t="shared" ref="AK7:AK31" si="15">(AE7+AG7)/2</f>
        <v>6.0064677459526775E-2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4.7251400996264009E-3</v>
      </c>
      <c r="C8" s="215">
        <f>IF([1]Summ!F1046="",0,[1]Summ!F1046)</f>
        <v>0</v>
      </c>
      <c r="D8" s="24">
        <f t="shared" si="0"/>
        <v>4.7251400996264009E-3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2.3625700498132005E-3</v>
      </c>
      <c r="J8" s="24">
        <f t="shared" si="3"/>
        <v>2.3625700498132005E-3</v>
      </c>
      <c r="K8" s="22">
        <f t="shared" si="4"/>
        <v>4.7251400996264009E-3</v>
      </c>
      <c r="L8" s="22">
        <f t="shared" si="5"/>
        <v>2.3625700498132005E-3</v>
      </c>
      <c r="M8" s="225">
        <f t="shared" si="6"/>
        <v>2.3625700498132005E-3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53.097607195362443</v>
      </c>
      <c r="S8" s="223">
        <f>IF($B$81=0,0,(SUMIF($N$6:$N$28,$U8,L$6:L$28)+SUMIF($N$91:$N$118,$U8,L$91:L$118))*$I$83*Poor!$B$81/$B$81)</f>
        <v>48.999999999999993</v>
      </c>
      <c r="T8" s="223">
        <f>IF($B$81=0,0,(SUMIF($N$6:$N$28,$U8,M$6:M$28)+SUMIF($N$91:$N$118,$U8,M$91:M$118))*$I$83*Poor!$B$81/$B$81)</f>
        <v>0</v>
      </c>
      <c r="U8" s="224">
        <v>2</v>
      </c>
      <c r="V8" s="184"/>
      <c r="W8" s="115"/>
      <c r="X8" s="124">
        <v>1</v>
      </c>
      <c r="Y8" s="183">
        <f t="shared" si="9"/>
        <v>9.4502801992528019E-3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9.4502801992528019E-3</v>
      </c>
      <c r="AH8" s="123">
        <f t="shared" si="12"/>
        <v>1</v>
      </c>
      <c r="AI8" s="183">
        <f t="shared" si="13"/>
        <v>2.3625700498132005E-3</v>
      </c>
      <c r="AJ8" s="120">
        <f t="shared" si="14"/>
        <v>0</v>
      </c>
      <c r="AK8" s="119">
        <f t="shared" si="15"/>
        <v>4.7251400996264009E-3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3.7853260273972601E-2</v>
      </c>
      <c r="C9" s="215">
        <f>IF([1]Summ!F1047="",0,[1]Summ!F1047)</f>
        <v>0</v>
      </c>
      <c r="D9" s="24">
        <f t="shared" si="0"/>
        <v>3.7853260273972601E-2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4.1260053698630138E-2</v>
      </c>
      <c r="J9" s="24">
        <f t="shared" si="3"/>
        <v>4.1260053698630138E-2</v>
      </c>
      <c r="K9" s="22">
        <f t="shared" si="4"/>
        <v>3.7853260273972601E-2</v>
      </c>
      <c r="L9" s="22">
        <f t="shared" si="5"/>
        <v>4.1260053698630138E-2</v>
      </c>
      <c r="M9" s="225">
        <f t="shared" si="6"/>
        <v>4.1260053698630138E-2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2971.466259973326</v>
      </c>
      <c r="S9" s="223">
        <f>IF($B$81=0,0,(SUMIF($N$6:$N$28,$U9,L$6:L$28)+SUMIF($N$91:$N$118,$U9,L$91:L$118))*$I$83*Poor!$B$81/$B$81)</f>
        <v>1615.9125201450445</v>
      </c>
      <c r="T9" s="223">
        <f>IF($B$81=0,0,(SUMIF($N$6:$N$28,$U9,M$6:M$28)+SUMIF($N$91:$N$118,$U9,M$91:M$118))*$I$83*Poor!$B$81/$B$81)</f>
        <v>1615.9125201450445</v>
      </c>
      <c r="U9" s="224">
        <v>3</v>
      </c>
      <c r="V9" s="56"/>
      <c r="W9" s="115"/>
      <c r="X9" s="124">
        <v>1</v>
      </c>
      <c r="Y9" s="183">
        <f t="shared" si="9"/>
        <v>0.16504021479452055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0.16504021479452055</v>
      </c>
      <c r="AH9" s="123">
        <f t="shared" si="12"/>
        <v>1</v>
      </c>
      <c r="AI9" s="183">
        <f t="shared" si="13"/>
        <v>4.1260053698630138E-2</v>
      </c>
      <c r="AJ9" s="120">
        <f t="shared" si="14"/>
        <v>0</v>
      </c>
      <c r="AK9" s="119">
        <f t="shared" si="15"/>
        <v>8.2520107397260276E-2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Onions: kg produced</v>
      </c>
      <c r="B10" s="215">
        <f>IF([1]Summ!E1048="",0,[1]Summ!E1048)</f>
        <v>3.5454844333748438E-2</v>
      </c>
      <c r="C10" s="215">
        <f>IF([1]Summ!F1048="",0,[1]Summ!F1048)</f>
        <v>0</v>
      </c>
      <c r="D10" s="24">
        <f t="shared" si="0"/>
        <v>3.5454844333748438E-2</v>
      </c>
      <c r="E10" s="26">
        <v>1</v>
      </c>
      <c r="H10" s="24">
        <f t="shared" si="1"/>
        <v>1</v>
      </c>
      <c r="I10" s="22">
        <f t="shared" si="2"/>
        <v>3.5454844333748438E-2</v>
      </c>
      <c r="J10" s="24">
        <f t="shared" si="3"/>
        <v>3.5454844333748438E-2</v>
      </c>
      <c r="K10" s="22">
        <f t="shared" si="4"/>
        <v>3.5454844333748438E-2</v>
      </c>
      <c r="L10" s="22">
        <f t="shared" si="5"/>
        <v>3.5454844333748438E-2</v>
      </c>
      <c r="M10" s="225">
        <f t="shared" si="6"/>
        <v>3.5454844333748438E-2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15.170744912960696</v>
      </c>
      <c r="S10" s="223">
        <f>IF($B$81=0,0,(SUMIF($N$6:$N$28,$U10,L$6:L$28)+SUMIF($N$91:$N$118,$U10,L$91:L$118))*$I$83*Poor!$B$81/$B$81)</f>
        <v>5.8999999999999995</v>
      </c>
      <c r="T10" s="223">
        <f>IF($B$81=0,0,(SUMIF($N$6:$N$28,$U10,M$6:M$28)+SUMIF($N$91:$N$118,$U10,M$91:M$118))*$I$83*Poor!$B$81/$B$81)</f>
        <v>5.8999999999999995</v>
      </c>
      <c r="U10" s="224">
        <v>4</v>
      </c>
      <c r="V10" s="56"/>
      <c r="W10" s="115"/>
      <c r="X10" s="124">
        <v>1</v>
      </c>
      <c r="Y10" s="183">
        <f t="shared" si="9"/>
        <v>0.14181937733499375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0.14181937733499375</v>
      </c>
      <c r="AH10" s="123">
        <f t="shared" si="12"/>
        <v>1</v>
      </c>
      <c r="AI10" s="183">
        <f t="shared" si="13"/>
        <v>3.5454844333748438E-2</v>
      </c>
      <c r="AJ10" s="120">
        <f t="shared" si="14"/>
        <v>0</v>
      </c>
      <c r="AK10" s="119">
        <f t="shared" si="15"/>
        <v>7.0909688667496876E-2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1.2372697882938977E-2</v>
      </c>
      <c r="C11" s="215">
        <f>IF([1]Summ!F1049="",0,[1]Summ!F1049)</f>
        <v>0</v>
      </c>
      <c r="D11" s="24">
        <f t="shared" si="0"/>
        <v>1.2372697882938977E-2</v>
      </c>
      <c r="E11" s="26">
        <v>1</v>
      </c>
      <c r="H11" s="24">
        <f t="shared" si="1"/>
        <v>1</v>
      </c>
      <c r="I11" s="22">
        <f t="shared" si="2"/>
        <v>1.2372697882938977E-2</v>
      </c>
      <c r="J11" s="24">
        <f t="shared" si="3"/>
        <v>1.2372697882938977E-2</v>
      </c>
      <c r="K11" s="22">
        <f t="shared" si="4"/>
        <v>1.2372697882938977E-2</v>
      </c>
      <c r="L11" s="22">
        <f t="shared" si="5"/>
        <v>1.2372697882938977E-2</v>
      </c>
      <c r="M11" s="225">
        <f t="shared" si="6"/>
        <v>1.2372697882938977E-2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3034.1489825921394</v>
      </c>
      <c r="S11" s="223">
        <f>IF($B$81=0,0,(SUMIF($N$6:$N$28,$U11,L$6:L$28)+SUMIF($N$91:$N$118,$U11,L$91:L$118))*$I$83*Poor!$B$81/$B$81)</f>
        <v>1888</v>
      </c>
      <c r="T11" s="223">
        <f>IF($B$81=0,0,(SUMIF($N$6:$N$28,$U11,M$6:M$28)+SUMIF($N$91:$N$118,$U11,M$91:M$118))*$I$83*Poor!$B$81/$B$81)</f>
        <v>1888</v>
      </c>
      <c r="U11" s="224">
        <v>5</v>
      </c>
      <c r="V11" s="56"/>
      <c r="W11" s="115"/>
      <c r="X11" s="124">
        <v>1</v>
      </c>
      <c r="Y11" s="183">
        <f t="shared" si="9"/>
        <v>4.9490791531755909E-2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4.9490791531755909E-2</v>
      </c>
      <c r="AH11" s="123">
        <f t="shared" si="12"/>
        <v>1</v>
      </c>
      <c r="AI11" s="183">
        <f t="shared" si="13"/>
        <v>1.2372697882938977E-2</v>
      </c>
      <c r="AJ11" s="120">
        <f t="shared" si="14"/>
        <v>0</v>
      </c>
      <c r="AK11" s="119">
        <f t="shared" si="15"/>
        <v>2.4745395765877955E-2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Cabbage: kg produced</v>
      </c>
      <c r="B12" s="215">
        <f>IF([1]Summ!E1050="",0,[1]Summ!E1050)</f>
        <v>4.7316575342465752E-3</v>
      </c>
      <c r="C12" s="215">
        <f>IF([1]Summ!F1050="",0,[1]Summ!F1050)</f>
        <v>0</v>
      </c>
      <c r="D12" s="24">
        <f t="shared" si="0"/>
        <v>4.7316575342465752E-3</v>
      </c>
      <c r="E12" s="26">
        <v>1</v>
      </c>
      <c r="H12" s="24">
        <f t="shared" si="1"/>
        <v>1</v>
      </c>
      <c r="I12" s="22">
        <f t="shared" si="2"/>
        <v>4.7316575342465752E-3</v>
      </c>
      <c r="J12" s="24">
        <f t="shared" si="3"/>
        <v>4.7316575342465752E-3</v>
      </c>
      <c r="K12" s="22">
        <f t="shared" si="4"/>
        <v>4.7316575342465752E-3</v>
      </c>
      <c r="L12" s="22">
        <f t="shared" si="5"/>
        <v>4.7316575342465752E-3</v>
      </c>
      <c r="M12" s="225">
        <f t="shared" si="6"/>
        <v>4.7316575342465752E-3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615.71526170226105</v>
      </c>
      <c r="S12" s="223">
        <f>IF($B$81=0,0,(SUMIF($N$6:$N$28,$U12,L$6:L$28)+SUMIF($N$91:$N$118,$U12,L$91:L$118))*$I$83*Poor!$B$81/$B$81)</f>
        <v>669.66400637374056</v>
      </c>
      <c r="T12" s="223">
        <f>IF($B$81=0,0,(SUMIF($N$6:$N$28,$U12,M$6:M$28)+SUMIF($N$91:$N$118,$U12,M$91:M$118))*$I$83*Poor!$B$81/$B$81)</f>
        <v>1647.514422489287</v>
      </c>
      <c r="U12" s="224">
        <v>6</v>
      </c>
      <c r="V12" s="56"/>
      <c r="W12" s="117"/>
      <c r="X12" s="118"/>
      <c r="Y12" s="183">
        <f t="shared" si="9"/>
        <v>1.8926630136986301E-2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1.2680842191780822E-2</v>
      </c>
      <c r="AF12" s="122">
        <f>1-SUM(Z12,AB12,AD12)</f>
        <v>0.32999999999999996</v>
      </c>
      <c r="AG12" s="121">
        <f>$M12*AF12*4</f>
        <v>6.2457879452054782E-3</v>
      </c>
      <c r="AH12" s="123">
        <f t="shared" si="12"/>
        <v>1</v>
      </c>
      <c r="AI12" s="183">
        <f t="shared" si="13"/>
        <v>4.7316575342465752E-3</v>
      </c>
      <c r="AJ12" s="120">
        <f t="shared" si="14"/>
        <v>0</v>
      </c>
      <c r="AK12" s="119">
        <f t="shared" si="15"/>
        <v>9.4633150684931503E-3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Green beans /peas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 xml:space="preserve">Other root crops: Beetroot </v>
      </c>
      <c r="B14" s="215">
        <f>IF([1]Summ!E1052="",0,[1]Summ!E1052)</f>
        <v>1.8212951432129514E-3</v>
      </c>
      <c r="C14" s="215">
        <f>IF([1]Summ!F1052="",0,[1]Summ!F1052)</f>
        <v>0</v>
      </c>
      <c r="D14" s="24">
        <f t="shared" si="0"/>
        <v>1.8212951432129514E-3</v>
      </c>
      <c r="E14" s="26">
        <v>1</v>
      </c>
      <c r="F14" s="22"/>
      <c r="H14" s="24">
        <f t="shared" si="1"/>
        <v>1</v>
      </c>
      <c r="I14" s="22">
        <f t="shared" si="2"/>
        <v>1.8212951432129514E-3</v>
      </c>
      <c r="J14" s="24">
        <f>IF(I$32&lt;=1+I131,I14,B14*H14+J$33*(I14-B14*H14))</f>
        <v>1.8212951432129514E-3</v>
      </c>
      <c r="K14" s="22">
        <f t="shared" si="4"/>
        <v>1.8212951432129514E-3</v>
      </c>
      <c r="L14" s="22">
        <f t="shared" si="5"/>
        <v>1.8212951432129514E-3</v>
      </c>
      <c r="M14" s="226">
        <f t="shared" si="6"/>
        <v>1.8212951432129514E-3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7.2851805728518055E-3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7.2851805728518055E-3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1.8212951432129514E-3</v>
      </c>
      <c r="AJ14" s="120">
        <f t="shared" si="14"/>
        <v>3.6425902864259028E-3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 xml:space="preserve">Tomato: </v>
      </c>
      <c r="B15" s="215">
        <f>IF([1]Summ!E1053="",0,[1]Summ!E1053)</f>
        <v>3.0188757160647575E-2</v>
      </c>
      <c r="C15" s="215">
        <f>IF([1]Summ!F1053="",0,[1]Summ!F1053)</f>
        <v>0</v>
      </c>
      <c r="D15" s="24">
        <f t="shared" si="0"/>
        <v>3.0188757160647575E-2</v>
      </c>
      <c r="E15" s="26">
        <v>1</v>
      </c>
      <c r="F15" s="22"/>
      <c r="H15" s="24">
        <f t="shared" si="1"/>
        <v>1</v>
      </c>
      <c r="I15" s="22">
        <f t="shared" si="2"/>
        <v>3.0188757160647575E-2</v>
      </c>
      <c r="J15" s="24">
        <f>IF(I$32&lt;=1+I131,I15,B15*H15+J$33*(I15-B15*H15))</f>
        <v>3.0188757160647575E-2</v>
      </c>
      <c r="K15" s="22">
        <f t="shared" si="4"/>
        <v>3.0188757160647575E-2</v>
      </c>
      <c r="L15" s="22">
        <f t="shared" si="5"/>
        <v>3.0188757160647575E-2</v>
      </c>
      <c r="M15" s="227">
        <f t="shared" si="6"/>
        <v>3.0188757160647575E-2</v>
      </c>
      <c r="N15" s="230">
        <v>1</v>
      </c>
      <c r="O15" s="2"/>
      <c r="P15" s="22"/>
      <c r="Q15" s="59" t="s">
        <v>127</v>
      </c>
      <c r="R15" s="223">
        <f>IF($B$81=0,0,(SUMIF($N$6:$N$28,$U15,K$6:K$28)+SUMIF($N$91:$N$118,$U15,K$91:K$118))*$B$83*$H$84*Poor!$B$81/$B$81)</f>
        <v>11833.181032109345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0.1207550286425903</v>
      </c>
      <c r="Z15" s="116">
        <v>0.25</v>
      </c>
      <c r="AA15" s="121">
        <f t="shared" si="16"/>
        <v>3.0188757160647575E-2</v>
      </c>
      <c r="AB15" s="116">
        <v>0.25</v>
      </c>
      <c r="AC15" s="121">
        <f t="shared" si="7"/>
        <v>3.0188757160647575E-2</v>
      </c>
      <c r="AD15" s="116">
        <v>0.25</v>
      </c>
      <c r="AE15" s="121">
        <f t="shared" si="8"/>
        <v>3.0188757160647575E-2</v>
      </c>
      <c r="AF15" s="122">
        <f t="shared" si="10"/>
        <v>0.25</v>
      </c>
      <c r="AG15" s="121">
        <f t="shared" si="11"/>
        <v>3.0188757160647575E-2</v>
      </c>
      <c r="AH15" s="123">
        <f t="shared" si="12"/>
        <v>1</v>
      </c>
      <c r="AI15" s="183">
        <f t="shared" si="13"/>
        <v>3.0188757160647575E-2</v>
      </c>
      <c r="AJ15" s="120">
        <f t="shared" si="14"/>
        <v>3.0188757160647575E-2</v>
      </c>
      <c r="AK15" s="119">
        <f t="shared" si="15"/>
        <v>3.0188757160647575E-2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Potato's: no. local meas</v>
      </c>
      <c r="B16" s="215">
        <f>IF([1]Summ!E1054="",0,[1]Summ!E1054)</f>
        <v>1.6264909838107095E-2</v>
      </c>
      <c r="C16" s="215">
        <f>IF([1]Summ!F1054="",0,[1]Summ!F1054)</f>
        <v>0</v>
      </c>
      <c r="D16" s="24">
        <f t="shared" si="0"/>
        <v>1.6264909838107095E-2</v>
      </c>
      <c r="E16" s="26">
        <v>1</v>
      </c>
      <c r="F16" s="22"/>
      <c r="H16" s="24">
        <f t="shared" si="1"/>
        <v>1</v>
      </c>
      <c r="I16" s="22">
        <f t="shared" si="2"/>
        <v>1.6264909838107095E-2</v>
      </c>
      <c r="J16" s="24">
        <f>IF(I$32&lt;=1+I131,I16,B16*H16+J$33*(I16-B16*H16))</f>
        <v>1.6264909838107095E-2</v>
      </c>
      <c r="K16" s="22">
        <f t="shared" si="4"/>
        <v>1.6264909838107095E-2</v>
      </c>
      <c r="L16" s="22">
        <f t="shared" si="5"/>
        <v>1.6264909838107095E-2</v>
      </c>
      <c r="M16" s="225">
        <f t="shared" si="6"/>
        <v>1.6264909838107095E-2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6.5059639352428381E-2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6.5059639352428381E-2</v>
      </c>
      <c r="AH16" s="123">
        <f t="shared" si="12"/>
        <v>1</v>
      </c>
      <c r="AI16" s="183">
        <f t="shared" si="13"/>
        <v>1.6264909838107095E-2</v>
      </c>
      <c r="AJ16" s="120">
        <f t="shared" si="14"/>
        <v>0</v>
      </c>
      <c r="AK16" s="119">
        <f t="shared" si="15"/>
        <v>3.252981967621419E-2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Leafy green vegetables (spinach etc)</v>
      </c>
      <c r="B17" s="215">
        <f>IF([1]Summ!E1055="",0,[1]Summ!E1055)</f>
        <v>1.8212951432129514E-3</v>
      </c>
      <c r="C17" s="215">
        <f>IF([1]Summ!F1055="",0,[1]Summ!F1055)</f>
        <v>3.6425902864259028E-4</v>
      </c>
      <c r="D17" s="24">
        <f>SUM(B17,C17)</f>
        <v>2.1855541718555417E-3</v>
      </c>
      <c r="E17" s="26">
        <v>1</v>
      </c>
      <c r="F17" s="22"/>
      <c r="H17" s="24">
        <f t="shared" si="1"/>
        <v>1</v>
      </c>
      <c r="I17" s="22">
        <f t="shared" si="2"/>
        <v>2.1855541718555417E-3</v>
      </c>
      <c r="J17" s="24">
        <f t="shared" ref="J17:J25" si="17">IF(I$32&lt;=1+I131,I17,B17*H17+J$33*(I17-B17*H17))</f>
        <v>2.1855541718555417E-3</v>
      </c>
      <c r="K17" s="22">
        <f t="shared" si="4"/>
        <v>1.8212951432129514E-3</v>
      </c>
      <c r="L17" s="22">
        <f t="shared" si="5"/>
        <v>1.8212951432129514E-3</v>
      </c>
      <c r="M17" s="226">
        <f t="shared" si="6"/>
        <v>2.1855541718555417E-3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14563.915116442271</v>
      </c>
      <c r="S17" s="223">
        <f>IF($B$81=0,0,(SUMIF($N$6:$N$28,$U17,L$6:L$28)+SUMIF($N$91:$N$118,$U17,L$91:L$118))*$I$83*Poor!$B$81/$B$81)</f>
        <v>9062.4</v>
      </c>
      <c r="T17" s="223">
        <f>IF($B$81=0,0,(SUMIF($N$6:$N$28,$U17,M$6:M$28)+SUMIF($N$91:$N$118,$U17,M$91:M$118))*$I$83*Poor!$B$81/$B$81)</f>
        <v>9062.4</v>
      </c>
      <c r="U17" s="224">
        <v>11</v>
      </c>
      <c r="V17" s="56"/>
      <c r="W17" s="110"/>
      <c r="X17" s="118"/>
      <c r="Y17" s="183">
        <f t="shared" si="9"/>
        <v>8.7422166874221666E-3</v>
      </c>
      <c r="Z17" s="116">
        <v>0.29409999999999997</v>
      </c>
      <c r="AA17" s="121">
        <f t="shared" si="16"/>
        <v>2.5710859277708591E-3</v>
      </c>
      <c r="AB17" s="116">
        <v>0.17649999999999999</v>
      </c>
      <c r="AC17" s="121">
        <f t="shared" si="7"/>
        <v>1.5430012453300124E-3</v>
      </c>
      <c r="AD17" s="116">
        <v>0.23530000000000001</v>
      </c>
      <c r="AE17" s="121">
        <f t="shared" si="8"/>
        <v>2.057043586550436E-3</v>
      </c>
      <c r="AF17" s="122">
        <f t="shared" si="10"/>
        <v>0.29410000000000003</v>
      </c>
      <c r="AG17" s="121">
        <f t="shared" si="11"/>
        <v>2.5710859277708596E-3</v>
      </c>
      <c r="AH17" s="123">
        <f t="shared" si="12"/>
        <v>1</v>
      </c>
      <c r="AI17" s="183">
        <f t="shared" si="13"/>
        <v>2.1855541718555417E-3</v>
      </c>
      <c r="AJ17" s="120">
        <f t="shared" si="14"/>
        <v>2.0570435865504355E-3</v>
      </c>
      <c r="AK17" s="119">
        <f t="shared" si="15"/>
        <v>2.3140647571606478E-3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Other crop: pumpkin</v>
      </c>
      <c r="B18" s="215">
        <f>IF([1]Summ!E1056="",0,[1]Summ!E1056)</f>
        <v>4.6513075965130763E-3</v>
      </c>
      <c r="C18" s="215">
        <f>IF([1]Summ!F1056="",0,[1]Summ!F1056)</f>
        <v>0</v>
      </c>
      <c r="D18" s="24">
        <f t="shared" ref="D18:D20" si="18">SUM(B18,C18)</f>
        <v>4.6513075965130763E-3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4.6513075965130763E-3</v>
      </c>
      <c r="J18" s="24">
        <f t="shared" si="17"/>
        <v>4.6513075965130763E-3</v>
      </c>
      <c r="K18" s="22">
        <f t="shared" ref="K18:K20" si="21">B18</f>
        <v>4.6513075965130763E-3</v>
      </c>
      <c r="L18" s="22">
        <f t="shared" ref="L18:L20" si="22">IF(K18="","",K18*H18)</f>
        <v>4.6513075965130763E-3</v>
      </c>
      <c r="M18" s="226">
        <f t="shared" ref="M18:M20" si="23">J18</f>
        <v>4.6513075965130763E-3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>
        <f t="shared" ref="Y18:Y20" si="24">M18*4</f>
        <v>1.8605230386052305E-2</v>
      </c>
      <c r="Z18" s="116">
        <v>1.2941</v>
      </c>
      <c r="AA18" s="121">
        <f t="shared" ref="AA18:AA20" si="25">$M18*Z18*4</f>
        <v>2.4077028642590287E-2</v>
      </c>
      <c r="AB18" s="116">
        <v>1.1765000000000001</v>
      </c>
      <c r="AC18" s="121">
        <f t="shared" ref="AC18:AC20" si="26">$M18*AB18*4</f>
        <v>2.1889053549190539E-2</v>
      </c>
      <c r="AD18" s="116">
        <v>1.2353000000000001</v>
      </c>
      <c r="AE18" s="121">
        <f t="shared" ref="AE18:AE20" si="27">$M18*AD18*4</f>
        <v>2.2983041095890413E-2</v>
      </c>
      <c r="AF18" s="122">
        <f t="shared" ref="AF18:AF20" si="28">1-SUM(Z18,AB18,AD18)</f>
        <v>-2.7059000000000002</v>
      </c>
      <c r="AG18" s="121">
        <f t="shared" ref="AG18:AG20" si="29">$M18*AF18*4</f>
        <v>-5.0343892901618933E-2</v>
      </c>
      <c r="AH18" s="123">
        <f t="shared" ref="AH18:AH20" si="30">SUM(Z18,AB18,AD18,AF18)</f>
        <v>1</v>
      </c>
      <c r="AI18" s="183">
        <f t="shared" ref="AI18:AI20" si="31">SUM(AA18,AC18,AE18,AG18)/4</f>
        <v>4.6513075965130754E-3</v>
      </c>
      <c r="AJ18" s="120">
        <f t="shared" ref="AJ18:AJ20" si="32">(AA18+AC18)/2</f>
        <v>2.2983041095890413E-2</v>
      </c>
      <c r="AK18" s="119">
        <f t="shared" ref="AK18:AK20" si="33">(AE18+AG18)/2</f>
        <v>-1.368042590286426E-2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Other crop: Carrots</v>
      </c>
      <c r="B19" s="215">
        <f>IF([1]Summ!E1057="",0,[1]Summ!E1057)</f>
        <v>2.1419676214196764E-3</v>
      </c>
      <c r="C19" s="215">
        <f>IF([1]Summ!F1057="",0,[1]Summ!F1057)</f>
        <v>0</v>
      </c>
      <c r="D19" s="24">
        <f t="shared" si="18"/>
        <v>2.1419676214196764E-3</v>
      </c>
      <c r="E19" s="26">
        <v>1</v>
      </c>
      <c r="F19" s="22"/>
      <c r="H19" s="24">
        <f t="shared" si="19"/>
        <v>1</v>
      </c>
      <c r="I19" s="22">
        <f t="shared" si="20"/>
        <v>2.1419676214196764E-3</v>
      </c>
      <c r="J19" s="24">
        <f t="shared" si="17"/>
        <v>2.1419676214196764E-3</v>
      </c>
      <c r="K19" s="22">
        <f t="shared" si="21"/>
        <v>2.1419676214196764E-3</v>
      </c>
      <c r="L19" s="22">
        <f t="shared" si="22"/>
        <v>2.1419676214196764E-3</v>
      </c>
      <c r="M19" s="226">
        <f t="shared" si="23"/>
        <v>2.1419676214196764E-3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99.443087660139014</v>
      </c>
      <c r="S19" s="223">
        <f>IF($B$81=0,0,(SUMIF($N$6:$N$28,$U19,L$6:L$28)+SUMIF($N$91:$N$118,$U19,L$91:L$118))*$I$83*Poor!$B$81/$B$81)</f>
        <v>108.15625440979584</v>
      </c>
      <c r="T19" s="223">
        <f>IF($B$81=0,0,(SUMIF($N$6:$N$28,$U19,M$6:M$28)+SUMIF($N$91:$N$118,$U19,M$91:M$118))*$I$83*Poor!$B$81/$B$81)</f>
        <v>108.15625440979584</v>
      </c>
      <c r="U19" s="224">
        <v>13</v>
      </c>
      <c r="V19" s="56"/>
      <c r="W19" s="110"/>
      <c r="X19" s="118"/>
      <c r="Y19" s="183">
        <f t="shared" si="24"/>
        <v>8.5678704856787056E-3</v>
      </c>
      <c r="Z19" s="116">
        <v>2.2940999999999998</v>
      </c>
      <c r="AA19" s="121">
        <f t="shared" si="25"/>
        <v>1.9655551681195517E-2</v>
      </c>
      <c r="AB19" s="116">
        <v>2.1764999999999999</v>
      </c>
      <c r="AC19" s="121">
        <f t="shared" si="26"/>
        <v>1.8647970112079703E-2</v>
      </c>
      <c r="AD19" s="116">
        <v>2.2353000000000001</v>
      </c>
      <c r="AE19" s="121">
        <f t="shared" si="27"/>
        <v>1.9151760896637612E-2</v>
      </c>
      <c r="AF19" s="122">
        <f t="shared" si="28"/>
        <v>-5.7058999999999997</v>
      </c>
      <c r="AG19" s="121">
        <f t="shared" si="29"/>
        <v>-4.8887412204234121E-2</v>
      </c>
      <c r="AH19" s="123">
        <f t="shared" si="30"/>
        <v>1</v>
      </c>
      <c r="AI19" s="183">
        <f t="shared" si="31"/>
        <v>2.1419676214196777E-3</v>
      </c>
      <c r="AJ19" s="120">
        <f t="shared" si="32"/>
        <v>1.9151760896637608E-2</v>
      </c>
      <c r="AK19" s="119">
        <f t="shared" si="33"/>
        <v>-1.4867825653798255E-2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5">
        <f>IF([1]Summ!E1058="",0,[1]Summ!E1058)</f>
        <v>1.4859750933997511E-2</v>
      </c>
      <c r="C20" s="215">
        <f>IF([1]Summ!F1058="",0,[1]Summ!F1058)</f>
        <v>-1.4859750933997511E-2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1.0115914698776705E-2</v>
      </c>
      <c r="K20" s="22">
        <f t="shared" si="21"/>
        <v>1.4859750933997511E-2</v>
      </c>
      <c r="L20" s="22">
        <f t="shared" si="22"/>
        <v>1.4859750933997511E-2</v>
      </c>
      <c r="M20" s="226">
        <f t="shared" si="23"/>
        <v>1.0115914698776705E-2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>
        <f t="shared" si="24"/>
        <v>4.046365879510682E-2</v>
      </c>
      <c r="Z20" s="116">
        <v>3.2940999999999998</v>
      </c>
      <c r="AA20" s="121">
        <f t="shared" si="25"/>
        <v>0.13329133843696137</v>
      </c>
      <c r="AB20" s="116">
        <v>3.1764999999999999</v>
      </c>
      <c r="AC20" s="121">
        <f t="shared" si="26"/>
        <v>0.1285328121626568</v>
      </c>
      <c r="AD20" s="116">
        <v>3.2353000000000001</v>
      </c>
      <c r="AE20" s="121">
        <f t="shared" si="27"/>
        <v>0.13091207529980911</v>
      </c>
      <c r="AF20" s="122">
        <f t="shared" si="28"/>
        <v>-8.7058999999999997</v>
      </c>
      <c r="AG20" s="121">
        <f t="shared" si="29"/>
        <v>-0.35227256710432048</v>
      </c>
      <c r="AH20" s="123">
        <f t="shared" si="30"/>
        <v>1</v>
      </c>
      <c r="AI20" s="183">
        <f t="shared" si="31"/>
        <v>1.0115914698776693E-2</v>
      </c>
      <c r="AJ20" s="120">
        <f t="shared" si="32"/>
        <v>0.13091207529980908</v>
      </c>
      <c r="AK20" s="119">
        <f t="shared" si="33"/>
        <v>-0.11068024590225568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WILD FOODS -- see worksheet Data 3</v>
      </c>
      <c r="B21" s="215">
        <f>IF([1]Summ!E1059="",0,[1]Summ!E1059)</f>
        <v>0.02</v>
      </c>
      <c r="C21" s="215">
        <f>IF([1]Summ!F1059="",0,[1]Summ!F1059)</f>
        <v>3.0000000000000002E-2</v>
      </c>
      <c r="D21" s="24">
        <f t="shared" ref="D21:D25" si="34">SUM(B21,C21)</f>
        <v>0.05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0.05</v>
      </c>
      <c r="J21" s="24">
        <f t="shared" si="17"/>
        <v>2.9577218870541266E-2</v>
      </c>
      <c r="K21" s="22">
        <f t="shared" ref="K21:K25" si="37">B21</f>
        <v>0.02</v>
      </c>
      <c r="L21" s="22">
        <f t="shared" ref="L21:L25" si="38">IF(K21="","",K21*H21)</f>
        <v>0.02</v>
      </c>
      <c r="M21" s="226">
        <f t="shared" ref="M21:M25" si="39">J21</f>
        <v>2.9577218870541266E-2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11833.181032109345</v>
      </c>
      <c r="S21" s="223">
        <f>IF($B$81=0,0,(SUMIF($N$6:$N$28,$U21,L$6:L$28)+SUMIF($N$91:$N$118,$U21,L$91:L$118))*$I$83*Poor!$B$81/$B$81)</f>
        <v>8658.0000000000018</v>
      </c>
      <c r="T21" s="223">
        <f>IF($B$81=0,0,(SUMIF($N$6:$N$28,$U21,M$6:M$28)+SUMIF($N$91:$N$118,$U21,M$91:M$118))*$I$83*Poor!$B$81/$B$81)</f>
        <v>8658.0000000000018</v>
      </c>
      <c r="U21" s="224">
        <v>15</v>
      </c>
      <c r="V21" s="56"/>
      <c r="W21" s="110"/>
      <c r="X21" s="118"/>
      <c r="Y21" s="183">
        <f t="shared" ref="Y21:Y25" si="40">M21*4</f>
        <v>0.11830887548216507</v>
      </c>
      <c r="Z21" s="116">
        <v>4.2941000000000003</v>
      </c>
      <c r="AA21" s="121">
        <f t="shared" ref="AA21:AA25" si="41">$M21*Z21*4</f>
        <v>0.50803014220796505</v>
      </c>
      <c r="AB21" s="116">
        <v>4.1764999999999999</v>
      </c>
      <c r="AC21" s="121">
        <f t="shared" ref="AC21:AC25" si="42">$M21*AB21*4</f>
        <v>0.49411701845126238</v>
      </c>
      <c r="AD21" s="116">
        <v>4.2352999999999996</v>
      </c>
      <c r="AE21" s="121">
        <f t="shared" ref="AE21:AE25" si="43">$M21*AD21*4</f>
        <v>0.50107358032961369</v>
      </c>
      <c r="AF21" s="122">
        <f t="shared" ref="AF21:AF25" si="44">1-SUM(Z21,AB21,AD21)</f>
        <v>-11.7059</v>
      </c>
      <c r="AG21" s="121">
        <f t="shared" ref="AG21:AG25" si="45">$M21*AF21*4</f>
        <v>-1.3849118655066761</v>
      </c>
      <c r="AH21" s="123">
        <f t="shared" ref="AH21:AH25" si="46">SUM(Z21,AB21,AD21,AF21)</f>
        <v>1</v>
      </c>
      <c r="AI21" s="183">
        <f t="shared" ref="AI21:AI25" si="47">SUM(AA21,AC21,AE21,AG21)/4</f>
        <v>2.9577218870541266E-2</v>
      </c>
      <c r="AJ21" s="120">
        <f t="shared" ref="AJ21:AJ25" si="48">(AA21+AC21)/2</f>
        <v>0.50107358032961369</v>
      </c>
      <c r="AK21" s="119">
        <f t="shared" ref="AK21:AK25" si="49">(AE21+AG21)/2</f>
        <v>-0.44191914258853121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Gifts/remittances: Events(Funerals, weddings)</v>
      </c>
      <c r="B22" s="215">
        <f>IF([1]Summ!E1060="",0,[1]Summ!E1060)</f>
        <v>5.6301369863013704E-3</v>
      </c>
      <c r="C22" s="215">
        <f>IF([1]Summ!F1060="",0,[1]Summ!F1060)</f>
        <v>0</v>
      </c>
      <c r="D22" s="24">
        <f t="shared" si="34"/>
        <v>5.6301369863013704E-3</v>
      </c>
      <c r="E22" s="26">
        <v>1</v>
      </c>
      <c r="F22" s="22"/>
      <c r="H22" s="24">
        <f t="shared" si="35"/>
        <v>1</v>
      </c>
      <c r="I22" s="22">
        <f t="shared" si="36"/>
        <v>5.6301369863013704E-3</v>
      </c>
      <c r="J22" s="24">
        <f t="shared" si="17"/>
        <v>5.6301369863013704E-3</v>
      </c>
      <c r="K22" s="22">
        <f t="shared" si="37"/>
        <v>5.6301369863013704E-3</v>
      </c>
      <c r="L22" s="22">
        <f t="shared" si="38"/>
        <v>5.6301369863013704E-3</v>
      </c>
      <c r="M22" s="226">
        <f t="shared" si="39"/>
        <v>5.6301369863013704E-3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2.2520547945205482E-2</v>
      </c>
      <c r="Z22" s="116">
        <v>5.2941000000000003</v>
      </c>
      <c r="AA22" s="121">
        <f t="shared" si="41"/>
        <v>0.11922603287671235</v>
      </c>
      <c r="AB22" s="116">
        <v>5.1764999999999999</v>
      </c>
      <c r="AC22" s="121">
        <f t="shared" si="42"/>
        <v>0.11657761643835618</v>
      </c>
      <c r="AD22" s="116">
        <v>5.2352999999999996</v>
      </c>
      <c r="AE22" s="121">
        <f t="shared" si="43"/>
        <v>0.11790182465753425</v>
      </c>
      <c r="AF22" s="122">
        <f t="shared" si="44"/>
        <v>-14.7059</v>
      </c>
      <c r="AG22" s="121">
        <f t="shared" si="45"/>
        <v>-0.3311849260273973</v>
      </c>
      <c r="AH22" s="123">
        <f t="shared" si="46"/>
        <v>1</v>
      </c>
      <c r="AI22" s="183">
        <f t="shared" si="47"/>
        <v>5.6301369863013678E-3</v>
      </c>
      <c r="AJ22" s="120">
        <f t="shared" si="48"/>
        <v>0.11790182465753427</v>
      </c>
      <c r="AK22" s="119">
        <f t="shared" si="49"/>
        <v>-0.10664155068493153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73151.628595618633</v>
      </c>
      <c r="S23" s="179">
        <f>SUM(S7:S22)</f>
        <v>35985.730158290258</v>
      </c>
      <c r="T23" s="179">
        <f>SUM(T7:T22)</f>
        <v>36921.5780759353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9.5238095238095233E-2</v>
      </c>
      <c r="C26" s="215">
        <f>IF([1]Summ!F1064="",0,[1]Summ!F1064)</f>
        <v>0</v>
      </c>
      <c r="D26" s="24">
        <f>SUM(B26,C26)</f>
        <v>9.5238095238095233E-2</v>
      </c>
      <c r="E26" s="26"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16">
        <v>0.25</v>
      </c>
      <c r="AA26" s="121">
        <f t="shared" si="16"/>
        <v>9.5238095238095233E-2</v>
      </c>
      <c r="AB26" s="116">
        <v>0.25</v>
      </c>
      <c r="AC26" s="121">
        <f t="shared" si="7"/>
        <v>9.5238095238095233E-2</v>
      </c>
      <c r="AD26" s="116"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1.0605169613947694E-2</v>
      </c>
      <c r="C27" s="215">
        <f>IF([1]Summ!F1065="",0,[1]Summ!F1065)</f>
        <v>-1.0605169613947694E-2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1.0605169613947694E-2</v>
      </c>
      <c r="L27" s="22">
        <f t="shared" si="5"/>
        <v>1.0605169613947694E-2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0.10824155417185553</v>
      </c>
      <c r="C28" s="215">
        <f>IF([1]Summ!F1066="",0,[1]Summ!F1066)</f>
        <v>-0.10824155417185553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0.27258779252801996</v>
      </c>
      <c r="C29" s="215">
        <f>IF([1]Summ!F1067="",0,[1]Summ!F1067)</f>
        <v>-4.7951018586022839E-2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0.27258779252801996</v>
      </c>
      <c r="L29" s="22">
        <f t="shared" si="5"/>
        <v>0.27258779252801996</v>
      </c>
      <c r="M29" s="225">
        <f t="shared" si="6"/>
        <v>0.2246367739419971</v>
      </c>
      <c r="N29" s="230"/>
      <c r="P29" s="22"/>
      <c r="V29" s="56"/>
      <c r="W29" s="110"/>
      <c r="X29" s="118"/>
      <c r="Y29" s="183">
        <f t="shared" si="9"/>
        <v>0.89854709576798841</v>
      </c>
      <c r="Z29" s="116">
        <v>0.25</v>
      </c>
      <c r="AA29" s="121">
        <f t="shared" si="16"/>
        <v>0.2246367739419971</v>
      </c>
      <c r="AB29" s="116">
        <v>0.25</v>
      </c>
      <c r="AC29" s="121">
        <f t="shared" si="7"/>
        <v>0.2246367739419971</v>
      </c>
      <c r="AD29" s="116"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0.47410426400996258</v>
      </c>
      <c r="C30" s="103"/>
      <c r="D30" s="24">
        <f>(D119-B124)</f>
        <v>2.8714083963466379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0.79926607364510127</v>
      </c>
      <c r="J30" s="232">
        <f>IF(I$32&lt;=1,I30,1-SUM(J6:J29))</f>
        <v>0.39961154535768806</v>
      </c>
      <c r="K30" s="22">
        <f t="shared" si="4"/>
        <v>0.47410426400996258</v>
      </c>
      <c r="L30" s="22">
        <f>IF(L124=L119,0,IF(K30="",0,(L119-L124)/(B119-B124)*K30))</f>
        <v>0.12751021177778496</v>
      </c>
      <c r="M30" s="175">
        <f t="shared" si="6"/>
        <v>0.39961154535768806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0</v>
      </c>
      <c r="T30" s="235">
        <f t="shared" si="50"/>
        <v>0</v>
      </c>
      <c r="U30" s="56"/>
      <c r="V30" s="56"/>
      <c r="W30" s="110"/>
      <c r="X30" s="118"/>
      <c r="Y30" s="183">
        <f>M30*4</f>
        <v>1.5984461814307522</v>
      </c>
      <c r="Z30" s="122">
        <f>IF($Y30=0,0,AA30/($Y$30))</f>
        <v>-0.43771185981754529</v>
      </c>
      <c r="AA30" s="187">
        <f>IF(AA79*4/$I$83+SUM(AA6:AA29)&lt;1,AA79*4/$I$83,1-SUM(AA6:AA29))</f>
        <v>-0.69965885089230795</v>
      </c>
      <c r="AB30" s="122">
        <f>IF($Y30=0,0,AC30/($Y$30))</f>
        <v>-0.43848042606432702</v>
      </c>
      <c r="AC30" s="187">
        <f>IF(AC79*4/$I$83+SUM(AC6:AC29)&lt;1,AC79*4/$I$83,1-SUM(AC6:AC29))</f>
        <v>-0.70088736267465279</v>
      </c>
      <c r="AD30" s="122">
        <f>IF($Y30=0,0,AE30/($Y$30))</f>
        <v>-0.43848042606432702</v>
      </c>
      <c r="AE30" s="187">
        <f>IF(AE79*4/$I$83+SUM(AE6:AE29)&lt;1,AE79*4/$I$83,1-SUM(AE6:AE29))</f>
        <v>-0.70088736267465279</v>
      </c>
      <c r="AF30" s="122">
        <f>IF($Y30=0,0,AG30/($Y$30))</f>
        <v>-0.19253922709418433</v>
      </c>
      <c r="AG30" s="187">
        <f>IF(AG79*4/$I$83+SUM(AG6:AG29)&lt;1,AG79*4/$I$83,1-SUM(AG6:AG29))</f>
        <v>-0.30776359232432737</v>
      </c>
      <c r="AH30" s="123">
        <f t="shared" si="12"/>
        <v>-1.5072119390403835</v>
      </c>
      <c r="AI30" s="183">
        <f t="shared" si="13"/>
        <v>-0.60229929214148525</v>
      </c>
      <c r="AJ30" s="120">
        <f t="shared" si="14"/>
        <v>-0.70027310678348043</v>
      </c>
      <c r="AK30" s="119">
        <f t="shared" si="15"/>
        <v>-0.50432547749949008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0.11050123287203995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50"/>
        <v>0</v>
      </c>
      <c r="S31" s="235">
        <f t="shared" si="50"/>
        <v>4747.6571898200564</v>
      </c>
      <c r="T31" s="235">
        <f>IF(T25&gt;T$23,T25-T$23,0)</f>
        <v>3811.8092721750145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0.50757283919929408</v>
      </c>
      <c r="AB31" s="131"/>
      <c r="AC31" s="133">
        <f>1-AC32+IF($Y32&lt;0,$Y32/4,0)</f>
        <v>0.52705987822310707</v>
      </c>
      <c r="AD31" s="134"/>
      <c r="AE31" s="133">
        <f>1-AE32+IF($Y32&lt;0,$Y32/4,0)</f>
        <v>0.47579005156376786</v>
      </c>
      <c r="AF31" s="134"/>
      <c r="AG31" s="133">
        <f>1-AG32+IF($Y32&lt;0,$Y32/4,0)</f>
        <v>2.4972205810105241</v>
      </c>
      <c r="AH31" s="123"/>
      <c r="AI31" s="182">
        <f>SUM(AA31,AC31,AE31,AG31)/4</f>
        <v>1.0019108374991732</v>
      </c>
      <c r="AJ31" s="135">
        <f t="shared" si="14"/>
        <v>0.51731635871120063</v>
      </c>
      <c r="AK31" s="136">
        <f t="shared" si="15"/>
        <v>1.486505316287146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1.3168032958607601</v>
      </c>
      <c r="C32" s="29">
        <f>SUM(C6:C31)</f>
        <v>-0.151293234277181</v>
      </c>
      <c r="D32" s="24">
        <f>SUM(D6:D30)</f>
        <v>3.5628141939202544</v>
      </c>
      <c r="E32" s="2"/>
      <c r="F32" s="2"/>
      <c r="H32" s="17"/>
      <c r="I32" s="22">
        <f>SUM(I6:I30)</f>
        <v>1.4099613947180951</v>
      </c>
      <c r="J32" s="17"/>
      <c r="L32" s="22">
        <f>SUM(L6:L30)</f>
        <v>0.88949876712796005</v>
      </c>
      <c r="M32" s="23"/>
      <c r="N32" s="56"/>
      <c r="O32" s="2"/>
      <c r="P32" s="22"/>
      <c r="Q32" s="235" t="s">
        <v>143</v>
      </c>
      <c r="R32" s="235">
        <f t="shared" si="50"/>
        <v>0</v>
      </c>
      <c r="S32" s="235">
        <f t="shared" si="50"/>
        <v>25208.857189820061</v>
      </c>
      <c r="T32" s="235">
        <f t="shared" si="50"/>
        <v>24273.009272175019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0.49242716080070592</v>
      </c>
      <c r="AB32" s="137"/>
      <c r="AC32" s="139">
        <f>SUM(AC6:AC30)</f>
        <v>0.47294012177689293</v>
      </c>
      <c r="AD32" s="137"/>
      <c r="AE32" s="139">
        <f>SUM(AE6:AE30)</f>
        <v>0.52420994843623214</v>
      </c>
      <c r="AF32" s="137"/>
      <c r="AG32" s="139">
        <f>SUM(AG6:AG30)</f>
        <v>-1.4972205810105241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0.31924062901804223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3811.8092721750127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other: Sheep hides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4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Other: cattle hides</v>
      </c>
      <c r="B38" s="216">
        <f>IF([1]Summ!E1073="",0,[1]Summ!E1073)</f>
        <v>10</v>
      </c>
      <c r="C38" s="216">
        <f>IF([1]Summ!F1073="",0,[1]Summ!F1073)</f>
        <v>0</v>
      </c>
      <c r="D38" s="38">
        <f t="shared" ref="D38:D47" si="58">SUM(B38,C38)</f>
        <v>10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5.8999999999999995</v>
      </c>
      <c r="J38" s="38">
        <f t="shared" si="53"/>
        <v>5.8999999999999995</v>
      </c>
      <c r="K38" s="40">
        <f t="shared" si="54"/>
        <v>2.327475852438031E-4</v>
      </c>
      <c r="L38" s="22">
        <f t="shared" si="55"/>
        <v>1.3732107529384381E-4</v>
      </c>
      <c r="M38" s="24">
        <f t="shared" si="56"/>
        <v>1.3732107529384381E-4</v>
      </c>
      <c r="N38" s="2"/>
      <c r="O38" s="2"/>
      <c r="P38" s="2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5.8999999999999995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5.8999999999999995</v>
      </c>
      <c r="AJ38" s="148">
        <f t="shared" ref="AJ38:AJ64" si="62">(AA38+AC38)</f>
        <v>5.8999999999999995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Cattle sales - local: no. sold</v>
      </c>
      <c r="B39" s="216">
        <f>IF([1]Summ!E1074="",0,[1]Summ!E1074)</f>
        <v>1250</v>
      </c>
      <c r="C39" s="216">
        <f>IF([1]Summ!F1074="",0,[1]Summ!F1074)</f>
        <v>0</v>
      </c>
      <c r="D39" s="38">
        <f t="shared" si="58"/>
        <v>1250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1180</v>
      </c>
      <c r="J39" s="38">
        <f t="shared" si="53"/>
        <v>1180</v>
      </c>
      <c r="K39" s="40">
        <f t="shared" si="54"/>
        <v>2.9093448155475387E-2</v>
      </c>
      <c r="L39" s="22">
        <f t="shared" si="55"/>
        <v>2.7464215058768764E-2</v>
      </c>
      <c r="M39" s="24">
        <f t="shared" si="56"/>
        <v>2.7464215058768764E-2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1180</v>
      </c>
      <c r="AH39" s="123">
        <f t="shared" si="61"/>
        <v>1</v>
      </c>
      <c r="AI39" s="112">
        <f t="shared" si="61"/>
        <v>1180</v>
      </c>
      <c r="AJ39" s="148">
        <f t="shared" si="62"/>
        <v>0</v>
      </c>
      <c r="AK39" s="147">
        <f t="shared" si="63"/>
        <v>1180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Sheep sales - local: no. sold</v>
      </c>
      <c r="B40" s="216">
        <f>IF([1]Summ!E1075="",0,[1]Summ!E1075)</f>
        <v>750</v>
      </c>
      <c r="C40" s="216">
        <f>IF([1]Summ!F1075="",0,[1]Summ!F1075)</f>
        <v>0</v>
      </c>
      <c r="D40" s="38">
        <f t="shared" si="58"/>
        <v>750</v>
      </c>
      <c r="E40" s="26">
        <v>0.8</v>
      </c>
      <c r="F40" s="26">
        <v>1.18</v>
      </c>
      <c r="G40" s="22">
        <f t="shared" si="59"/>
        <v>1.65</v>
      </c>
      <c r="H40" s="24">
        <f t="shared" si="51"/>
        <v>0.94399999999999995</v>
      </c>
      <c r="I40" s="39">
        <f t="shared" si="52"/>
        <v>708</v>
      </c>
      <c r="J40" s="38">
        <f t="shared" si="53"/>
        <v>708</v>
      </c>
      <c r="K40" s="40">
        <f t="shared" si="54"/>
        <v>1.7456068893285232E-2</v>
      </c>
      <c r="L40" s="22">
        <f t="shared" si="55"/>
        <v>1.6478529035261258E-2</v>
      </c>
      <c r="M40" s="24">
        <f t="shared" si="56"/>
        <v>1.6478529035261258E-2</v>
      </c>
      <c r="N40" s="2"/>
      <c r="O40" s="2"/>
      <c r="P40" s="2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708</v>
      </c>
      <c r="AH40" s="123">
        <f t="shared" si="61"/>
        <v>1</v>
      </c>
      <c r="AI40" s="112">
        <f t="shared" si="61"/>
        <v>708</v>
      </c>
      <c r="AJ40" s="148">
        <f t="shared" si="62"/>
        <v>0</v>
      </c>
      <c r="AK40" s="147">
        <f t="shared" si="63"/>
        <v>708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E9</f>
        <v>1.0900000000000001</v>
      </c>
      <c r="F41" s="26">
        <v>1.4</v>
      </c>
      <c r="G41" s="22">
        <f t="shared" si="59"/>
        <v>1.65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Onions: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E10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Beans: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E11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 xml:space="preserve">Other root crops: Beetroot </v>
      </c>
      <c r="B44" s="216">
        <f>IF([1]Summ!E1079="",0,[1]Summ!E1079)</f>
        <v>0</v>
      </c>
      <c r="C44" s="216">
        <f>IF([1]Summ!F1079="",0,[1]Summ!F1079)</f>
        <v>0</v>
      </c>
      <c r="D44" s="38">
        <f t="shared" si="58"/>
        <v>0</v>
      </c>
      <c r="E44" s="75">
        <f>E14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 xml:space="preserve">Tomato: 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75">
        <f>E15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Leafy green vegetables (spinach etc)</v>
      </c>
      <c r="B46" s="216">
        <f>IF([1]Summ!E1081="",0,[1]Summ!E1081)</f>
        <v>35</v>
      </c>
      <c r="C46" s="216">
        <f>IF([1]Summ!F1081="",0,[1]Summ!F1081)</f>
        <v>-35</v>
      </c>
      <c r="D46" s="38">
        <f t="shared" si="58"/>
        <v>0</v>
      </c>
      <c r="E46" s="75">
        <f>E17</f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0</v>
      </c>
      <c r="K46" s="40">
        <f t="shared" si="54"/>
        <v>8.1461654835331089E-4</v>
      </c>
      <c r="L46" s="22">
        <f t="shared" si="55"/>
        <v>1.1404631676946351E-3</v>
      </c>
      <c r="M46" s="24">
        <f t="shared" si="56"/>
        <v>0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crop: pumpkin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 t="shared" ref="E47:E48" si="67">E18</f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Other crop: Carrots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 t="shared" si="67"/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WILD FOODS -- see worksheet Data 3</v>
      </c>
      <c r="B49" s="216">
        <f>IF([1]Summ!E1084="",0,[1]Summ!E1084)</f>
        <v>0</v>
      </c>
      <c r="C49" s="216">
        <f>IF([1]Summ!F1084="",0,[1]Summ!F1084)</f>
        <v>750</v>
      </c>
      <c r="D49" s="38">
        <f t="shared" ref="D49:D64" si="68">SUM(B49,C49)</f>
        <v>750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885</v>
      </c>
      <c r="J49" s="38">
        <f t="shared" si="53"/>
        <v>884.99999999999989</v>
      </c>
      <c r="K49" s="40">
        <f t="shared" si="54"/>
        <v>0</v>
      </c>
      <c r="L49" s="22">
        <f t="shared" si="55"/>
        <v>0</v>
      </c>
      <c r="M49" s="24">
        <f t="shared" si="56"/>
        <v>2.0598161294076572E-2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221.24999999999997</v>
      </c>
      <c r="AB49" s="116">
        <v>0.25</v>
      </c>
      <c r="AC49" s="147">
        <f t="shared" si="65"/>
        <v>221.24999999999997</v>
      </c>
      <c r="AD49" s="116">
        <v>0.25</v>
      </c>
      <c r="AE49" s="147">
        <f t="shared" si="66"/>
        <v>221.24999999999997</v>
      </c>
      <c r="AF49" s="122">
        <f t="shared" si="57"/>
        <v>0.25</v>
      </c>
      <c r="AG49" s="147">
        <f t="shared" si="60"/>
        <v>221.24999999999997</v>
      </c>
      <c r="AH49" s="123">
        <f t="shared" si="61"/>
        <v>1</v>
      </c>
      <c r="AI49" s="112">
        <f t="shared" si="61"/>
        <v>884.99999999999989</v>
      </c>
      <c r="AJ49" s="148">
        <f t="shared" si="62"/>
        <v>442.49999999999994</v>
      </c>
      <c r="AK49" s="147">
        <f t="shared" si="63"/>
        <v>442.49999999999994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Small business -- see Data2</v>
      </c>
      <c r="B50" s="216">
        <f>IF([1]Summ!E1085="",0,[1]Summ!E1085)</f>
        <v>9600</v>
      </c>
      <c r="C50" s="216">
        <f>IF([1]Summ!F1085="",0,[1]Summ!F1085)</f>
        <v>0</v>
      </c>
      <c r="D50" s="38">
        <f t="shared" si="68"/>
        <v>9600</v>
      </c>
      <c r="E50" s="26">
        <v>0.8</v>
      </c>
      <c r="F50" s="26">
        <v>1.18</v>
      </c>
      <c r="G50" s="22">
        <f t="shared" si="59"/>
        <v>1.65</v>
      </c>
      <c r="H50" s="24">
        <f t="shared" ref="H50:H64" si="69">(E50*F50)</f>
        <v>0.94399999999999995</v>
      </c>
      <c r="I50" s="39">
        <f t="shared" ref="I50:I64" si="70">D50*H50</f>
        <v>9062.4</v>
      </c>
      <c r="J50" s="38">
        <f t="shared" ref="J50:J64" si="71">J104*I$83</f>
        <v>9062.4</v>
      </c>
      <c r="K50" s="40">
        <f t="shared" ref="K50:K64" si="72">(B50/B$65)</f>
        <v>0.22343768183405097</v>
      </c>
      <c r="L50" s="22">
        <f t="shared" ref="L50:L64" si="73">(K50*H50)</f>
        <v>0.21092517165134411</v>
      </c>
      <c r="M50" s="24">
        <f t="shared" ref="M50:M64" si="74">J50/B$65</f>
        <v>0.21092517165134411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Social development -- see Data2</v>
      </c>
      <c r="B51" s="216">
        <f>IF([1]Summ!E1086="",0,[1]Summ!E1086)</f>
        <v>15720</v>
      </c>
      <c r="C51" s="216">
        <f>IF([1]Summ!F1086="",0,[1]Summ!F1086)</f>
        <v>0</v>
      </c>
      <c r="D51" s="38">
        <f t="shared" si="68"/>
        <v>15720</v>
      </c>
      <c r="E51" s="26">
        <v>0</v>
      </c>
      <c r="F51" s="26">
        <v>1.18</v>
      </c>
      <c r="G51" s="22">
        <f t="shared" si="59"/>
        <v>1.65</v>
      </c>
      <c r="H51" s="24">
        <f t="shared" si="69"/>
        <v>0</v>
      </c>
      <c r="I51" s="39">
        <f t="shared" si="70"/>
        <v>0</v>
      </c>
      <c r="J51" s="38">
        <f t="shared" si="71"/>
        <v>0</v>
      </c>
      <c r="K51" s="40">
        <f t="shared" si="72"/>
        <v>0.36587920400325846</v>
      </c>
      <c r="L51" s="22">
        <f t="shared" si="73"/>
        <v>0</v>
      </c>
      <c r="M51" s="24">
        <f t="shared" si="74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Public works -- see Data2</v>
      </c>
      <c r="B52" s="216">
        <f>IF([1]Summ!E1087="",0,[1]Summ!E1087)</f>
        <v>7800</v>
      </c>
      <c r="C52" s="216">
        <f>IF([1]Summ!F1087="",0,[1]Summ!F1087)</f>
        <v>0</v>
      </c>
      <c r="D52" s="38">
        <f t="shared" si="68"/>
        <v>7800</v>
      </c>
      <c r="E52" s="26">
        <v>1</v>
      </c>
      <c r="F52" s="26">
        <v>1.18</v>
      </c>
      <c r="G52" s="22">
        <f t="shared" si="59"/>
        <v>1.65</v>
      </c>
      <c r="H52" s="24">
        <f t="shared" si="69"/>
        <v>1.18</v>
      </c>
      <c r="I52" s="39">
        <f t="shared" si="70"/>
        <v>9204</v>
      </c>
      <c r="J52" s="38">
        <f t="shared" si="71"/>
        <v>9204</v>
      </c>
      <c r="K52" s="40">
        <f t="shared" si="72"/>
        <v>0.18154311649016641</v>
      </c>
      <c r="L52" s="22">
        <f t="shared" si="73"/>
        <v>0.21422087745839635</v>
      </c>
      <c r="M52" s="24">
        <f t="shared" si="74"/>
        <v>0.21422087745839638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Remittances: no. times per year</v>
      </c>
      <c r="B53" s="216">
        <f>IF([1]Summ!E1088="",0,[1]Summ!E1088)</f>
        <v>7800</v>
      </c>
      <c r="C53" s="216">
        <f>IF([1]Summ!F1088="",0,[1]Summ!F1088)</f>
        <v>0</v>
      </c>
      <c r="D53" s="38">
        <f t="shared" si="68"/>
        <v>7800</v>
      </c>
      <c r="E53" s="26">
        <v>1</v>
      </c>
      <c r="F53" s="26">
        <v>1.1100000000000001</v>
      </c>
      <c r="G53" s="22">
        <f t="shared" si="59"/>
        <v>1.65</v>
      </c>
      <c r="H53" s="24">
        <f t="shared" si="69"/>
        <v>1.1100000000000001</v>
      </c>
      <c r="I53" s="39">
        <f t="shared" si="70"/>
        <v>8658</v>
      </c>
      <c r="J53" s="38">
        <f t="shared" si="71"/>
        <v>8658.0000000000018</v>
      </c>
      <c r="K53" s="40">
        <f t="shared" si="72"/>
        <v>0.18154311649016641</v>
      </c>
      <c r="L53" s="22">
        <f t="shared" si="73"/>
        <v>0.20151285930408475</v>
      </c>
      <c r="M53" s="24">
        <f t="shared" si="74"/>
        <v>0.20151285930408477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8"/>
        <v>0</v>
      </c>
      <c r="E54" s="26">
        <v>1</v>
      </c>
      <c r="F54" s="26">
        <v>1</v>
      </c>
      <c r="G54" s="22">
        <f t="shared" si="59"/>
        <v>1.65</v>
      </c>
      <c r="H54" s="24">
        <f t="shared" si="69"/>
        <v>1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8"/>
        <v>0</v>
      </c>
      <c r="E55" s="26">
        <v>1</v>
      </c>
      <c r="F55" s="26">
        <v>1</v>
      </c>
      <c r="G55" s="22">
        <f t="shared" si="59"/>
        <v>1.65</v>
      </c>
      <c r="H55" s="24">
        <f t="shared" si="69"/>
        <v>1</v>
      </c>
      <c r="I55" s="39">
        <f t="shared" si="70"/>
        <v>0</v>
      </c>
      <c r="J55" s="38">
        <f t="shared" si="71"/>
        <v>0</v>
      </c>
      <c r="K55" s="40">
        <f t="shared" si="72"/>
        <v>0</v>
      </c>
      <c r="L55" s="22">
        <f t="shared" si="73"/>
        <v>0</v>
      </c>
      <c r="M55" s="24">
        <f t="shared" si="74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8"/>
        <v>0</v>
      </c>
      <c r="E56" s="26">
        <v>1</v>
      </c>
      <c r="F56" s="26">
        <v>1</v>
      </c>
      <c r="G56" s="22">
        <f t="shared" si="59"/>
        <v>1.65</v>
      </c>
      <c r="H56" s="24">
        <f t="shared" si="69"/>
        <v>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8"/>
        <v>0</v>
      </c>
      <c r="E57" s="26">
        <v>1</v>
      </c>
      <c r="F57" s="26">
        <v>1</v>
      </c>
      <c r="G57" s="22">
        <f t="shared" si="59"/>
        <v>1.65</v>
      </c>
      <c r="H57" s="24">
        <f t="shared" si="69"/>
        <v>1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8"/>
        <v>0</v>
      </c>
      <c r="E58" s="26">
        <v>1</v>
      </c>
      <c r="F58" s="26">
        <v>1</v>
      </c>
      <c r="G58" s="22">
        <f t="shared" si="59"/>
        <v>1.65</v>
      </c>
      <c r="H58" s="24">
        <f t="shared" si="69"/>
        <v>1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8"/>
        <v>0</v>
      </c>
      <c r="E59" s="26">
        <v>1</v>
      </c>
      <c r="F59" s="26">
        <v>1</v>
      </c>
      <c r="G59" s="22">
        <f t="shared" si="59"/>
        <v>1.65</v>
      </c>
      <c r="H59" s="24">
        <f t="shared" si="69"/>
        <v>1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8"/>
        <v>0</v>
      </c>
      <c r="E60" s="26">
        <v>1</v>
      </c>
      <c r="F60" s="26">
        <v>1</v>
      </c>
      <c r="G60" s="22">
        <f t="shared" si="59"/>
        <v>1.65</v>
      </c>
      <c r="H60" s="24">
        <f t="shared" si="69"/>
        <v>1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5"/>
        <v>1</v>
      </c>
      <c r="AI60" s="112">
        <f t="shared" si="75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8"/>
        <v>0</v>
      </c>
      <c r="E61" s="26">
        <v>1</v>
      </c>
      <c r="F61" s="26">
        <v>1</v>
      </c>
      <c r="G61" s="22">
        <f t="shared" si="59"/>
        <v>1.65</v>
      </c>
      <c r="H61" s="24">
        <f t="shared" si="69"/>
        <v>1</v>
      </c>
      <c r="I61" s="39">
        <f t="shared" si="70"/>
        <v>0</v>
      </c>
      <c r="J61" s="38">
        <f t="shared" si="71"/>
        <v>0</v>
      </c>
      <c r="K61" s="40">
        <f t="shared" si="72"/>
        <v>0</v>
      </c>
      <c r="L61" s="22">
        <f t="shared" si="73"/>
        <v>0</v>
      </c>
      <c r="M61" s="24">
        <f t="shared" si="74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5"/>
        <v>1</v>
      </c>
      <c r="AI61" s="112">
        <f t="shared" si="75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8"/>
        <v>0</v>
      </c>
      <c r="E62" s="26">
        <v>1</v>
      </c>
      <c r="F62" s="26">
        <v>1</v>
      </c>
      <c r="G62" s="22">
        <f t="shared" si="59"/>
        <v>1.65</v>
      </c>
      <c r="H62" s="24">
        <f t="shared" si="69"/>
        <v>1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5"/>
        <v>1</v>
      </c>
      <c r="AI62" s="112">
        <f t="shared" si="75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1.65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5"/>
        <v>1</v>
      </c>
      <c r="AI63" s="112">
        <f t="shared" si="75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1.65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5"/>
        <v>1</v>
      </c>
      <c r="AI64" s="112">
        <f t="shared" si="75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42965</v>
      </c>
      <c r="C65" s="41">
        <f>SUM(C37:C64)</f>
        <v>715</v>
      </c>
      <c r="D65" s="42">
        <f>SUM(D37:D64)</f>
        <v>43680</v>
      </c>
      <c r="E65" s="32"/>
      <c r="F65" s="32"/>
      <c r="G65" s="32"/>
      <c r="H65" s="31"/>
      <c r="I65" s="39">
        <f>SUM(I37:I64)</f>
        <v>29703.3</v>
      </c>
      <c r="J65" s="39">
        <f>SUM(J37:J64)</f>
        <v>29703.300000000003</v>
      </c>
      <c r="K65" s="40">
        <f>SUM(K37:K64)</f>
        <v>1</v>
      </c>
      <c r="L65" s="22">
        <f>SUM(L37:L64)</f>
        <v>0.67187943675084372</v>
      </c>
      <c r="M65" s="24">
        <f>SUM(M37:M64)</f>
        <v>0.6913371348772257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227.14999999999998</v>
      </c>
      <c r="AB65" s="137"/>
      <c r="AC65" s="153">
        <f>SUM(AC37:AC64)</f>
        <v>221.24999999999997</v>
      </c>
      <c r="AD65" s="137"/>
      <c r="AE65" s="153">
        <f>SUM(AE37:AE64)</f>
        <v>221.24999999999997</v>
      </c>
      <c r="AF65" s="137"/>
      <c r="AG65" s="153">
        <f>SUM(AG37:AG64)</f>
        <v>2109.25</v>
      </c>
      <c r="AH65" s="137"/>
      <c r="AI65" s="153">
        <f>SUM(AI37:AI64)</f>
        <v>2778.9</v>
      </c>
      <c r="AJ65" s="153">
        <f>SUM(AJ37:AJ64)</f>
        <v>448.39999999999992</v>
      </c>
      <c r="AK65" s="153">
        <f>SUM(AK37:AK64)</f>
        <v>2330.5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10249.436373711666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76">J124*I$83</f>
        <v>14349.210923196333</v>
      </c>
      <c r="K70" s="40">
        <f>B70/B$76</f>
        <v>0.2385531566091392</v>
      </c>
      <c r="L70" s="22">
        <f t="shared" ref="L70:L75" si="77">(L124*G$37*F$9/F$7)/B$130</f>
        <v>0.33397441925279492</v>
      </c>
      <c r="M70" s="24">
        <f>J70/B$76</f>
        <v>0.33397441925279492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3587.3027307990833</v>
      </c>
      <c r="AB70" s="116">
        <v>0.25</v>
      </c>
      <c r="AC70" s="147">
        <f>$J70*AB70</f>
        <v>3587.3027307990833</v>
      </c>
      <c r="AD70" s="116">
        <v>0.25</v>
      </c>
      <c r="AE70" s="147">
        <f>$J70*AD70</f>
        <v>3587.3027307990833</v>
      </c>
      <c r="AF70" s="122">
        <f>1-SUM(Z70,AB70,AD70)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9736.6666666666679</v>
      </c>
      <c r="C71" s="46"/>
      <c r="D71" s="38"/>
      <c r="E71" s="26">
        <v>1</v>
      </c>
      <c r="F71" s="26">
        <v>1.18</v>
      </c>
      <c r="G71" s="22"/>
      <c r="H71" s="24">
        <f t="shared" ref="H71:H72" si="78">(E71*F71)</f>
        <v>1.18</v>
      </c>
      <c r="I71" s="39">
        <f>I125*I$83</f>
        <v>11489.266666666666</v>
      </c>
      <c r="J71" s="51">
        <f t="shared" si="76"/>
        <v>11489.266666666666</v>
      </c>
      <c r="K71" s="40">
        <f t="shared" ref="K71:K72" si="79">B71/B$76</f>
        <v>0.22661856549904963</v>
      </c>
      <c r="L71" s="22">
        <f t="shared" si="77"/>
        <v>0.26740990728887853</v>
      </c>
      <c r="M71" s="24">
        <f t="shared" ref="M71:M72" si="80">J71/B$76</f>
        <v>0.26740990728887853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17340</v>
      </c>
      <c r="C72" s="46"/>
      <c r="D72" s="38"/>
      <c r="E72" s="26">
        <v>1</v>
      </c>
      <c r="F72" s="26">
        <v>1.18</v>
      </c>
      <c r="G72" s="22"/>
      <c r="H72" s="24">
        <f t="shared" si="78"/>
        <v>1.18</v>
      </c>
      <c r="I72" s="39">
        <f>I126*I$83</f>
        <v>0</v>
      </c>
      <c r="J72" s="51">
        <f t="shared" si="76"/>
        <v>0</v>
      </c>
      <c r="K72" s="40">
        <f t="shared" si="79"/>
        <v>0.40358431281275459</v>
      </c>
      <c r="L72" s="22">
        <f t="shared" si="77"/>
        <v>1.3483562924368562E-2</v>
      </c>
      <c r="M72" s="24">
        <f t="shared" si="80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906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6"/>
        <v>0</v>
      </c>
      <c r="K73" s="40">
        <f>B73/B$76</f>
        <v>2.1086931223088561E-2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96.217199999999991</v>
      </c>
      <c r="AB73" s="116">
        <v>0.09</v>
      </c>
      <c r="AC73" s="147">
        <f>$H$73*$B$73*AB73</f>
        <v>96.217199999999991</v>
      </c>
      <c r="AD73" s="116">
        <v>0.23</v>
      </c>
      <c r="AE73" s="147">
        <f>$H$73*$B$73*AD73</f>
        <v>245.88839999999999</v>
      </c>
      <c r="AF73" s="122">
        <f>1-SUM(Z73,AB73,AD73)</f>
        <v>0.59</v>
      </c>
      <c r="AG73" s="147">
        <f>$H$73*$B$73*AF73</f>
        <v>630.7571999999999</v>
      </c>
      <c r="AH73" s="155">
        <f>SUM(Z73,AB73,AD73,AF73)</f>
        <v>1</v>
      </c>
      <c r="AI73" s="147">
        <f>SUM(AA73,AC73,AE73,AG73)</f>
        <v>1069.08</v>
      </c>
      <c r="AJ73" s="148">
        <f>(AA73+AC73)</f>
        <v>192.43439999999998</v>
      </c>
      <c r="AK73" s="147">
        <f>(AE73+AG73)</f>
        <v>876.64559999999983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5519.7904915390827</v>
      </c>
      <c r="C74" s="46"/>
      <c r="D74" s="38"/>
      <c r="E74" s="32"/>
      <c r="F74" s="32"/>
      <c r="G74" s="32"/>
      <c r="H74" s="31"/>
      <c r="I74" s="39">
        <f>I128*I$83</f>
        <v>15354.08907680367</v>
      </c>
      <c r="J74" s="51">
        <f t="shared" si="76"/>
        <v>7676.6316823120142</v>
      </c>
      <c r="K74" s="40">
        <f>B74/B$76</f>
        <v>0.12847179079574264</v>
      </c>
      <c r="L74" s="22">
        <f t="shared" si="77"/>
        <v>5.7011547284801734E-2</v>
      </c>
      <c r="M74" s="24">
        <f>J74/B$76</f>
        <v>0.1786717486864195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-3360.1527307990832</v>
      </c>
      <c r="AB74" s="156"/>
      <c r="AC74" s="147">
        <f>AC30*$I$83/4</f>
        <v>-3366.0527307990833</v>
      </c>
      <c r="AD74" s="156"/>
      <c r="AE74" s="147">
        <f>AE30*$I$83/4</f>
        <v>-3366.0527307990833</v>
      </c>
      <c r="AF74" s="156"/>
      <c r="AG74" s="147">
        <f>AG30*$I$83/4</f>
        <v>-1478.0527307990833</v>
      </c>
      <c r="AH74" s="155"/>
      <c r="AI74" s="147">
        <f>SUM(AA74,AC74,AE74,AG74)</f>
        <v>-11570.310923196334</v>
      </c>
      <c r="AJ74" s="148">
        <f>(AA74+AC74)</f>
        <v>-6726.2054615981669</v>
      </c>
      <c r="AK74" s="147">
        <f>(AE74+AG74)</f>
        <v>-4844.1054615981666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42965</v>
      </c>
      <c r="C76" s="46"/>
      <c r="D76" s="38"/>
      <c r="E76" s="32"/>
      <c r="F76" s="32"/>
      <c r="G76" s="32"/>
      <c r="H76" s="31"/>
      <c r="I76" s="39">
        <f>I130*I$83</f>
        <v>29703.300000000003</v>
      </c>
      <c r="J76" s="51">
        <f t="shared" si="76"/>
        <v>29703.300000000003</v>
      </c>
      <c r="K76" s="40">
        <f>SUM(K70:K75)</f>
        <v>1.0183147569397746</v>
      </c>
      <c r="L76" s="22">
        <f>SUM(L70:L75)</f>
        <v>0.67187943675084372</v>
      </c>
      <c r="M76" s="24">
        <f>SUM(M70:M75)</f>
        <v>0.78005607522809295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227.14999999999998</v>
      </c>
      <c r="AB76" s="137"/>
      <c r="AC76" s="153">
        <f>AC65</f>
        <v>221.24999999999997</v>
      </c>
      <c r="AD76" s="137"/>
      <c r="AE76" s="153">
        <f>AE65</f>
        <v>221.24999999999997</v>
      </c>
      <c r="AF76" s="137"/>
      <c r="AG76" s="153">
        <f>AG65</f>
        <v>2109.25</v>
      </c>
      <c r="AH76" s="137"/>
      <c r="AI76" s="153">
        <f>SUM(AA76,AC76,AE76,AG76)</f>
        <v>2778.9</v>
      </c>
      <c r="AJ76" s="154">
        <f>SUM(AA76,AC76)</f>
        <v>448.4</v>
      </c>
      <c r="AK76" s="154">
        <f>SUM(AE76,AG76)</f>
        <v>2330.5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11489.26666666667</v>
      </c>
      <c r="J77" s="100">
        <f t="shared" si="76"/>
        <v>3811.8092721750127</v>
      </c>
      <c r="K77" s="40"/>
      <c r="L77" s="22">
        <f>-(L131*G$37*F$9/F$7)/B$130</f>
        <v>-0.25392634436451</v>
      </c>
      <c r="M77" s="24">
        <f>-J77/B$76</f>
        <v>-8.8718940350867276E-2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2437.6483761190457</v>
      </c>
      <c r="AB77" s="112"/>
      <c r="AC77" s="111">
        <f>AC31*$I$83/4</f>
        <v>2531.2360257393493</v>
      </c>
      <c r="AD77" s="112"/>
      <c r="AE77" s="111">
        <f>AE31*$I$83/4</f>
        <v>2285.0096715136224</v>
      </c>
      <c r="AF77" s="112"/>
      <c r="AG77" s="111">
        <f>AG31*$I$83/4</f>
        <v>11993.04853213633</v>
      </c>
      <c r="AH77" s="110"/>
      <c r="AI77" s="154">
        <f>SUM(AA77,AC77,AE77,AG77)</f>
        <v>19246.942605508346</v>
      </c>
      <c r="AJ77" s="153">
        <f>SUM(AA77,AC77)</f>
        <v>4968.884401858395</v>
      </c>
      <c r="AK77" s="160">
        <f>SUM(AE77,AG77)</f>
        <v>14278.058203649953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-3360.1527307990832</v>
      </c>
      <c r="AB79" s="112"/>
      <c r="AC79" s="112">
        <f>AA79-AA74+AC65-AC70</f>
        <v>-3366.0527307990833</v>
      </c>
      <c r="AD79" s="112"/>
      <c r="AE79" s="112">
        <f>AC79-AC74+AE65-AE70</f>
        <v>-3366.0527307990833</v>
      </c>
      <c r="AF79" s="112"/>
      <c r="AG79" s="112">
        <f>AE79-AE74+AG65-AG70</f>
        <v>-1478.0527307990833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0.67746781315776472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5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9.4166666666666661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11642.566647371668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4802.5587420408128</v>
      </c>
      <c r="AB83" s="112"/>
      <c r="AC83" s="165">
        <f>$I$83*AB82/4</f>
        <v>4802.5587420408128</v>
      </c>
      <c r="AD83" s="112"/>
      <c r="AE83" s="165">
        <f>$I$83*AD82/4</f>
        <v>4802.5587420408128</v>
      </c>
      <c r="AF83" s="112"/>
      <c r="AG83" s="165">
        <f>$I$83*AF82/4</f>
        <v>4802.5587420408128</v>
      </c>
      <c r="AH83" s="165">
        <f>SUM(AA83,AC83,AE83,AG83)</f>
        <v>19210.234968163251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1.5170744912960699</v>
      </c>
      <c r="I84" s="235">
        <f>(B70*H70)+((1-(D29*H29))*I83)</f>
        <v>29244.120681443645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other: Sheep hides</v>
      </c>
      <c r="B91" s="60">
        <f t="shared" ref="B91:C118" si="82">IF(B37="","",(B37/$B$83))</f>
        <v>0</v>
      </c>
      <c r="C91" s="60">
        <f t="shared" si="82"/>
        <v>0</v>
      </c>
      <c r="D91" s="24">
        <f>SUM(B91,C91)</f>
        <v>0</v>
      </c>
      <c r="H91" s="24">
        <f>(E37*F37/G37*F$7/F$9)</f>
        <v>0.3575757575757576</v>
      </c>
      <c r="I91" s="22">
        <f t="shared" ref="I91" si="83">(D91*H91)</f>
        <v>0</v>
      </c>
      <c r="J91" s="24">
        <f>IF(I$32&lt;=1+I$131,I91,L91+J$33*(I91-L91))</f>
        <v>0</v>
      </c>
      <c r="K91" s="22">
        <f t="shared" ref="K91" si="84">IF(B91="",0,B91)</f>
        <v>0</v>
      </c>
      <c r="L91" s="22">
        <f t="shared" ref="L91" si="85">(K91*H91)</f>
        <v>0</v>
      </c>
      <c r="M91" s="228">
        <f t="shared" si="81"/>
        <v>0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Other: cattle hides</v>
      </c>
      <c r="B92" s="60">
        <f t="shared" si="82"/>
        <v>8.5891713596138348E-4</v>
      </c>
      <c r="C92" s="60">
        <f t="shared" si="82"/>
        <v>0</v>
      </c>
      <c r="D92" s="24">
        <f t="shared" ref="D92:D118" si="87">SUM(B92,C92)</f>
        <v>8.5891713596138348E-4</v>
      </c>
      <c r="H92" s="24">
        <f t="shared" ref="H92:H118" si="88">(E38*F38/G38*F$7/F$9)</f>
        <v>0.3575757575757576</v>
      </c>
      <c r="I92" s="22">
        <f t="shared" ref="I92:I118" si="89">(D92*H92)</f>
        <v>3.0712794558619168E-4</v>
      </c>
      <c r="J92" s="24">
        <f t="shared" ref="J92:J118" si="90">IF(I$32&lt;=1+I$131,I92,L92+J$33*(I92-L92))</f>
        <v>3.0712794558619168E-4</v>
      </c>
      <c r="K92" s="22">
        <f t="shared" ref="K92:K118" si="91">IF(B92="",0,B92)</f>
        <v>8.5891713596138348E-4</v>
      </c>
      <c r="L92" s="22">
        <f t="shared" ref="L92:L118" si="92">(K92*H92)</f>
        <v>3.0712794558619168E-4</v>
      </c>
      <c r="M92" s="228">
        <f t="shared" ref="M92:M118" si="93">(J92)</f>
        <v>3.0712794558619168E-4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Cattle sales - local: no. sold</v>
      </c>
      <c r="B93" s="60">
        <f t="shared" si="82"/>
        <v>0.10736464199517294</v>
      </c>
      <c r="C93" s="60">
        <f t="shared" si="82"/>
        <v>0</v>
      </c>
      <c r="D93" s="24">
        <f t="shared" si="87"/>
        <v>0.10736464199517294</v>
      </c>
      <c r="H93" s="24">
        <f t="shared" si="88"/>
        <v>0.57212121212121214</v>
      </c>
      <c r="I93" s="22">
        <f t="shared" si="89"/>
        <v>6.142558911723834E-2</v>
      </c>
      <c r="J93" s="24">
        <f t="shared" si="90"/>
        <v>6.142558911723834E-2</v>
      </c>
      <c r="K93" s="22">
        <f t="shared" si="91"/>
        <v>0.10736464199517294</v>
      </c>
      <c r="L93" s="22">
        <f t="shared" si="92"/>
        <v>6.142558911723834E-2</v>
      </c>
      <c r="M93" s="228">
        <f t="shared" si="93"/>
        <v>6.142558911723834E-2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Sheep sales - local: no. sold</v>
      </c>
      <c r="B94" s="60">
        <f t="shared" si="82"/>
        <v>6.4418785197103756E-2</v>
      </c>
      <c r="C94" s="60">
        <f t="shared" si="82"/>
        <v>0</v>
      </c>
      <c r="D94" s="24">
        <f t="shared" si="87"/>
        <v>6.4418785197103756E-2</v>
      </c>
      <c r="H94" s="24">
        <f t="shared" si="88"/>
        <v>0.57212121212121214</v>
      </c>
      <c r="I94" s="22">
        <f t="shared" si="89"/>
        <v>3.6855353470343001E-2</v>
      </c>
      <c r="J94" s="24">
        <f t="shared" si="90"/>
        <v>3.6855353470343001E-2</v>
      </c>
      <c r="K94" s="22">
        <f t="shared" si="91"/>
        <v>6.4418785197103756E-2</v>
      </c>
      <c r="L94" s="22">
        <f t="shared" si="92"/>
        <v>3.6855353470343001E-2</v>
      </c>
      <c r="M94" s="228">
        <f t="shared" si="93"/>
        <v>3.6855353470343001E-2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Maize: kg produced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0.92484848484848492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28">
        <f t="shared" si="93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Onions: kg produced</v>
      </c>
      <c r="B96" s="60">
        <f t="shared" si="82"/>
        <v>0</v>
      </c>
      <c r="C96" s="60">
        <f t="shared" si="82"/>
        <v>0</v>
      </c>
      <c r="D96" s="24">
        <f t="shared" si="87"/>
        <v>0</v>
      </c>
      <c r="H96" s="24">
        <f t="shared" si="88"/>
        <v>0.84848484848484851</v>
      </c>
      <c r="I96" s="22">
        <f t="shared" si="89"/>
        <v>0</v>
      </c>
      <c r="J96" s="24">
        <f t="shared" si="90"/>
        <v>0</v>
      </c>
      <c r="K96" s="22">
        <f t="shared" si="91"/>
        <v>0</v>
      </c>
      <c r="L96" s="22">
        <f t="shared" si="92"/>
        <v>0</v>
      </c>
      <c r="M96" s="228">
        <f t="shared" si="93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Beans: kg produced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0.84848484848484851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28">
        <f t="shared" si="93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 xml:space="preserve">Other root crops: Beetroot </v>
      </c>
      <c r="B98" s="60">
        <f t="shared" si="82"/>
        <v>0</v>
      </c>
      <c r="C98" s="60">
        <f t="shared" si="82"/>
        <v>0</v>
      </c>
      <c r="D98" s="24">
        <f t="shared" si="87"/>
        <v>0</v>
      </c>
      <c r="H98" s="24">
        <f t="shared" si="88"/>
        <v>0.84848484848484851</v>
      </c>
      <c r="I98" s="22">
        <f t="shared" si="89"/>
        <v>0</v>
      </c>
      <c r="J98" s="24">
        <f t="shared" si="90"/>
        <v>0</v>
      </c>
      <c r="K98" s="22">
        <f t="shared" si="91"/>
        <v>0</v>
      </c>
      <c r="L98" s="22">
        <f t="shared" si="92"/>
        <v>0</v>
      </c>
      <c r="M98" s="228">
        <f t="shared" si="93"/>
        <v>0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 xml:space="preserve">Tomato: </v>
      </c>
      <c r="B99" s="60">
        <f t="shared" si="82"/>
        <v>0</v>
      </c>
      <c r="C99" s="60">
        <f t="shared" si="82"/>
        <v>0</v>
      </c>
      <c r="D99" s="24">
        <f t="shared" si="87"/>
        <v>0</v>
      </c>
      <c r="H99" s="24">
        <f t="shared" si="88"/>
        <v>0.84848484848484851</v>
      </c>
      <c r="I99" s="22">
        <f t="shared" si="89"/>
        <v>0</v>
      </c>
      <c r="J99" s="24">
        <f t="shared" si="90"/>
        <v>0</v>
      </c>
      <c r="K99" s="22">
        <f t="shared" si="91"/>
        <v>0</v>
      </c>
      <c r="L99" s="22">
        <f t="shared" si="92"/>
        <v>0</v>
      </c>
      <c r="M99" s="228">
        <f t="shared" si="93"/>
        <v>0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Leafy green vegetables (spinach etc)</v>
      </c>
      <c r="B100" s="60">
        <f t="shared" si="82"/>
        <v>3.0062099758648422E-3</v>
      </c>
      <c r="C100" s="60">
        <f t="shared" si="82"/>
        <v>-3.0062099758648422E-3</v>
      </c>
      <c r="D100" s="24">
        <f t="shared" si="87"/>
        <v>0</v>
      </c>
      <c r="H100" s="24">
        <f t="shared" si="88"/>
        <v>0.84848484848484851</v>
      </c>
      <c r="I100" s="22">
        <f t="shared" si="89"/>
        <v>0</v>
      </c>
      <c r="J100" s="24">
        <f t="shared" si="90"/>
        <v>0</v>
      </c>
      <c r="K100" s="22">
        <f t="shared" si="91"/>
        <v>3.0062099758648422E-3</v>
      </c>
      <c r="L100" s="22">
        <f t="shared" si="92"/>
        <v>2.5507236158853206E-3</v>
      </c>
      <c r="M100" s="228">
        <f t="shared" si="93"/>
        <v>0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Other crop: pumpkin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0.84848484848484851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28">
        <f t="shared" si="93"/>
        <v>0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Other crop: Carrots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0.84848484848484851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28">
        <f t="shared" si="93"/>
        <v>0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WILD FOODS -- see worksheet Data 3</v>
      </c>
      <c r="B103" s="60">
        <f t="shared" si="82"/>
        <v>0</v>
      </c>
      <c r="C103" s="60">
        <f t="shared" si="82"/>
        <v>6.4418785197103756E-2</v>
      </c>
      <c r="D103" s="24">
        <f t="shared" si="87"/>
        <v>6.4418785197103756E-2</v>
      </c>
      <c r="H103" s="24">
        <f t="shared" si="88"/>
        <v>0.7151515151515152</v>
      </c>
      <c r="I103" s="22">
        <f t="shared" si="89"/>
        <v>4.606919183792875E-2</v>
      </c>
      <c r="J103" s="24">
        <f t="shared" si="90"/>
        <v>4.606919183792875E-2</v>
      </c>
      <c r="K103" s="22">
        <f t="shared" si="91"/>
        <v>0</v>
      </c>
      <c r="L103" s="22">
        <f t="shared" si="92"/>
        <v>0</v>
      </c>
      <c r="M103" s="228">
        <f t="shared" si="93"/>
        <v>4.606919183792875E-2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Small business -- see Data2</v>
      </c>
      <c r="B104" s="60">
        <f t="shared" si="82"/>
        <v>0.82456045052292815</v>
      </c>
      <c r="C104" s="60">
        <f t="shared" si="82"/>
        <v>0</v>
      </c>
      <c r="D104" s="24">
        <f t="shared" si="87"/>
        <v>0.82456045052292815</v>
      </c>
      <c r="H104" s="24">
        <f t="shared" si="88"/>
        <v>0.57212121212121214</v>
      </c>
      <c r="I104" s="22">
        <f t="shared" si="89"/>
        <v>0.47174852442039045</v>
      </c>
      <c r="J104" s="24">
        <f t="shared" si="90"/>
        <v>0.47174852442039045</v>
      </c>
      <c r="K104" s="22">
        <f t="shared" si="91"/>
        <v>0.82456045052292815</v>
      </c>
      <c r="L104" s="22">
        <f t="shared" si="92"/>
        <v>0.47174852442039045</v>
      </c>
      <c r="M104" s="228">
        <f t="shared" si="93"/>
        <v>0.47174852442039045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Social development -- see Data2</v>
      </c>
      <c r="B105" s="60">
        <f t="shared" si="82"/>
        <v>1.3502177377312949</v>
      </c>
      <c r="C105" s="60">
        <f t="shared" si="82"/>
        <v>0</v>
      </c>
      <c r="D105" s="24">
        <f t="shared" si="87"/>
        <v>1.3502177377312949</v>
      </c>
      <c r="H105" s="24">
        <f t="shared" si="88"/>
        <v>0</v>
      </c>
      <c r="I105" s="22">
        <f t="shared" si="89"/>
        <v>0</v>
      </c>
      <c r="J105" s="24">
        <f t="shared" si="90"/>
        <v>0</v>
      </c>
      <c r="K105" s="22">
        <f t="shared" si="91"/>
        <v>1.3502177377312949</v>
      </c>
      <c r="L105" s="22">
        <f t="shared" si="92"/>
        <v>0</v>
      </c>
      <c r="M105" s="228">
        <f t="shared" si="93"/>
        <v>0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Public works -- see Data2</v>
      </c>
      <c r="B106" s="60">
        <f t="shared" si="82"/>
        <v>0.66995536604987915</v>
      </c>
      <c r="C106" s="60">
        <f t="shared" si="82"/>
        <v>0</v>
      </c>
      <c r="D106" s="24">
        <f t="shared" si="87"/>
        <v>0.66995536604987915</v>
      </c>
      <c r="H106" s="24">
        <f t="shared" si="88"/>
        <v>0.7151515151515152</v>
      </c>
      <c r="I106" s="22">
        <f t="shared" si="89"/>
        <v>0.47911959511445906</v>
      </c>
      <c r="J106" s="24">
        <f t="shared" si="90"/>
        <v>0.47911959511445906</v>
      </c>
      <c r="K106" s="22">
        <f t="shared" si="91"/>
        <v>0.66995536604987915</v>
      </c>
      <c r="L106" s="22">
        <f t="shared" si="92"/>
        <v>0.47911959511445906</v>
      </c>
      <c r="M106" s="228">
        <f t="shared" si="93"/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Remittances: no. times per year</v>
      </c>
      <c r="B107" s="60">
        <f t="shared" si="82"/>
        <v>0.66995536604987915</v>
      </c>
      <c r="C107" s="60">
        <f t="shared" si="82"/>
        <v>0</v>
      </c>
      <c r="D107" s="24">
        <f t="shared" si="87"/>
        <v>0.66995536604987915</v>
      </c>
      <c r="H107" s="24">
        <f t="shared" si="88"/>
        <v>0.67272727272727284</v>
      </c>
      <c r="I107" s="22">
        <f t="shared" si="89"/>
        <v>0.45069724625173696</v>
      </c>
      <c r="J107" s="24">
        <f t="shared" si="90"/>
        <v>0.45069724625173696</v>
      </c>
      <c r="K107" s="22">
        <f t="shared" si="91"/>
        <v>0.66995536604987915</v>
      </c>
      <c r="L107" s="22">
        <f t="shared" si="92"/>
        <v>0.45069724625173696</v>
      </c>
      <c r="M107" s="228">
        <f t="shared" si="93"/>
        <v>0.45069724625173696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/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0.60606060606060608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28">
        <f t="shared" si="9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/>
      </c>
      <c r="B109" s="60">
        <f t="shared" si="82"/>
        <v>0</v>
      </c>
      <c r="C109" s="60">
        <f t="shared" si="82"/>
        <v>0</v>
      </c>
      <c r="D109" s="24">
        <f t="shared" si="87"/>
        <v>0</v>
      </c>
      <c r="H109" s="24">
        <f t="shared" si="88"/>
        <v>0.60606060606060608</v>
      </c>
      <c r="I109" s="22">
        <f t="shared" si="89"/>
        <v>0</v>
      </c>
      <c r="J109" s="24">
        <f t="shared" si="90"/>
        <v>0</v>
      </c>
      <c r="K109" s="22">
        <f t="shared" si="91"/>
        <v>0</v>
      </c>
      <c r="L109" s="22">
        <f t="shared" si="92"/>
        <v>0</v>
      </c>
      <c r="M109" s="228">
        <f t="shared" si="9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/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0.60606060606060608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28">
        <f t="shared" si="9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/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0.60606060606060608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28">
        <f t="shared" si="9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/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0.60606060606060608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28">
        <f t="shared" si="9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/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0.60606060606060608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28">
        <f t="shared" si="9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/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0.60606060606060608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28">
        <f t="shared" si="9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/>
      </c>
      <c r="B115" s="60">
        <f t="shared" si="82"/>
        <v>0</v>
      </c>
      <c r="C115" s="60">
        <f t="shared" si="82"/>
        <v>0</v>
      </c>
      <c r="D115" s="24">
        <f t="shared" si="87"/>
        <v>0</v>
      </c>
      <c r="H115" s="24">
        <f t="shared" si="88"/>
        <v>0.60606060606060608</v>
      </c>
      <c r="I115" s="22">
        <f t="shared" si="89"/>
        <v>0</v>
      </c>
      <c r="J115" s="24">
        <f t="shared" si="90"/>
        <v>0</v>
      </c>
      <c r="K115" s="22">
        <f t="shared" si="91"/>
        <v>0</v>
      </c>
      <c r="L115" s="22">
        <f t="shared" si="92"/>
        <v>0</v>
      </c>
      <c r="M115" s="228">
        <f t="shared" si="9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/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0.60606060606060608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28">
        <f t="shared" si="9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/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0.60606060606060608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28">
        <f t="shared" si="9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0.60606060606060608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28">
        <f t="shared" si="9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3.6903374746580844</v>
      </c>
      <c r="C119" s="29">
        <f>SUM(C91:C118)</f>
        <v>6.1412575221238913E-2</v>
      </c>
      <c r="D119" s="24">
        <f>SUM(D91:D118)</f>
        <v>3.7517500498793233</v>
      </c>
      <c r="E119" s="22"/>
      <c r="F119" s="2"/>
      <c r="G119" s="2"/>
      <c r="H119" s="31"/>
      <c r="I119" s="22">
        <f>SUM(I91:I118)</f>
        <v>1.5462226281576827</v>
      </c>
      <c r="J119" s="24">
        <f>SUM(J91:J118)</f>
        <v>1.5462226281576827</v>
      </c>
      <c r="K119" s="22">
        <f>SUM(K91:K118)</f>
        <v>3.6903374746580844</v>
      </c>
      <c r="L119" s="22">
        <f>SUM(L91:L118)</f>
        <v>1.5027041599356392</v>
      </c>
      <c r="M119" s="57">
        <f t="shared" si="81"/>
        <v>1.5462226281576827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0.88034165353268523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9">
        <f>(B124)</f>
        <v>0.88034165353268523</v>
      </c>
      <c r="L124" s="29">
        <f>IF(SUMPRODUCT($B$124:$B124,$H$124:$H124)&lt;L$119,($B124*$H124),L$119)</f>
        <v>0.74695655451258147</v>
      </c>
      <c r="M124" s="241">
        <f t="shared" si="94"/>
        <v>0.74695655451258147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9">
        <f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241">
        <f t="shared" si="94"/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5">(B126)</f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3.0156907607095551E-2</v>
      </c>
      <c r="M126" s="241">
        <f t="shared" si="94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7.7817892518101339E-2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7.7817892518101339E-2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0.47410426400996258</v>
      </c>
      <c r="C128" s="56"/>
      <c r="D128" s="31"/>
      <c r="E128" s="2"/>
      <c r="F128" s="2"/>
      <c r="G128" s="2"/>
      <c r="H128" s="24"/>
      <c r="I128" s="29">
        <f>(I30)</f>
        <v>0.79926607364510127</v>
      </c>
      <c r="J128" s="229">
        <f>(J30)</f>
        <v>0.39961154535768806</v>
      </c>
      <c r="K128" s="29">
        <f>(B128)</f>
        <v>0.47410426400996258</v>
      </c>
      <c r="L128" s="29">
        <f>IF(L124=L119,0,(L119-L124)/(B119-B124)*K128)</f>
        <v>0.12751021177778496</v>
      </c>
      <c r="M128" s="241">
        <f t="shared" si="94"/>
        <v>0.39961154535768806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3.6903374746580844</v>
      </c>
      <c r="C130" s="56"/>
      <c r="D130" s="31"/>
      <c r="E130" s="2"/>
      <c r="F130" s="2"/>
      <c r="G130" s="2"/>
      <c r="H130" s="24"/>
      <c r="I130" s="29">
        <f>(I119)</f>
        <v>1.5462226281576827</v>
      </c>
      <c r="J130" s="229">
        <f>(J119)</f>
        <v>1.5462226281576827</v>
      </c>
      <c r="K130" s="29">
        <f>(B130)</f>
        <v>3.6903374746580844</v>
      </c>
      <c r="L130" s="29">
        <f>(L119)</f>
        <v>1.5027041599356392</v>
      </c>
      <c r="M130" s="241">
        <f t="shared" si="94"/>
        <v>1.5462226281576827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0.59808048603817743</v>
      </c>
      <c r="J131" s="238">
        <f>IF(SUMPRODUCT($B124:$B125,$H124:$H125)&gt;(J119-J128),SUMPRODUCT($B124:$B125,$H124:$H125)+J128-J119,0)</f>
        <v>0.1984259577507641</v>
      </c>
      <c r="K131" s="29"/>
      <c r="L131" s="29">
        <f>IF(I131&lt;SUM(L126:L127),0,I131-(SUM(L126:L127)))</f>
        <v>0.56792357843108188</v>
      </c>
      <c r="M131" s="238">
        <f>IF(I131&lt;SUM(M126:M127),0,I131-(SUM(M126:M127)))</f>
        <v>0.59808048603817743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340" operator="equal">
      <formula>16</formula>
    </cfRule>
    <cfRule type="cellIs" dxfId="407" priority="341" operator="equal">
      <formula>15</formula>
    </cfRule>
    <cfRule type="cellIs" dxfId="406" priority="342" operator="equal">
      <formula>14</formula>
    </cfRule>
    <cfRule type="cellIs" dxfId="405" priority="343" operator="equal">
      <formula>13</formula>
    </cfRule>
    <cfRule type="cellIs" dxfId="404" priority="344" operator="equal">
      <formula>12</formula>
    </cfRule>
    <cfRule type="cellIs" dxfId="403" priority="345" operator="equal">
      <formula>11</formula>
    </cfRule>
    <cfRule type="cellIs" dxfId="402" priority="346" operator="equal">
      <formula>10</formula>
    </cfRule>
    <cfRule type="cellIs" dxfId="401" priority="347" operator="equal">
      <formula>9</formula>
    </cfRule>
    <cfRule type="cellIs" dxfId="400" priority="348" operator="equal">
      <formula>8</formula>
    </cfRule>
    <cfRule type="cellIs" dxfId="399" priority="349" operator="equal">
      <formula>7</formula>
    </cfRule>
    <cfRule type="cellIs" dxfId="398" priority="350" operator="equal">
      <formula>6</formula>
    </cfRule>
    <cfRule type="cellIs" dxfId="397" priority="351" operator="equal">
      <formula>5</formula>
    </cfRule>
    <cfRule type="cellIs" dxfId="396" priority="352" operator="equal">
      <formula>4</formula>
    </cfRule>
    <cfRule type="cellIs" dxfId="395" priority="353" operator="equal">
      <formula>3</formula>
    </cfRule>
    <cfRule type="cellIs" dxfId="394" priority="354" operator="equal">
      <formula>2</formula>
    </cfRule>
    <cfRule type="cellIs" dxfId="393" priority="355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L4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9.2099172104607704E-2</v>
      </c>
      <c r="C6" s="102">
        <f>IF([1]Summ!$I1044="",0,[1]Summ!$I1044)</f>
        <v>0</v>
      </c>
      <c r="D6" s="24">
        <f t="shared" ref="D6:D29" si="0">(B6+C6)</f>
        <v>9.2099172104607704E-2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4.6049586052303852E-2</v>
      </c>
      <c r="J6" s="24">
        <f t="shared" ref="J6:J13" si="3">IF(I$32&lt;=1+I$131,I6,B6*H6+J$33*(I6-B6*H6))</f>
        <v>4.6049586052303852E-2</v>
      </c>
      <c r="K6" s="22">
        <f t="shared" ref="K6:K31" si="4">B6</f>
        <v>9.2099172104607704E-2</v>
      </c>
      <c r="L6" s="22">
        <f t="shared" ref="L6:L29" si="5">IF(K6="","",K6*H6)</f>
        <v>4.6049586052303852E-2</v>
      </c>
      <c r="M6" s="225">
        <f t="shared" ref="M6:M31" si="6">J6</f>
        <v>4.6049586052303852E-2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0.18419834420921541</v>
      </c>
      <c r="Z6" s="156">
        <f>Poor!Z6</f>
        <v>0.17</v>
      </c>
      <c r="AA6" s="121">
        <f>$M6*Z6*4</f>
        <v>3.1313718515566621E-2</v>
      </c>
      <c r="AB6" s="156">
        <f>Poor!AB6</f>
        <v>0.17</v>
      </c>
      <c r="AC6" s="121">
        <f t="shared" ref="AC6:AC29" si="7">$M6*AB6*4</f>
        <v>3.1313718515566621E-2</v>
      </c>
      <c r="AD6" s="156">
        <f>Poor!AD6</f>
        <v>0.33</v>
      </c>
      <c r="AE6" s="121">
        <f t="shared" ref="AE6:AE29" si="8">$M6*AD6*4</f>
        <v>6.078545358904109E-2</v>
      </c>
      <c r="AF6" s="122">
        <f>1-SUM(Z6,AB6,AD6)</f>
        <v>0.32999999999999996</v>
      </c>
      <c r="AG6" s="121">
        <f>$M6*AF6*4</f>
        <v>6.0785453589041076E-2</v>
      </c>
      <c r="AH6" s="123">
        <f>SUM(Z6,AB6,AD6,AF6)</f>
        <v>1</v>
      </c>
      <c r="AI6" s="183">
        <f>SUM(AA6,AC6,AE6,AG6)/4</f>
        <v>4.6049586052303852E-2</v>
      </c>
      <c r="AJ6" s="120">
        <f>(AA6+AC6)/2</f>
        <v>3.1313718515566621E-2</v>
      </c>
      <c r="AK6" s="119">
        <f>(AE6+AG6)/2</f>
        <v>6.0785453589041083E-2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7.5080846824408465E-2</v>
      </c>
      <c r="C7" s="102">
        <f>IF([1]Summ!$I1045="",0,[1]Summ!$I1045)</f>
        <v>0</v>
      </c>
      <c r="D7" s="24">
        <f t="shared" si="0"/>
        <v>7.5080846824408465E-2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3.7540423412204232E-2</v>
      </c>
      <c r="J7" s="24">
        <f t="shared" si="3"/>
        <v>3.7540423412204232E-2</v>
      </c>
      <c r="K7" s="22">
        <f t="shared" si="4"/>
        <v>7.5080846824408465E-2</v>
      </c>
      <c r="L7" s="22">
        <f t="shared" si="5"/>
        <v>3.7540423412204232E-2</v>
      </c>
      <c r="M7" s="225">
        <f t="shared" si="6"/>
        <v>3.7540423412204232E-2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3492.2635476178102</v>
      </c>
      <c r="S7" s="223">
        <f>IF($B$81=0,0,(SUMIF($N$6:$N$28,$U7,L$6:L$28)+SUMIF($N$91:$N$118,$U7,L$91:L$118))*$I$83*Poor!$B$81/$B$81)</f>
        <v>3898.0584804630607</v>
      </c>
      <c r="T7" s="223">
        <f>IF($B$81=0,0,(SUMIF($N$6:$N$28,$U7,M$6:M$28)+SUMIF($N$91:$N$118,$U7,M$91:M$118))*$I$83*Poor!$B$81/$B$81)</f>
        <v>3915.2800501660763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0.15016169364881693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0.15016169364881693</v>
      </c>
      <c r="AH7" s="123">
        <f t="shared" ref="AH7:AH30" si="12">SUM(Z7,AB7,AD7,AF7)</f>
        <v>1</v>
      </c>
      <c r="AI7" s="183">
        <f t="shared" ref="AI7:AI30" si="13">SUM(AA7,AC7,AE7,AG7)/4</f>
        <v>3.7540423412204232E-2</v>
      </c>
      <c r="AJ7" s="120">
        <f t="shared" ref="AJ7:AJ31" si="14">(AA7+AC7)/2</f>
        <v>0</v>
      </c>
      <c r="AK7" s="119">
        <f t="shared" ref="AK7:AK31" si="15">(AE7+AG7)/2</f>
        <v>7.5080846824408465E-2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4.0082222914072228E-2</v>
      </c>
      <c r="C8" s="102">
        <f>IF([1]Summ!$I1046="",0,[1]Summ!$I1046)</f>
        <v>0</v>
      </c>
      <c r="D8" s="24">
        <f t="shared" si="0"/>
        <v>4.0082222914072228E-2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2.0041111457036114E-2</v>
      </c>
      <c r="J8" s="24">
        <f t="shared" si="3"/>
        <v>2.0041111457036114E-2</v>
      </c>
      <c r="K8" s="22">
        <f t="shared" si="4"/>
        <v>4.0082222914072228E-2</v>
      </c>
      <c r="L8" s="22">
        <f t="shared" si="5"/>
        <v>2.0041111457036114E-2</v>
      </c>
      <c r="M8" s="225">
        <f t="shared" si="6"/>
        <v>2.0041111457036114E-2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1900.8943375939757</v>
      </c>
      <c r="S8" s="223">
        <f>IF($B$81=0,0,(SUMIF($N$6:$N$28,$U8,L$6:L$28)+SUMIF($N$91:$N$118,$U8,L$91:L$118))*$I$83*Poor!$B$81/$B$81)</f>
        <v>1754.2</v>
      </c>
      <c r="T8" s="223">
        <f>IF($B$81=0,0,(SUMIF($N$6:$N$28,$U8,M$6:M$28)+SUMIF($N$91:$N$118,$U8,M$91:M$118))*$I$83*Poor!$B$81/$B$81)</f>
        <v>1592.0102715036958</v>
      </c>
      <c r="U8" s="224">
        <v>2</v>
      </c>
      <c r="V8" s="56"/>
      <c r="W8" s="115"/>
      <c r="X8" s="118">
        <f>Poor!X8</f>
        <v>1</v>
      </c>
      <c r="Y8" s="183">
        <f t="shared" si="9"/>
        <v>8.0164445828144457E-2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8.0164445828144457E-2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2.0041111457036114E-2</v>
      </c>
      <c r="AJ8" s="120">
        <f t="shared" si="14"/>
        <v>4.0082222914072228E-2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5.7726221917808213E-2</v>
      </c>
      <c r="C9" s="102">
        <f>IF([1]Summ!$I1047="",0,[1]Summ!$I1047)</f>
        <v>0</v>
      </c>
      <c r="D9" s="24">
        <f t="shared" si="0"/>
        <v>5.7726221917808213E-2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6.2921581890410958E-2</v>
      </c>
      <c r="J9" s="24">
        <f t="shared" si="3"/>
        <v>6.2921581890410958E-2</v>
      </c>
      <c r="K9" s="22">
        <f t="shared" si="4"/>
        <v>5.7726221917808213E-2</v>
      </c>
      <c r="L9" s="22">
        <f t="shared" si="5"/>
        <v>6.2921581890410958E-2</v>
      </c>
      <c r="M9" s="225">
        <f t="shared" si="6"/>
        <v>6.2921581890410958E-2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3660.7985444025776</v>
      </c>
      <c r="S9" s="223">
        <f>IF($B$81=0,0,(SUMIF($N$6:$N$28,$U9,L$6:L$28)+SUMIF($N$91:$N$118,$U9,L$91:L$118))*$I$83*Poor!$B$81/$B$81)</f>
        <v>1990.7781829170028</v>
      </c>
      <c r="T9" s="223">
        <f>IF($B$81=0,0,(SUMIF($N$6:$N$28,$U9,M$6:M$28)+SUMIF($N$91:$N$118,$U9,M$91:M$118))*$I$83*Poor!$B$81/$B$81)</f>
        <v>1990.7781829170028</v>
      </c>
      <c r="U9" s="224">
        <v>3</v>
      </c>
      <c r="V9" s="56"/>
      <c r="W9" s="115"/>
      <c r="X9" s="118">
        <f>Poor!X9</f>
        <v>1</v>
      </c>
      <c r="Y9" s="183">
        <f t="shared" si="9"/>
        <v>0.25168632756164383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0.25168632756164383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6.2921581890410958E-2</v>
      </c>
      <c r="AJ9" s="120">
        <f t="shared" si="14"/>
        <v>0.12584316378082192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Onions: kg produced</v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5">
        <f t="shared" si="6"/>
        <v>0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68.268352108323157</v>
      </c>
      <c r="S10" s="223">
        <f>IF($B$81=0,0,(SUMIF($N$6:$N$28,$U10,L$6:L$28)+SUMIF($N$91:$N$118,$U10,L$91:L$118))*$I$83*Poor!$B$81/$B$81)</f>
        <v>26.55</v>
      </c>
      <c r="T10" s="223">
        <f>IF($B$81=0,0,(SUMIF($N$6:$N$28,$U10,M$6:M$28)+SUMIF($N$91:$N$118,$U10,M$91:M$118))*$I$83*Poor!$B$81/$B$81)</f>
        <v>26.55</v>
      </c>
      <c r="U10" s="224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1.5907754420921547E-2</v>
      </c>
      <c r="C11" s="102">
        <f>IF([1]Summ!$I1049="",0,[1]Summ!$I1049)</f>
        <v>-7.0701130759651329E-3</v>
      </c>
      <c r="D11" s="24">
        <f t="shared" si="0"/>
        <v>8.8376413449564144E-3</v>
      </c>
      <c r="E11" s="75">
        <f>Poor!E11</f>
        <v>1</v>
      </c>
      <c r="H11" s="24">
        <f t="shared" si="1"/>
        <v>1</v>
      </c>
      <c r="I11" s="22">
        <f t="shared" si="2"/>
        <v>8.8376413449564144E-3</v>
      </c>
      <c r="J11" s="24">
        <f t="shared" si="3"/>
        <v>1.5151455964102558E-2</v>
      </c>
      <c r="K11" s="22">
        <f t="shared" si="4"/>
        <v>1.5907754420921547E-2</v>
      </c>
      <c r="L11" s="22">
        <f t="shared" si="5"/>
        <v>1.5907754420921547E-2</v>
      </c>
      <c r="M11" s="225">
        <f t="shared" si="6"/>
        <v>1.5151455964102558E-2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10240.252816248472</v>
      </c>
      <c r="S11" s="223">
        <f>IF($B$81=0,0,(SUMIF($N$6:$N$28,$U11,L$6:L$28)+SUMIF($N$91:$N$118,$U11,L$91:L$118))*$I$83*Poor!$B$81/$B$81)</f>
        <v>6372</v>
      </c>
      <c r="T11" s="223">
        <f>IF($B$81=0,0,(SUMIF($N$6:$N$28,$U11,M$6:M$28)+SUMIF($N$91:$N$118,$U11,M$91:M$118))*$I$83*Poor!$B$81/$B$81)</f>
        <v>6296.2643927084928</v>
      </c>
      <c r="U11" s="224">
        <v>5</v>
      </c>
      <c r="V11" s="56"/>
      <c r="W11" s="115"/>
      <c r="X11" s="118">
        <f>Poor!X11</f>
        <v>1</v>
      </c>
      <c r="Y11" s="183">
        <f t="shared" si="9"/>
        <v>6.0605823856410231E-2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6.0605823856410231E-2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1.5151455964102558E-2</v>
      </c>
      <c r="AJ11" s="120">
        <f t="shared" si="14"/>
        <v>3.0302911928205115E-2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kg produced</v>
      </c>
      <c r="B12" s="101">
        <f>IF([1]Summ!$H1050="",0,[1]Summ!$H1050)</f>
        <v>3.8799591780821908E-2</v>
      </c>
      <c r="C12" s="102">
        <f>IF([1]Summ!$I1050="",0,[1]Summ!$I1050)</f>
        <v>0</v>
      </c>
      <c r="D12" s="24">
        <f t="shared" si="0"/>
        <v>3.8799591780821908E-2</v>
      </c>
      <c r="E12" s="75">
        <f>Poor!E12</f>
        <v>1</v>
      </c>
      <c r="H12" s="24">
        <f t="shared" si="1"/>
        <v>1</v>
      </c>
      <c r="I12" s="22">
        <f t="shared" si="2"/>
        <v>3.8799591780821908E-2</v>
      </c>
      <c r="J12" s="24">
        <f t="shared" si="3"/>
        <v>3.8799591780821908E-2</v>
      </c>
      <c r="K12" s="22">
        <f t="shared" si="4"/>
        <v>3.8799591780821908E-2</v>
      </c>
      <c r="L12" s="22">
        <f t="shared" si="5"/>
        <v>3.8799591780821908E-2</v>
      </c>
      <c r="M12" s="225">
        <f t="shared" si="6"/>
        <v>3.8799591780821908E-2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521.03690787289827</v>
      </c>
      <c r="S12" s="223">
        <f>IF($B$81=0,0,(SUMIF($N$6:$N$28,$U12,L$6:L$28)+SUMIF($N$91:$N$118,$U12,L$91:L$118))*$I$83*Poor!$B$81/$B$81)</f>
        <v>566.68997001973992</v>
      </c>
      <c r="T12" s="223">
        <f>IF($B$81=0,0,(SUMIF($N$6:$N$28,$U12,M$6:M$28)+SUMIF($N$91:$N$118,$U12,M$91:M$118))*$I$83*Poor!$B$81/$B$81)</f>
        <v>506.07046574650406</v>
      </c>
      <c r="U12" s="224">
        <v>6</v>
      </c>
      <c r="V12" s="56"/>
      <c r="W12" s="117"/>
      <c r="X12" s="118"/>
      <c r="Y12" s="183">
        <f t="shared" si="9"/>
        <v>0.15519836712328763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0.10398290597260272</v>
      </c>
      <c r="AF12" s="122">
        <f>1-SUM(Z12,AB12,AD12)</f>
        <v>0.32999999999999996</v>
      </c>
      <c r="AG12" s="121">
        <f>$M12*AF12*4</f>
        <v>5.1215461150684913E-2</v>
      </c>
      <c r="AH12" s="123">
        <f t="shared" si="12"/>
        <v>1</v>
      </c>
      <c r="AI12" s="183">
        <f t="shared" si="13"/>
        <v>3.8799591780821908E-2</v>
      </c>
      <c r="AJ12" s="120">
        <f t="shared" si="14"/>
        <v>0</v>
      </c>
      <c r="AK12" s="119">
        <f t="shared" si="15"/>
        <v>7.7599183561643817E-2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Green beans /peas</v>
      </c>
      <c r="B13" s="101">
        <f>IF([1]Summ!$H1051="",0,[1]Summ!$H1051)</f>
        <v>2.9328455790784552E-3</v>
      </c>
      <c r="C13" s="102">
        <f>IF([1]Summ!$I1051="",0,[1]Summ!$I1051)</f>
        <v>0</v>
      </c>
      <c r="D13" s="24">
        <f t="shared" si="0"/>
        <v>2.9328455790784552E-3</v>
      </c>
      <c r="E13" s="75">
        <f>Poor!E13</f>
        <v>1</v>
      </c>
      <c r="H13" s="24">
        <f t="shared" si="1"/>
        <v>1</v>
      </c>
      <c r="I13" s="22">
        <f t="shared" si="2"/>
        <v>2.9328455790784552E-3</v>
      </c>
      <c r="J13" s="24">
        <f t="shared" si="3"/>
        <v>2.9328455790784552E-3</v>
      </c>
      <c r="K13" s="22">
        <f t="shared" si="4"/>
        <v>2.9328455790784552E-3</v>
      </c>
      <c r="L13" s="22">
        <f t="shared" si="5"/>
        <v>2.9328455790784552E-3</v>
      </c>
      <c r="M13" s="226">
        <f t="shared" si="6"/>
        <v>2.9328455790784552E-3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1.1731382316313821E-2</v>
      </c>
      <c r="Z13" s="156">
        <f>Poor!Z13</f>
        <v>1</v>
      </c>
      <c r="AA13" s="121">
        <f>$M13*Z13*4</f>
        <v>1.1731382316313821E-2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2.9328455790784552E-3</v>
      </c>
      <c r="AJ13" s="120">
        <f t="shared" si="14"/>
        <v>5.8656911581569104E-3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 xml:space="preserve">Other root crops: Beetroot </v>
      </c>
      <c r="B14" s="101">
        <f>IF([1]Summ!$H1052="",0,[1]Summ!$H1052)</f>
        <v>1.1656288916562889E-3</v>
      </c>
      <c r="C14" s="102">
        <f>IF([1]Summ!$I1052="",0,[1]Summ!$I1052)</f>
        <v>3.6425902864259028E-4</v>
      </c>
      <c r="D14" s="24">
        <f t="shared" si="0"/>
        <v>1.5298879202988792E-3</v>
      </c>
      <c r="E14" s="75">
        <f>Poor!E14</f>
        <v>1</v>
      </c>
      <c r="F14" s="22"/>
      <c r="H14" s="24">
        <f t="shared" si="1"/>
        <v>1</v>
      </c>
      <c r="I14" s="22">
        <f t="shared" si="2"/>
        <v>1.5298879202988792E-3</v>
      </c>
      <c r="J14" s="24">
        <f>IF(I$32&lt;=1+I131,I14,B14*H14+J$33*(I14-B14*H14))</f>
        <v>1.2045941158733244E-3</v>
      </c>
      <c r="K14" s="22">
        <f t="shared" si="4"/>
        <v>1.1656288916562889E-3</v>
      </c>
      <c r="L14" s="22">
        <f t="shared" si="5"/>
        <v>1.1656288916562889E-3</v>
      </c>
      <c r="M14" s="226">
        <f t="shared" si="6"/>
        <v>1.2045941158733244E-3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4.8183764634932976E-3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4.8183764634932976E-3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1.2045941158733244E-3</v>
      </c>
      <c r="AJ14" s="120">
        <f t="shared" si="14"/>
        <v>2.4091882317466488E-3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 xml:space="preserve">Tomato: </v>
      </c>
      <c r="B15" s="101">
        <f>IF([1]Summ!$H1053="",0,[1]Summ!$H1053)</f>
        <v>3.0188757160647575E-2</v>
      </c>
      <c r="C15" s="102">
        <f>IF([1]Summ!$I1053="",0,[1]Summ!$I1053)</f>
        <v>7.5471892901618973E-3</v>
      </c>
      <c r="D15" s="24">
        <f t="shared" si="0"/>
        <v>3.7735946450809472E-2</v>
      </c>
      <c r="E15" s="75">
        <f>Poor!E15</f>
        <v>1</v>
      </c>
      <c r="F15" s="22"/>
      <c r="H15" s="24">
        <f t="shared" si="1"/>
        <v>1</v>
      </c>
      <c r="I15" s="22">
        <f t="shared" si="2"/>
        <v>3.7735946450809472E-2</v>
      </c>
      <c r="J15" s="24">
        <f>IF(I$32&lt;=1+I131,I15,B15*H15+J$33*(I15-B15*H15))</f>
        <v>3.0996089031035103E-2</v>
      </c>
      <c r="K15" s="22">
        <f t="shared" si="4"/>
        <v>3.0188757160647575E-2</v>
      </c>
      <c r="L15" s="22">
        <f t="shared" si="5"/>
        <v>3.0188757160647575E-2</v>
      </c>
      <c r="M15" s="227">
        <f t="shared" si="6"/>
        <v>3.0996089031035103E-2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11833.181032109347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0.12398435612414041</v>
      </c>
      <c r="Z15" s="156">
        <f>Poor!Z15</f>
        <v>0.25</v>
      </c>
      <c r="AA15" s="121">
        <f t="shared" si="16"/>
        <v>3.0996089031035103E-2</v>
      </c>
      <c r="AB15" s="156">
        <f>Poor!AB15</f>
        <v>0.25</v>
      </c>
      <c r="AC15" s="121">
        <f t="shared" si="7"/>
        <v>3.0996089031035103E-2</v>
      </c>
      <c r="AD15" s="156">
        <f>Poor!AD15</f>
        <v>0.25</v>
      </c>
      <c r="AE15" s="121">
        <f t="shared" si="8"/>
        <v>3.0996089031035103E-2</v>
      </c>
      <c r="AF15" s="122">
        <f t="shared" si="10"/>
        <v>0.25</v>
      </c>
      <c r="AG15" s="121">
        <f t="shared" si="11"/>
        <v>3.0996089031035103E-2</v>
      </c>
      <c r="AH15" s="123">
        <f t="shared" si="12"/>
        <v>1</v>
      </c>
      <c r="AI15" s="183">
        <f t="shared" si="13"/>
        <v>3.0996089031035103E-2</v>
      </c>
      <c r="AJ15" s="120">
        <f t="shared" si="14"/>
        <v>3.0996089031035103E-2</v>
      </c>
      <c r="AK15" s="119">
        <f t="shared" si="15"/>
        <v>3.0996089031035103E-2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Potato's: no. local meas</v>
      </c>
      <c r="B16" s="101">
        <f>IF([1]Summ!$H1054="",0,[1]Summ!$H1054)</f>
        <v>2.2005466251556659E-2</v>
      </c>
      <c r="C16" s="102">
        <f>IF([1]Summ!$I1054="",0,[1]Summ!$I1054)</f>
        <v>0</v>
      </c>
      <c r="D16" s="24">
        <f t="shared" si="0"/>
        <v>2.2005466251556659E-2</v>
      </c>
      <c r="E16" s="75">
        <f>Poor!E16</f>
        <v>1</v>
      </c>
      <c r="F16" s="22"/>
      <c r="H16" s="24">
        <f t="shared" si="1"/>
        <v>1</v>
      </c>
      <c r="I16" s="22">
        <f t="shared" si="2"/>
        <v>2.2005466251556659E-2</v>
      </c>
      <c r="J16" s="24">
        <f>IF(I$32&lt;=1+I131,I16,B16*H16+J$33*(I16-B16*H16))</f>
        <v>2.2005466251556659E-2</v>
      </c>
      <c r="K16" s="22">
        <f t="shared" si="4"/>
        <v>2.2005466251556659E-2</v>
      </c>
      <c r="L16" s="22">
        <f t="shared" si="5"/>
        <v>2.2005466251556659E-2</v>
      </c>
      <c r="M16" s="225">
        <f t="shared" si="6"/>
        <v>2.2005466251556659E-2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8.8021865006226635E-2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8.8021865006226635E-2</v>
      </c>
      <c r="AH16" s="123">
        <f t="shared" si="12"/>
        <v>1</v>
      </c>
      <c r="AI16" s="183">
        <f t="shared" si="13"/>
        <v>2.2005466251556659E-2</v>
      </c>
      <c r="AJ16" s="120">
        <f t="shared" si="14"/>
        <v>0</v>
      </c>
      <c r="AK16" s="119">
        <f t="shared" si="15"/>
        <v>4.4010932503113318E-2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Leafy green vegetables (spinach etc)</v>
      </c>
      <c r="B17" s="101">
        <f>IF([1]Summ!$H1055="",0,[1]Summ!$H1055)</f>
        <v>2.5498132004981319E-4</v>
      </c>
      <c r="C17" s="102">
        <f>IF([1]Summ!$I1055="",0,[1]Summ!$I1055)</f>
        <v>2.1127023661270238E-3</v>
      </c>
      <c r="D17" s="24">
        <f t="shared" si="0"/>
        <v>2.3676836861768369E-3</v>
      </c>
      <c r="E17" s="75">
        <f>Poor!E17</f>
        <v>1</v>
      </c>
      <c r="F17" s="22"/>
      <c r="H17" s="24">
        <f t="shared" si="1"/>
        <v>1</v>
      </c>
      <c r="I17" s="22">
        <f t="shared" si="2"/>
        <v>2.3676836861768369E-3</v>
      </c>
      <c r="J17" s="24">
        <f t="shared" ref="J17:J25" si="17">IF(I$32&lt;=1+I131,I17,B17*H17+J$33*(I17-B17*H17))</f>
        <v>4.8097962050861869E-4</v>
      </c>
      <c r="K17" s="22">
        <f t="shared" si="4"/>
        <v>2.5498132004981319E-4</v>
      </c>
      <c r="L17" s="22">
        <f t="shared" si="5"/>
        <v>2.5498132004981319E-4</v>
      </c>
      <c r="M17" s="226">
        <f t="shared" si="6"/>
        <v>4.8097962050861869E-4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32768.809011995116</v>
      </c>
      <c r="S17" s="223">
        <f>IF($B$81=0,0,(SUMIF($N$6:$N$28,$U17,L$6:L$28)+SUMIF($N$91:$N$118,$U17,L$91:L$118))*$I$83*Poor!$B$81/$B$81)</f>
        <v>20390.399999999998</v>
      </c>
      <c r="T17" s="223">
        <f>IF($B$81=0,0,(SUMIF($N$6:$N$28,$U17,M$6:M$28)+SUMIF($N$91:$N$118,$U17,M$91:M$118))*$I$83*Poor!$B$81/$B$81)</f>
        <v>20390.399999999998</v>
      </c>
      <c r="U17" s="224">
        <v>11</v>
      </c>
      <c r="V17" s="56"/>
      <c r="W17" s="110"/>
      <c r="X17" s="118"/>
      <c r="Y17" s="183">
        <f t="shared" si="9"/>
        <v>1.9239184820344748E-3</v>
      </c>
      <c r="Z17" s="156">
        <f>Poor!Z17</f>
        <v>0.29409999999999997</v>
      </c>
      <c r="AA17" s="121">
        <f t="shared" si="16"/>
        <v>5.6582442556633893E-4</v>
      </c>
      <c r="AB17" s="156">
        <f>Poor!AB17</f>
        <v>0.17649999999999999</v>
      </c>
      <c r="AC17" s="121">
        <f t="shared" si="7"/>
        <v>3.3957161207908478E-4</v>
      </c>
      <c r="AD17" s="156">
        <f>Poor!AD17</f>
        <v>0.23530000000000001</v>
      </c>
      <c r="AE17" s="121">
        <f t="shared" si="8"/>
        <v>4.5269801882271191E-4</v>
      </c>
      <c r="AF17" s="122">
        <f t="shared" si="10"/>
        <v>0.29410000000000003</v>
      </c>
      <c r="AG17" s="121">
        <f t="shared" si="11"/>
        <v>5.6582442556633904E-4</v>
      </c>
      <c r="AH17" s="123">
        <f t="shared" si="12"/>
        <v>1</v>
      </c>
      <c r="AI17" s="183">
        <f t="shared" si="13"/>
        <v>4.8097962050861864E-4</v>
      </c>
      <c r="AJ17" s="120">
        <f t="shared" si="14"/>
        <v>4.5269801882271186E-4</v>
      </c>
      <c r="AK17" s="119">
        <f t="shared" si="15"/>
        <v>5.0926122219452548E-4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Other crop: pumpkin</v>
      </c>
      <c r="B18" s="101">
        <f>IF([1]Summ!$H1056="",0,[1]Summ!$H1056)</f>
        <v>2.7132627646326277E-2</v>
      </c>
      <c r="C18" s="102">
        <f>IF([1]Summ!$I1056="",0,[1]Summ!$I1056)</f>
        <v>5.4265255292652512E-3</v>
      </c>
      <c r="D18" s="24">
        <f t="shared" ref="D18:D25" si="18">(B18+C18)</f>
        <v>3.2559153175591528E-2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3.2559153175591528E-2</v>
      </c>
      <c r="J18" s="24">
        <f t="shared" si="17"/>
        <v>2.7713109576328779E-2</v>
      </c>
      <c r="K18" s="22">
        <f t="shared" ref="K18:K25" si="21">B18</f>
        <v>2.7132627646326277E-2</v>
      </c>
      <c r="L18" s="22">
        <f t="shared" ref="L18:L25" si="22">IF(K18="","",K18*H18)</f>
        <v>2.7132627646326277E-2</v>
      </c>
      <c r="M18" s="226">
        <f t="shared" ref="M18:M25" si="23">J18</f>
        <v>2.7713109576328779E-2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Carrots</v>
      </c>
      <c r="B19" s="101">
        <f>IF([1]Summ!$H1057="",0,[1]Summ!$H1057)</f>
        <v>1.6064757160647572E-3</v>
      </c>
      <c r="C19" s="102">
        <f>IF([1]Summ!$I1057="",0,[1]Summ!$I1057)</f>
        <v>0</v>
      </c>
      <c r="D19" s="24">
        <f t="shared" si="18"/>
        <v>1.6064757160647572E-3</v>
      </c>
      <c r="E19" s="75">
        <f>Poor!E19</f>
        <v>1</v>
      </c>
      <c r="F19" s="22"/>
      <c r="H19" s="24">
        <f t="shared" si="19"/>
        <v>1</v>
      </c>
      <c r="I19" s="22">
        <f t="shared" si="20"/>
        <v>1.6064757160647572E-3</v>
      </c>
      <c r="J19" s="24">
        <f t="shared" si="17"/>
        <v>1.6064757160647572E-3</v>
      </c>
      <c r="K19" s="22">
        <f t="shared" si="21"/>
        <v>1.6064757160647572E-3</v>
      </c>
      <c r="L19" s="22">
        <f t="shared" si="22"/>
        <v>1.6064757160647572E-3</v>
      </c>
      <c r="M19" s="226">
        <f t="shared" si="23"/>
        <v>1.6064757160647572E-3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23848.411003174224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101">
        <f>IF([1]Summ!$H1059="",0,[1]Summ!$H1059)</f>
        <v>2.9499377334993776E-2</v>
      </c>
      <c r="C21" s="102">
        <f>IF([1]Summ!$I1059="",0,[1]Summ!$I1059)</f>
        <v>-2.9499377334993776E-2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2.634379363840186E-2</v>
      </c>
      <c r="K21" s="22">
        <f t="shared" si="21"/>
        <v>2.9499377334993776E-2</v>
      </c>
      <c r="L21" s="22">
        <f t="shared" si="22"/>
        <v>2.9499377334993776E-2</v>
      </c>
      <c r="M21" s="226">
        <f t="shared" si="23"/>
        <v>2.634379363840186E-2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Gifts/remittances: Events(Funerals, weddings)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90016.071826831496</v>
      </c>
      <c r="S23" s="179">
        <f>SUM(S7:S22)</f>
        <v>46032.222820843912</v>
      </c>
      <c r="T23" s="179">
        <f>SUM(T7:T22)</f>
        <v>45750.899550485883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9.5238095238095233E-2</v>
      </c>
      <c r="C26" s="102">
        <f>IF([1]Summ!$I1064="",0,[1]Summ!$I1064)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1.4140226151930261E-2</v>
      </c>
      <c r="C27" s="102">
        <f>IF([1]Summ!$I1065="",0,[1]Summ!$I1065)</f>
        <v>-1.4140226151930261E-2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1.262762923829228E-2</v>
      </c>
      <c r="K27" s="22">
        <f t="shared" si="4"/>
        <v>1.4140226151930261E-2</v>
      </c>
      <c r="L27" s="22">
        <f t="shared" si="5"/>
        <v>1.4140226151930261E-2</v>
      </c>
      <c r="M27" s="227">
        <f t="shared" si="6"/>
        <v>1.262762923829228E-2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5.0510516953169118E-2</v>
      </c>
      <c r="Z27" s="156">
        <f>Poor!Z27</f>
        <v>0.25</v>
      </c>
      <c r="AA27" s="121">
        <f t="shared" si="16"/>
        <v>1.262762923829228E-2</v>
      </c>
      <c r="AB27" s="156">
        <f>Poor!AB27</f>
        <v>0.25</v>
      </c>
      <c r="AC27" s="121">
        <f t="shared" si="7"/>
        <v>1.262762923829228E-2</v>
      </c>
      <c r="AD27" s="156">
        <f>Poor!AD27</f>
        <v>0.25</v>
      </c>
      <c r="AE27" s="121">
        <f t="shared" si="8"/>
        <v>1.262762923829228E-2</v>
      </c>
      <c r="AF27" s="122">
        <f t="shared" si="10"/>
        <v>0.25</v>
      </c>
      <c r="AG27" s="121">
        <f t="shared" si="11"/>
        <v>1.262762923829228E-2</v>
      </c>
      <c r="AH27" s="123">
        <f t="shared" si="12"/>
        <v>1</v>
      </c>
      <c r="AI27" s="183">
        <f t="shared" si="13"/>
        <v>1.262762923829228E-2</v>
      </c>
      <c r="AJ27" s="120">
        <f t="shared" si="14"/>
        <v>1.262762923829228E-2</v>
      </c>
      <c r="AK27" s="119">
        <f t="shared" si="15"/>
        <v>1.262762923829228E-2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0.10824155417185553</v>
      </c>
      <c r="C28" s="102">
        <f>IF([1]Summ!$I1066="",0,[1]Summ!$I1066)</f>
        <v>-0.10824155417185553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9.6662825585157722E-2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9.6662825585157722E-2</v>
      </c>
      <c r="N28" s="230"/>
      <c r="O28" s="2"/>
      <c r="P28" s="22"/>
      <c r="U28" s="56"/>
      <c r="V28" s="56"/>
      <c r="W28" s="110"/>
      <c r="X28" s="118"/>
      <c r="Y28" s="183">
        <f t="shared" si="9"/>
        <v>0.38665130234063089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0.19332565117031544</v>
      </c>
      <c r="AF28" s="122">
        <f t="shared" si="10"/>
        <v>0.5</v>
      </c>
      <c r="AG28" s="121">
        <f t="shared" si="11"/>
        <v>0.19332565117031544</v>
      </c>
      <c r="AH28" s="123">
        <f t="shared" si="12"/>
        <v>1</v>
      </c>
      <c r="AI28" s="183">
        <f t="shared" si="13"/>
        <v>9.6662825585157722E-2</v>
      </c>
      <c r="AJ28" s="120">
        <f t="shared" si="14"/>
        <v>0</v>
      </c>
      <c r="AK28" s="119">
        <f t="shared" si="15"/>
        <v>0.19332565117031544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0.29836033599003736</v>
      </c>
      <c r="C29" s="102">
        <f>IF([1]Summ!$I1067="",0,[1]Summ!$I1067)</f>
        <v>-7.3723562048040314E-2</v>
      </c>
      <c r="D29" s="24">
        <f t="shared" si="0"/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0.29047403832986585</v>
      </c>
      <c r="K29" s="22">
        <f t="shared" si="4"/>
        <v>0.29836033599003736</v>
      </c>
      <c r="L29" s="22">
        <f t="shared" si="5"/>
        <v>0.29836033599003736</v>
      </c>
      <c r="M29" s="225">
        <f t="shared" si="6"/>
        <v>0.29047403832986585</v>
      </c>
      <c r="N29" s="230"/>
      <c r="P29" s="22"/>
      <c r="V29" s="56"/>
      <c r="W29" s="110"/>
      <c r="X29" s="118"/>
      <c r="Y29" s="183">
        <f t="shared" si="9"/>
        <v>1.1618961533194634</v>
      </c>
      <c r="Z29" s="156">
        <f>Poor!Z29</f>
        <v>0.25</v>
      </c>
      <c r="AA29" s="121">
        <f t="shared" si="16"/>
        <v>0.29047403832986585</v>
      </c>
      <c r="AB29" s="156">
        <f>Poor!AB29</f>
        <v>0.25</v>
      </c>
      <c r="AC29" s="121">
        <f t="shared" si="7"/>
        <v>0.29047403832986585</v>
      </c>
      <c r="AD29" s="156">
        <f>Poor!AD29</f>
        <v>0.25</v>
      </c>
      <c r="AE29" s="121">
        <f t="shared" si="8"/>
        <v>0.29047403832986585</v>
      </c>
      <c r="AF29" s="122">
        <f t="shared" si="10"/>
        <v>0.25</v>
      </c>
      <c r="AG29" s="121">
        <f t="shared" si="11"/>
        <v>0.29047403832986585</v>
      </c>
      <c r="AH29" s="123">
        <f t="shared" si="12"/>
        <v>1</v>
      </c>
      <c r="AI29" s="183">
        <f t="shared" si="13"/>
        <v>0.29047403832986585</v>
      </c>
      <c r="AJ29" s="120">
        <f t="shared" si="14"/>
        <v>0.29047403832986585</v>
      </c>
      <c r="AK29" s="119">
        <f t="shared" si="15"/>
        <v>0.29047403832986585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0.44088098929016184</v>
      </c>
      <c r="C30" s="103"/>
      <c r="D30" s="24">
        <f>(D119-B124)</f>
        <v>3.5289094639250767</v>
      </c>
      <c r="E30" s="75">
        <f>Poor!E30</f>
        <v>1</v>
      </c>
      <c r="H30" s="96">
        <f>(E30*F$7/F$9)</f>
        <v>1</v>
      </c>
      <c r="I30" s="29">
        <f>IF(E30&gt;=1,I119-I124,MIN(I119-I124,B30*H30))</f>
        <v>1.102211353057081</v>
      </c>
      <c r="J30" s="232">
        <f>IF(I$32&lt;=1,I30,1-SUM(J6:J29))</f>
        <v>0.1712103075228617</v>
      </c>
      <c r="K30" s="22">
        <f t="shared" si="4"/>
        <v>0.44088098929016184</v>
      </c>
      <c r="L30" s="22">
        <f>IF(L124=L119,0,IF(K30="",0,(L119-L124)/(B119-B124)*K30))</f>
        <v>0.14566991114749375</v>
      </c>
      <c r="M30" s="175">
        <f t="shared" si="6"/>
        <v>0.1712103075228617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0.68484123009144682</v>
      </c>
      <c r="Z30" s="122">
        <f>IF($Y30=0,0,AA30/($Y$30))</f>
        <v>0.19653697783513047</v>
      </c>
      <c r="AA30" s="187">
        <f>IF(AA79*4/$I$84+SUM(AA6:AA29)&lt;1,AA79*4/$I$84,1-SUM(AA6:AA29))</f>
        <v>0.13459662565906616</v>
      </c>
      <c r="AB30" s="122">
        <f>IF($Y30=0,0,AC30/($Y$30))</f>
        <v>0.78002383340769632</v>
      </c>
      <c r="AC30" s="187">
        <f>IF(AC79*4/$I$84+SUM(AC6:AC29)&lt;1,AC79*4/$I$84,1-SUM(AC6:AC29))</f>
        <v>0.53419248157157251</v>
      </c>
      <c r="AD30" s="122">
        <f>IF($Y30=0,0,AE30/($Y$30))</f>
        <v>0.3097322855161706</v>
      </c>
      <c r="AE30" s="187">
        <f>IF(AE79*4/$I$84+SUM(AE6:AE29)&lt;1,AE79*4/$I$84,1-SUM(AE6:AE29))</f>
        <v>0.21211743941192951</v>
      </c>
      <c r="AF30" s="122">
        <f>IF($Y30=0,0,AG30/($Y$30))</f>
        <v>3.8823887937514803E-2</v>
      </c>
      <c r="AG30" s="187">
        <f>IF(AG79*4/$I$84+SUM(AG6:AG29)&lt;1,AG79*4/$I$84,1-SUM(AG6:AG29))</f>
        <v>2.6588199172060123E-2</v>
      </c>
      <c r="AH30" s="123">
        <f t="shared" si="12"/>
        <v>1.3251169846965123</v>
      </c>
      <c r="AI30" s="183">
        <f t="shared" si="13"/>
        <v>0.22687368645365708</v>
      </c>
      <c r="AJ30" s="120">
        <f t="shared" si="14"/>
        <v>0.33439455361531933</v>
      </c>
      <c r="AK30" s="119">
        <f t="shared" si="15"/>
        <v>0.11935281929199482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2.3036683865156338E-3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1.3913431707050941</v>
      </c>
      <c r="C32" s="77">
        <f>SUM(C6:C31)</f>
        <v>-0.21722415656858826</v>
      </c>
      <c r="D32" s="24">
        <f>SUM(D6:D30)</f>
        <v>4.2621474887714204</v>
      </c>
      <c r="E32" s="2"/>
      <c r="F32" s="2"/>
      <c r="H32" s="17"/>
      <c r="I32" s="22">
        <f>SUM(I6:I30)</f>
        <v>1.7370136169544832</v>
      </c>
      <c r="J32" s="17"/>
      <c r="L32" s="22">
        <f>SUM(L6:L30)</f>
        <v>0.99769633161348437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15162.364527266407</v>
      </c>
      <c r="T32" s="235">
        <f t="shared" si="24"/>
        <v>15443.687797624436</v>
      </c>
      <c r="U32" s="56"/>
      <c r="V32" s="56"/>
      <c r="W32" s="110"/>
      <c r="X32" s="118"/>
      <c r="Y32" s="115">
        <f>SUM(Y6:Y31)</f>
        <v>3.7773464842768183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0.10697119673941692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other: Sheep hides</v>
      </c>
      <c r="B37" s="104">
        <f>IF([1]Summ!$H1072="",0,[1]Summ!$H1072)</f>
        <v>15</v>
      </c>
      <c r="C37" s="104">
        <f>IF([1]Summ!$I1072="",0,[1]Summ!$I1072)</f>
        <v>0</v>
      </c>
      <c r="D37" s="38">
        <f t="shared" ref="D37:D64" si="25">B37+C37</f>
        <v>15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8.85</v>
      </c>
      <c r="J37" s="38">
        <f>J91*I$83</f>
        <v>8.85</v>
      </c>
      <c r="K37" s="40">
        <f>(B37/B$65)</f>
        <v>2.8212458621727353E-4</v>
      </c>
      <c r="L37" s="22">
        <f t="shared" ref="L37" si="28">(K37*H37)</f>
        <v>1.6645350586819138E-4</v>
      </c>
      <c r="M37" s="24">
        <f>J37/B$65</f>
        <v>1.6645350586819138E-4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8.85</v>
      </c>
      <c r="AH37" s="123">
        <f>SUM(Z37,AB37,AD37,AF37)</f>
        <v>1</v>
      </c>
      <c r="AI37" s="112">
        <f>SUM(AA37,AC37,AE37,AG37)</f>
        <v>8.85</v>
      </c>
      <c r="AJ37" s="148">
        <f>(AA37+AC37)</f>
        <v>0</v>
      </c>
      <c r="AK37" s="147">
        <f>(AE37+AG37)</f>
        <v>8.85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Other: cattle hides</v>
      </c>
      <c r="B38" s="104">
        <f>IF([1]Summ!$H1073="",0,[1]Summ!$H1073)</f>
        <v>30</v>
      </c>
      <c r="C38" s="104">
        <f>IF([1]Summ!$I1073="",0,[1]Summ!$I1073)</f>
        <v>0</v>
      </c>
      <c r="D38" s="38">
        <f t="shared" si="25"/>
        <v>30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17.7</v>
      </c>
      <c r="J38" s="38">
        <f t="shared" ref="J38:J64" si="32">J92*I$83</f>
        <v>17.7</v>
      </c>
      <c r="K38" s="40">
        <f t="shared" ref="K38:K64" si="33">(B38/B$65)</f>
        <v>5.6424917243454707E-4</v>
      </c>
      <c r="L38" s="22">
        <f t="shared" ref="L38:L64" si="34">(K38*H38)</f>
        <v>3.3290701173638277E-4</v>
      </c>
      <c r="M38" s="24">
        <f t="shared" ref="M38:M64" si="35">J38/B$65</f>
        <v>3.3290701173638277E-4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17.7</v>
      </c>
      <c r="AH38" s="123">
        <f t="shared" ref="AH38:AI58" si="37">SUM(Z38,AB38,AD38,AF38)</f>
        <v>1</v>
      </c>
      <c r="AI38" s="112">
        <f t="shared" si="37"/>
        <v>17.7</v>
      </c>
      <c r="AJ38" s="148">
        <f t="shared" ref="AJ38:AJ64" si="38">(AA38+AC38)</f>
        <v>0</v>
      </c>
      <c r="AK38" s="147">
        <f t="shared" ref="AK38:AK64" si="39">(AE38+AG38)</f>
        <v>17.7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f>IF([1]Summ!$H1074="",0,[1]Summ!$H1074)</f>
        <v>6000</v>
      </c>
      <c r="C39" s="104">
        <f>IF([1]Summ!$I1074="",0,[1]Summ!$I1074)</f>
        <v>-1500</v>
      </c>
      <c r="D39" s="38">
        <f t="shared" si="25"/>
        <v>4500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4248</v>
      </c>
      <c r="J39" s="38">
        <f t="shared" si="32"/>
        <v>5512.5287854169856</v>
      </c>
      <c r="K39" s="40">
        <f t="shared" si="33"/>
        <v>0.11284983448690943</v>
      </c>
      <c r="L39" s="22">
        <f t="shared" si="34"/>
        <v>0.10653024375564249</v>
      </c>
      <c r="M39" s="24">
        <f t="shared" si="35"/>
        <v>0.10368132683977177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5512.5287854169856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5512.5287854169856</v>
      </c>
      <c r="AJ39" s="148">
        <f t="shared" si="38"/>
        <v>5512.5287854169856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f>IF([1]Summ!$H1075="",0,[1]Summ!$H1075)</f>
        <v>750</v>
      </c>
      <c r="C40" s="104">
        <f>IF([1]Summ!$I1075="",0,[1]Summ!$I1075)</f>
        <v>750</v>
      </c>
      <c r="D40" s="38">
        <f t="shared" si="25"/>
        <v>1500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1416</v>
      </c>
      <c r="J40" s="38">
        <f t="shared" si="32"/>
        <v>783.73560729150722</v>
      </c>
      <c r="K40" s="40">
        <f t="shared" si="33"/>
        <v>1.4106229310863678E-2</v>
      </c>
      <c r="L40" s="22">
        <f t="shared" si="34"/>
        <v>1.3316280469455311E-2</v>
      </c>
      <c r="M40" s="24">
        <f t="shared" si="35"/>
        <v>1.4740738927390671E-2</v>
      </c>
      <c r="N40" s="2"/>
      <c r="O40" s="2"/>
      <c r="P40" s="2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783.73560729150722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783.73560729150722</v>
      </c>
      <c r="AJ40" s="148">
        <f t="shared" si="38"/>
        <v>783.73560729150722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Onions: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Beans: kg produced</v>
      </c>
      <c r="B43" s="104">
        <f>IF([1]Summ!$H1078="",0,[1]Summ!$H1078)</f>
        <v>20</v>
      </c>
      <c r="C43" s="104">
        <f>IF([1]Summ!$I1078="",0,[1]Summ!$I1078)</f>
        <v>80</v>
      </c>
      <c r="D43" s="38">
        <f t="shared" si="25"/>
        <v>100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140</v>
      </c>
      <c r="J43" s="38">
        <f t="shared" si="32"/>
        <v>39.980774034814694</v>
      </c>
      <c r="K43" s="40">
        <f t="shared" si="33"/>
        <v>3.7616611495636473E-4</v>
      </c>
      <c r="L43" s="22">
        <f t="shared" si="34"/>
        <v>5.2663256093891063E-4</v>
      </c>
      <c r="M43" s="24">
        <f t="shared" si="35"/>
        <v>7.5197062208122727E-4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9.9951935087036734</v>
      </c>
      <c r="AB43" s="156">
        <f>Poor!AB43</f>
        <v>0.25</v>
      </c>
      <c r="AC43" s="147">
        <f t="shared" si="41"/>
        <v>9.9951935087036734</v>
      </c>
      <c r="AD43" s="156">
        <f>Poor!AD43</f>
        <v>0.25</v>
      </c>
      <c r="AE43" s="147">
        <f t="shared" si="42"/>
        <v>9.9951935087036734</v>
      </c>
      <c r="AF43" s="122">
        <f t="shared" si="29"/>
        <v>0.25</v>
      </c>
      <c r="AG43" s="147">
        <f t="shared" si="36"/>
        <v>9.9951935087036734</v>
      </c>
      <c r="AH43" s="123">
        <f t="shared" si="37"/>
        <v>1</v>
      </c>
      <c r="AI43" s="112">
        <f t="shared" si="37"/>
        <v>39.980774034814694</v>
      </c>
      <c r="AJ43" s="148">
        <f t="shared" si="38"/>
        <v>19.990387017407347</v>
      </c>
      <c r="AK43" s="147">
        <f t="shared" si="39"/>
        <v>19.990387017407347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 xml:space="preserve">Other root crops: Beetroot </v>
      </c>
      <c r="B44" s="104">
        <f>IF([1]Summ!$H1079="",0,[1]Summ!$H1079)</f>
        <v>35</v>
      </c>
      <c r="C44" s="104">
        <f>IF([1]Summ!$I1079="",0,[1]Summ!$I1079)</f>
        <v>-35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43.758411359768573</v>
      </c>
      <c r="K44" s="40">
        <f t="shared" si="33"/>
        <v>6.5829070117363832E-4</v>
      </c>
      <c r="L44" s="22">
        <f t="shared" si="34"/>
        <v>9.2160698164309358E-4</v>
      </c>
      <c r="M44" s="24">
        <f t="shared" si="35"/>
        <v>8.2302157989333003E-4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10.939602839942143</v>
      </c>
      <c r="AB44" s="156">
        <f>Poor!AB44</f>
        <v>0.25</v>
      </c>
      <c r="AC44" s="147">
        <f t="shared" si="41"/>
        <v>10.939602839942143</v>
      </c>
      <c r="AD44" s="156">
        <f>Poor!AD44</f>
        <v>0.25</v>
      </c>
      <c r="AE44" s="147">
        <f t="shared" si="42"/>
        <v>10.939602839942143</v>
      </c>
      <c r="AF44" s="122">
        <f t="shared" si="29"/>
        <v>0.25</v>
      </c>
      <c r="AG44" s="147">
        <f t="shared" si="36"/>
        <v>10.939602839942143</v>
      </c>
      <c r="AH44" s="123">
        <f t="shared" si="37"/>
        <v>1</v>
      </c>
      <c r="AI44" s="112">
        <f t="shared" si="37"/>
        <v>43.758411359768573</v>
      </c>
      <c r="AJ44" s="148">
        <f t="shared" si="38"/>
        <v>21.879205679884286</v>
      </c>
      <c r="AK44" s="147">
        <f t="shared" si="39"/>
        <v>21.879205679884286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 xml:space="preserve">Tomato: </v>
      </c>
      <c r="B45" s="104">
        <f>IF([1]Summ!$H1080="",0,[1]Summ!$H1080)</f>
        <v>50</v>
      </c>
      <c r="C45" s="104">
        <f>IF([1]Summ!$I1080="",0,[1]Summ!$I1080)</f>
        <v>-50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62.512016228240817</v>
      </c>
      <c r="K45" s="40">
        <f t="shared" si="33"/>
        <v>9.4041528739091185E-4</v>
      </c>
      <c r="L45" s="22">
        <f t="shared" si="34"/>
        <v>1.3165814023472764E-3</v>
      </c>
      <c r="M45" s="24">
        <f t="shared" si="35"/>
        <v>1.1757451141333286E-3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15.628004057060204</v>
      </c>
      <c r="AB45" s="156">
        <f>Poor!AB45</f>
        <v>0.25</v>
      </c>
      <c r="AC45" s="147">
        <f t="shared" si="41"/>
        <v>15.628004057060204</v>
      </c>
      <c r="AD45" s="156">
        <f>Poor!AD45</f>
        <v>0.25</v>
      </c>
      <c r="AE45" s="147">
        <f t="shared" si="42"/>
        <v>15.628004057060204</v>
      </c>
      <c r="AF45" s="122">
        <f t="shared" si="29"/>
        <v>0.25</v>
      </c>
      <c r="AG45" s="147">
        <f t="shared" si="36"/>
        <v>15.628004057060204</v>
      </c>
      <c r="AH45" s="123">
        <f t="shared" si="37"/>
        <v>1</v>
      </c>
      <c r="AI45" s="112">
        <f t="shared" si="37"/>
        <v>62.512016228240817</v>
      </c>
      <c r="AJ45" s="148">
        <f t="shared" si="38"/>
        <v>31.256008114120409</v>
      </c>
      <c r="AK45" s="147">
        <f t="shared" si="39"/>
        <v>31.256008114120409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Leafy green vegetables (spinach etc)</v>
      </c>
      <c r="B46" s="104">
        <f>IF([1]Summ!$H1081="",0,[1]Summ!$H1081)</f>
        <v>203</v>
      </c>
      <c r="C46" s="104">
        <f>IF([1]Summ!$I1081="",0,[1]Summ!$I1081)</f>
        <v>-203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253.79878588665767</v>
      </c>
      <c r="K46" s="40">
        <f t="shared" si="33"/>
        <v>3.818086066807102E-3</v>
      </c>
      <c r="L46" s="22">
        <f t="shared" si="34"/>
        <v>5.3453204935299424E-3</v>
      </c>
      <c r="M46" s="24">
        <f t="shared" si="35"/>
        <v>4.7735251633813135E-3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63.449696471664417</v>
      </c>
      <c r="AB46" s="156">
        <f>Poor!AB46</f>
        <v>0.25</v>
      </c>
      <c r="AC46" s="147">
        <f t="shared" si="41"/>
        <v>63.449696471664417</v>
      </c>
      <c r="AD46" s="156">
        <f>Poor!AD46</f>
        <v>0.25</v>
      </c>
      <c r="AE46" s="147">
        <f t="shared" si="42"/>
        <v>63.449696471664417</v>
      </c>
      <c r="AF46" s="122">
        <f t="shared" si="29"/>
        <v>0.25</v>
      </c>
      <c r="AG46" s="147">
        <f t="shared" si="36"/>
        <v>63.449696471664417</v>
      </c>
      <c r="AH46" s="123">
        <f t="shared" si="37"/>
        <v>1</v>
      </c>
      <c r="AI46" s="112">
        <f t="shared" si="37"/>
        <v>253.79878588665767</v>
      </c>
      <c r="AJ46" s="148">
        <f t="shared" si="38"/>
        <v>126.89939294332883</v>
      </c>
      <c r="AK46" s="147">
        <f t="shared" si="39"/>
        <v>126.89939294332883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crop: pumpkin</v>
      </c>
      <c r="B47" s="104">
        <f>IF([1]Summ!$H1082="",0,[1]Summ!$H1082)</f>
        <v>875</v>
      </c>
      <c r="C47" s="104">
        <f>IF([1]Summ!$I1082="",0,[1]Summ!$I1082)</f>
        <v>-875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1093.960283994214</v>
      </c>
      <c r="K47" s="40">
        <f t="shared" si="33"/>
        <v>1.6457267529340958E-2</v>
      </c>
      <c r="L47" s="22">
        <f t="shared" si="34"/>
        <v>2.3040174541077339E-2</v>
      </c>
      <c r="M47" s="24">
        <f t="shared" si="35"/>
        <v>2.0575539497333244E-2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273.49007099855351</v>
      </c>
      <c r="AB47" s="156">
        <f>Poor!AB47</f>
        <v>0.25</v>
      </c>
      <c r="AC47" s="147">
        <f t="shared" si="41"/>
        <v>273.49007099855351</v>
      </c>
      <c r="AD47" s="156">
        <f>Poor!AD47</f>
        <v>0.25</v>
      </c>
      <c r="AE47" s="147">
        <f t="shared" si="42"/>
        <v>273.49007099855351</v>
      </c>
      <c r="AF47" s="122">
        <f t="shared" si="29"/>
        <v>0.25</v>
      </c>
      <c r="AG47" s="147">
        <f t="shared" si="36"/>
        <v>273.49007099855351</v>
      </c>
      <c r="AH47" s="123">
        <f t="shared" si="37"/>
        <v>1</v>
      </c>
      <c r="AI47" s="112">
        <f t="shared" si="37"/>
        <v>1093.960283994214</v>
      </c>
      <c r="AJ47" s="148">
        <f t="shared" si="38"/>
        <v>546.98014199710701</v>
      </c>
      <c r="AK47" s="147">
        <f t="shared" si="39"/>
        <v>546.98014199710701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Other crop: Carrots</v>
      </c>
      <c r="B48" s="104">
        <f>IF([1]Summ!$H1083="",0,[1]Summ!$H1083)</f>
        <v>70</v>
      </c>
      <c r="C48" s="104">
        <f>IF([1]Summ!$I1083="",0,[1]Summ!$I1083)</f>
        <v>0</v>
      </c>
      <c r="D48" s="38">
        <f t="shared" si="25"/>
        <v>70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98</v>
      </c>
      <c r="J48" s="38">
        <f t="shared" si="32"/>
        <v>97.999999999999986</v>
      </c>
      <c r="K48" s="40">
        <f t="shared" si="33"/>
        <v>1.3165814023472766E-3</v>
      </c>
      <c r="L48" s="22">
        <f t="shared" si="34"/>
        <v>1.8432139632861872E-3</v>
      </c>
      <c r="M48" s="24">
        <f t="shared" si="35"/>
        <v>1.8432139632861869E-3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24.499999999999996</v>
      </c>
      <c r="AB48" s="156">
        <f>Poor!AB48</f>
        <v>0.25</v>
      </c>
      <c r="AC48" s="147">
        <f t="shared" si="41"/>
        <v>24.499999999999996</v>
      </c>
      <c r="AD48" s="156">
        <f>Poor!AD48</f>
        <v>0.25</v>
      </c>
      <c r="AE48" s="147">
        <f t="shared" si="42"/>
        <v>24.499999999999996</v>
      </c>
      <c r="AF48" s="122">
        <f t="shared" si="29"/>
        <v>0.25</v>
      </c>
      <c r="AG48" s="147">
        <f t="shared" si="36"/>
        <v>24.499999999999996</v>
      </c>
      <c r="AH48" s="123">
        <f t="shared" si="37"/>
        <v>1</v>
      </c>
      <c r="AI48" s="112">
        <f t="shared" si="37"/>
        <v>97.999999999999986</v>
      </c>
      <c r="AJ48" s="148">
        <f t="shared" si="38"/>
        <v>48.999999999999993</v>
      </c>
      <c r="AK48" s="147">
        <f t="shared" si="39"/>
        <v>48.999999999999993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WILD FOODS -- see worksheet Data 3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Small business -- see Data2</v>
      </c>
      <c r="B50" s="104">
        <f>IF([1]Summ!$H1085="",0,[1]Summ!$H1085)</f>
        <v>21600</v>
      </c>
      <c r="C50" s="104">
        <f>IF([1]Summ!$I1085="",0,[1]Summ!$I1085)</f>
        <v>0</v>
      </c>
      <c r="D50" s="38">
        <f t="shared" si="25"/>
        <v>21600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20390.399999999998</v>
      </c>
      <c r="J50" s="38">
        <f t="shared" si="32"/>
        <v>20390.399999999998</v>
      </c>
      <c r="K50" s="40">
        <f t="shared" si="33"/>
        <v>0.40625940415287393</v>
      </c>
      <c r="L50" s="22">
        <f t="shared" si="34"/>
        <v>0.38350887752031299</v>
      </c>
      <c r="M50" s="24">
        <f t="shared" si="35"/>
        <v>0.38350887752031293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5097.5999999999995</v>
      </c>
      <c r="AB50" s="156">
        <f>Poor!AB55</f>
        <v>0.25</v>
      </c>
      <c r="AC50" s="147">
        <f t="shared" si="41"/>
        <v>5097.5999999999995</v>
      </c>
      <c r="AD50" s="156">
        <f>Poor!AD55</f>
        <v>0.25</v>
      </c>
      <c r="AE50" s="147">
        <f t="shared" si="42"/>
        <v>5097.5999999999995</v>
      </c>
      <c r="AF50" s="122">
        <f t="shared" si="29"/>
        <v>0.25</v>
      </c>
      <c r="AG50" s="147">
        <f t="shared" si="36"/>
        <v>5097.5999999999995</v>
      </c>
      <c r="AH50" s="123">
        <f t="shared" si="37"/>
        <v>1</v>
      </c>
      <c r="AI50" s="112">
        <f t="shared" si="37"/>
        <v>20390.399999999998</v>
      </c>
      <c r="AJ50" s="148">
        <f t="shared" si="38"/>
        <v>10195.199999999999</v>
      </c>
      <c r="AK50" s="147">
        <f t="shared" si="39"/>
        <v>10195.199999999999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Social development -- see Data2</v>
      </c>
      <c r="B51" s="104">
        <f>IF([1]Summ!$H1086="",0,[1]Summ!$H1086)</f>
        <v>15720</v>
      </c>
      <c r="C51" s="104">
        <f>IF([1]Summ!$I1086="",0,[1]Summ!$I1086)</f>
        <v>0</v>
      </c>
      <c r="D51" s="38">
        <f t="shared" si="25"/>
        <v>15720</v>
      </c>
      <c r="E51" s="75">
        <f>Poor!E51</f>
        <v>0</v>
      </c>
      <c r="F51" s="75">
        <f>Poor!F51</f>
        <v>1.18</v>
      </c>
      <c r="G51" s="75">
        <f>Poor!G51</f>
        <v>1.65</v>
      </c>
      <c r="H51" s="24">
        <f t="shared" si="30"/>
        <v>0</v>
      </c>
      <c r="I51" s="39">
        <f t="shared" si="31"/>
        <v>0</v>
      </c>
      <c r="J51" s="38">
        <f t="shared" si="32"/>
        <v>0</v>
      </c>
      <c r="K51" s="40">
        <f t="shared" si="33"/>
        <v>0.29566656635570265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Public works -- see Data2</v>
      </c>
      <c r="B52" s="104">
        <f>IF([1]Summ!$H1087="",0,[1]Summ!$H1087)</f>
        <v>7800</v>
      </c>
      <c r="C52" s="104">
        <f>IF([1]Summ!$I1087="",0,[1]Summ!$I1087)</f>
        <v>0</v>
      </c>
      <c r="D52" s="38">
        <f t="shared" si="25"/>
        <v>7800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9204</v>
      </c>
      <c r="J52" s="38">
        <f t="shared" si="32"/>
        <v>9204</v>
      </c>
      <c r="K52" s="40">
        <f t="shared" si="33"/>
        <v>0.14670478483298224</v>
      </c>
      <c r="L52" s="22">
        <f t="shared" si="34"/>
        <v>0.17311164610291904</v>
      </c>
      <c r="M52" s="24">
        <f t="shared" si="35"/>
        <v>0.17311164610291904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2301</v>
      </c>
      <c r="AB52" s="156">
        <f>Poor!AB57</f>
        <v>0.25</v>
      </c>
      <c r="AC52" s="147">
        <f t="shared" si="41"/>
        <v>2301</v>
      </c>
      <c r="AD52" s="156">
        <f>Poor!AD57</f>
        <v>0.25</v>
      </c>
      <c r="AE52" s="147">
        <f t="shared" si="42"/>
        <v>2301</v>
      </c>
      <c r="AF52" s="122">
        <f t="shared" si="29"/>
        <v>0.25</v>
      </c>
      <c r="AG52" s="147">
        <f t="shared" si="36"/>
        <v>2301</v>
      </c>
      <c r="AH52" s="123">
        <f t="shared" si="37"/>
        <v>1</v>
      </c>
      <c r="AI52" s="112">
        <f t="shared" si="37"/>
        <v>9204</v>
      </c>
      <c r="AJ52" s="148">
        <f t="shared" si="38"/>
        <v>4602</v>
      </c>
      <c r="AK52" s="147">
        <f t="shared" si="39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Remittances: no. times per year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1.1100000000000001</v>
      </c>
      <c r="G53" s="75">
        <f>Poor!G53</f>
        <v>1.65</v>
      </c>
      <c r="H53" s="24">
        <f t="shared" si="30"/>
        <v>1.1100000000000001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53168</v>
      </c>
      <c r="C65" s="39">
        <f>SUM(C37:C64)</f>
        <v>-1833</v>
      </c>
      <c r="D65" s="42">
        <f>SUM(D37:D64)</f>
        <v>51335</v>
      </c>
      <c r="E65" s="32"/>
      <c r="F65" s="32"/>
      <c r="G65" s="32"/>
      <c r="H65" s="31"/>
      <c r="I65" s="39">
        <f>SUM(I37:I64)</f>
        <v>35522.949999999997</v>
      </c>
      <c r="J65" s="39">
        <f>SUM(J37:J64)</f>
        <v>37509.22466421219</v>
      </c>
      <c r="K65" s="40">
        <f>SUM(K37:K64)</f>
        <v>1</v>
      </c>
      <c r="L65" s="22">
        <f>SUM(L37:L64)</f>
        <v>0.70995993830875714</v>
      </c>
      <c r="M65" s="24">
        <f>SUM(M37:M64)</f>
        <v>0.7054849658481076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14092.866960584415</v>
      </c>
      <c r="AB65" s="137"/>
      <c r="AC65" s="153">
        <f>SUM(AC37:AC64)</f>
        <v>7796.6025678759233</v>
      </c>
      <c r="AD65" s="137"/>
      <c r="AE65" s="153">
        <f>SUM(AE37:AE64)</f>
        <v>7796.6025678759233</v>
      </c>
      <c r="AF65" s="137"/>
      <c r="AG65" s="153">
        <f>SUM(AG37:AG64)</f>
        <v>7823.1525678759235</v>
      </c>
      <c r="AH65" s="137"/>
      <c r="AI65" s="153">
        <f>SUM(AI37:AI64)</f>
        <v>37509.22466421219</v>
      </c>
      <c r="AJ65" s="153">
        <f>SUM(AJ37:AJ64)</f>
        <v>21889.46952846034</v>
      </c>
      <c r="AK65" s="153">
        <f>SUM(AK37:AK64)</f>
        <v>15619.755135751846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10249.436373711666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44">J124*I$83</f>
        <v>14349.210923196333</v>
      </c>
      <c r="K70" s="40">
        <f>B70/B$76</f>
        <v>0.19277453305957842</v>
      </c>
      <c r="L70" s="22">
        <f t="shared" ref="L70:L75" si="45">(L124*G$37*F$9/F$7)/B$130</f>
        <v>0.26988434628340985</v>
      </c>
      <c r="M70" s="24">
        <f>J70/B$76</f>
        <v>0.26988434628340979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3587.3027307990833</v>
      </c>
      <c r="AB70" s="156">
        <f>Poor!AB70</f>
        <v>0.25</v>
      </c>
      <c r="AC70" s="147">
        <f>$J70*AB70</f>
        <v>3587.3027307990833</v>
      </c>
      <c r="AD70" s="156">
        <f>Poor!AD70</f>
        <v>0.25</v>
      </c>
      <c r="AE70" s="147">
        <f>$J70*AD70</f>
        <v>3587.3027307990833</v>
      </c>
      <c r="AF70" s="156">
        <f>Poor!AF70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11489.266666666666</v>
      </c>
      <c r="J71" s="51">
        <f t="shared" si="44"/>
        <v>11489.266666666666</v>
      </c>
      <c r="K71" s="40">
        <f t="shared" ref="K71:K72" si="47">B71/B$76</f>
        <v>0.18313020363125693</v>
      </c>
      <c r="L71" s="22">
        <f t="shared" si="45"/>
        <v>0.21609364028488318</v>
      </c>
      <c r="M71" s="24">
        <f t="shared" ref="M71:M72" si="48">J71/B$76</f>
        <v>0.21609364028488312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8381.756837863526</v>
      </c>
      <c r="K72" s="40">
        <f t="shared" si="47"/>
        <v>0.32613602166716821</v>
      </c>
      <c r="L72" s="22">
        <f t="shared" si="45"/>
        <v>0.17134966877073018</v>
      </c>
      <c r="M72" s="24">
        <f t="shared" si="48"/>
        <v>0.15764664531040337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1250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2.3510382184772794E-2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132.75</v>
      </c>
      <c r="AB73" s="156">
        <f>Poor!AB73</f>
        <v>0.09</v>
      </c>
      <c r="AC73" s="147">
        <f>$H$73*$B$73*AB73</f>
        <v>132.75</v>
      </c>
      <c r="AD73" s="156">
        <f>Poor!AD73</f>
        <v>0.23</v>
      </c>
      <c r="AE73" s="147">
        <f>$H$73*$B$73*AD73</f>
        <v>339.25</v>
      </c>
      <c r="AF73" s="156">
        <f>Poor!AF73</f>
        <v>0.59</v>
      </c>
      <c r="AG73" s="147">
        <f>$H$73*$B$73*AF73</f>
        <v>870.25</v>
      </c>
      <c r="AH73" s="155">
        <f>SUM(Z73,AB73,AD73,AF73)</f>
        <v>1</v>
      </c>
      <c r="AI73" s="147">
        <f>SUM(AA73,AC73,AE73,AG73)</f>
        <v>1475</v>
      </c>
      <c r="AJ73" s="148">
        <f>(AA73+AC73)</f>
        <v>265.5</v>
      </c>
      <c r="AK73" s="147">
        <f>(AE73+AG73)</f>
        <v>1209.5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5132.9863013698641</v>
      </c>
      <c r="C74" s="39"/>
      <c r="D74" s="38"/>
      <c r="E74" s="32"/>
      <c r="F74" s="32"/>
      <c r="G74" s="32"/>
      <c r="H74" s="31"/>
      <c r="I74" s="39">
        <f>I128*I$83</f>
        <v>21173.739076803668</v>
      </c>
      <c r="J74" s="51">
        <f t="shared" si="44"/>
        <v>3288.9902364856616</v>
      </c>
      <c r="K74" s="40">
        <f>B74/B$76</f>
        <v>9.6542775755527083E-2</v>
      </c>
      <c r="L74" s="22">
        <f t="shared" si="45"/>
        <v>5.2632282969734018E-2</v>
      </c>
      <c r="M74" s="24">
        <f>J74/B$76</f>
        <v>6.1860333969411332E-2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984.03999102220632</v>
      </c>
      <c r="AB74" s="156"/>
      <c r="AC74" s="147">
        <f>AC30*$I$84/4</f>
        <v>3905.497349549732</v>
      </c>
      <c r="AD74" s="156"/>
      <c r="AE74" s="147">
        <f>AE30*$I$84/4</f>
        <v>1550.7969992003195</v>
      </c>
      <c r="AF74" s="156"/>
      <c r="AG74" s="147">
        <f>AG30*$I$84/4</f>
        <v>194.38712632249658</v>
      </c>
      <c r="AH74" s="155"/>
      <c r="AI74" s="147">
        <f>SUM(AA74,AC74,AE74,AG74)</f>
        <v>6634.7214660947548</v>
      </c>
      <c r="AJ74" s="148">
        <f>(AA74+AC74)</f>
        <v>4889.5373405719383</v>
      </c>
      <c r="AK74" s="147">
        <f>(AE74+AG74)</f>
        <v>1745.1841255228162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9458.9106582517925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0.17790608370169636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13629.682687471066</v>
      </c>
      <c r="AB75" s="158"/>
      <c r="AC75" s="149">
        <f>AA75+AC65-SUM(AC70,AC74)</f>
        <v>13933.485174998174</v>
      </c>
      <c r="AD75" s="158"/>
      <c r="AE75" s="149">
        <f>AC75+AE65-SUM(AE70,AE74)</f>
        <v>16591.988012874695</v>
      </c>
      <c r="AF75" s="158"/>
      <c r="AG75" s="149">
        <f>IF(SUM(AG6:AG29)+((AG65-AG70-$J$75)*4/I$83)&lt;1,0,AG65-AG70-$J$75-(1-SUM(AG6:AG29))*I$83/4)</f>
        <v>4108.1584487079408</v>
      </c>
      <c r="AH75" s="134"/>
      <c r="AI75" s="149">
        <f>AI76-SUM(AI70,AI74)</f>
        <v>16525.292274921096</v>
      </c>
      <c r="AJ75" s="151">
        <f>AJ76-SUM(AJ70,AJ74)</f>
        <v>9825.3267262902318</v>
      </c>
      <c r="AK75" s="149">
        <f>AJ75+AK76-SUM(AK70,AK74)</f>
        <v>16525.292274921092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53168</v>
      </c>
      <c r="C76" s="39"/>
      <c r="D76" s="38"/>
      <c r="E76" s="32"/>
      <c r="F76" s="32"/>
      <c r="G76" s="32"/>
      <c r="H76" s="31"/>
      <c r="I76" s="39">
        <f>I130*I$83</f>
        <v>35522.949999999997</v>
      </c>
      <c r="J76" s="51">
        <f t="shared" si="44"/>
        <v>37509.22466421219</v>
      </c>
      <c r="K76" s="40">
        <f>SUM(K70:K75)</f>
        <v>0.99999999999999967</v>
      </c>
      <c r="L76" s="22">
        <f>SUM(L70:L75)</f>
        <v>0.70995993830875725</v>
      </c>
      <c r="M76" s="24">
        <f>SUM(M70:M75)</f>
        <v>0.70548496584810771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14092.866960584415</v>
      </c>
      <c r="AB76" s="137"/>
      <c r="AC76" s="153">
        <f>AC65</f>
        <v>7796.6025678759233</v>
      </c>
      <c r="AD76" s="137"/>
      <c r="AE76" s="153">
        <f>AE65</f>
        <v>7796.6025678759233</v>
      </c>
      <c r="AF76" s="137"/>
      <c r="AG76" s="153">
        <f>AG65</f>
        <v>7823.1525678759235</v>
      </c>
      <c r="AH76" s="137"/>
      <c r="AI76" s="153">
        <f>SUM(AA76,AC76,AE76,AG76)</f>
        <v>37509.224664212183</v>
      </c>
      <c r="AJ76" s="154">
        <f>SUM(AA76,AC76)</f>
        <v>21889.469528460337</v>
      </c>
      <c r="AK76" s="154">
        <f>SUM(AE76,AG76)</f>
        <v>15619.755135751846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11489.26666666667</v>
      </c>
      <c r="J77" s="100">
        <f t="shared" si="44"/>
        <v>0</v>
      </c>
      <c r="K77" s="40"/>
      <c r="L77" s="22">
        <f>-(L131*G$37*F$9/F$7)/B$130</f>
        <v>-4.4743971514153054E-2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4108.1584487079408</v>
      </c>
      <c r="AB78" s="112"/>
      <c r="AC78" s="112">
        <f>IF(AA75&lt;0,0,AA75)</f>
        <v>13629.682687471066</v>
      </c>
      <c r="AD78" s="112"/>
      <c r="AE78" s="112">
        <f>AC75</f>
        <v>13933.485174998174</v>
      </c>
      <c r="AF78" s="112"/>
      <c r="AG78" s="112">
        <f>AE75</f>
        <v>16591.988012874695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14613.722678493272</v>
      </c>
      <c r="AB79" s="112"/>
      <c r="AC79" s="112">
        <f>AA79-AA74+AC65-AC70</f>
        <v>17838.982524547908</v>
      </c>
      <c r="AD79" s="112"/>
      <c r="AE79" s="112">
        <f>AC79-AC74+AE65-AE70</f>
        <v>18142.785012075015</v>
      </c>
      <c r="AF79" s="112"/>
      <c r="AG79" s="112">
        <f>AE79-AE74+AG65-AG70</f>
        <v>20827.837849951538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11642.566647371668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7311.0301703609121</v>
      </c>
      <c r="AB83" s="112"/>
      <c r="AC83" s="165">
        <f>$I$84*AB82/4</f>
        <v>7311.0301703609121</v>
      </c>
      <c r="AD83" s="112"/>
      <c r="AE83" s="165">
        <f>$I$84*AD82/4</f>
        <v>7311.0301703609121</v>
      </c>
      <c r="AF83" s="112"/>
      <c r="AG83" s="165">
        <f>$I$84*AF82/4</f>
        <v>7311.0301703609121</v>
      </c>
      <c r="AH83" s="165">
        <f>SUM(AA83,AC83,AE83,AG83)</f>
        <v>29244.120681443648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29244.120681443648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other: Sheep hides</v>
      </c>
      <c r="B91" s="75">
        <f t="shared" ref="B91:C118" si="50">(B37/$B$83)</f>
        <v>1.2883757039420752E-3</v>
      </c>
      <c r="C91" s="75">
        <f t="shared" si="50"/>
        <v>0</v>
      </c>
      <c r="D91" s="24">
        <f t="shared" ref="D91" si="51">(B91+C91)</f>
        <v>1.2883757039420752E-3</v>
      </c>
      <c r="H91" s="24">
        <f>(E37*F37/G37*F$7/F$9)</f>
        <v>0.3575757575757576</v>
      </c>
      <c r="I91" s="22">
        <f t="shared" ref="I91" si="52">(D91*H91)</f>
        <v>4.6069191837928755E-4</v>
      </c>
      <c r="J91" s="24">
        <f>IF(I$32&lt;=1+I$131,I91,L91+J$33*(I91-L91))</f>
        <v>4.6069191837928755E-4</v>
      </c>
      <c r="K91" s="22">
        <f t="shared" ref="K91" si="53">(B91)</f>
        <v>1.2883757039420752E-3</v>
      </c>
      <c r="L91" s="22">
        <f t="shared" ref="L91" si="54">(K91*H91)</f>
        <v>4.6069191837928755E-4</v>
      </c>
      <c r="M91" s="228">
        <f t="shared" si="49"/>
        <v>4.6069191837928755E-4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cattle hides</v>
      </c>
      <c r="B92" s="75">
        <f t="shared" si="50"/>
        <v>2.5767514078841505E-3</v>
      </c>
      <c r="C92" s="75">
        <f t="shared" si="50"/>
        <v>0</v>
      </c>
      <c r="D92" s="24">
        <f t="shared" ref="D92:D118" si="56">(B92+C92)</f>
        <v>2.5767514078841505E-3</v>
      </c>
      <c r="H92" s="24">
        <f t="shared" ref="H92:H118" si="57">(E38*F38/G38*F$7/F$9)</f>
        <v>0.3575757575757576</v>
      </c>
      <c r="I92" s="22">
        <f t="shared" ref="I92:I118" si="58">(D92*H92)</f>
        <v>9.2138383675857509E-4</v>
      </c>
      <c r="J92" s="24">
        <f t="shared" ref="J92:J118" si="59">IF(I$32&lt;=1+I$131,I92,L92+J$33*(I92-L92))</f>
        <v>9.2138383675857509E-4</v>
      </c>
      <c r="K92" s="22">
        <f t="shared" ref="K92:K118" si="60">(B92)</f>
        <v>2.5767514078841505E-3</v>
      </c>
      <c r="L92" s="22">
        <f t="shared" ref="L92:L118" si="61">(K92*H92)</f>
        <v>9.2138383675857509E-4</v>
      </c>
      <c r="M92" s="228">
        <f t="shared" ref="M92:M118" si="62">(J92)</f>
        <v>9.2138383675857509E-4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0.51535028157683005</v>
      </c>
      <c r="C93" s="75">
        <f t="shared" si="50"/>
        <v>-0.12883757039420751</v>
      </c>
      <c r="D93" s="24">
        <f t="shared" si="56"/>
        <v>0.38651271118262254</v>
      </c>
      <c r="H93" s="24">
        <f t="shared" si="57"/>
        <v>0.57212121212121214</v>
      </c>
      <c r="I93" s="22">
        <f t="shared" si="58"/>
        <v>0.22113212082205799</v>
      </c>
      <c r="J93" s="24">
        <f t="shared" si="59"/>
        <v>0.28695790522879039</v>
      </c>
      <c r="K93" s="22">
        <f t="shared" si="60"/>
        <v>0.51535028157683005</v>
      </c>
      <c r="L93" s="22">
        <f t="shared" si="61"/>
        <v>0.29484282776274401</v>
      </c>
      <c r="M93" s="228">
        <f t="shared" si="62"/>
        <v>0.28695790522879039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6.4418785197103756E-2</v>
      </c>
      <c r="C94" s="75">
        <f t="shared" si="50"/>
        <v>6.4418785197103756E-2</v>
      </c>
      <c r="D94" s="24">
        <f t="shared" si="56"/>
        <v>0.12883757039420751</v>
      </c>
      <c r="H94" s="24">
        <f t="shared" si="57"/>
        <v>0.57212121212121214</v>
      </c>
      <c r="I94" s="22">
        <f t="shared" si="58"/>
        <v>7.3710706940686002E-2</v>
      </c>
      <c r="J94" s="24">
        <f t="shared" si="59"/>
        <v>4.0797814737319818E-2</v>
      </c>
      <c r="K94" s="22">
        <f t="shared" si="60"/>
        <v>6.4418785197103756E-2</v>
      </c>
      <c r="L94" s="22">
        <f t="shared" si="61"/>
        <v>3.6855353470343001E-2</v>
      </c>
      <c r="M94" s="228">
        <f t="shared" si="62"/>
        <v>4.0797814737319818E-2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0.92484848484848492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8">
        <f t="shared" si="6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Onions: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Beans: kg produced</v>
      </c>
      <c r="B97" s="75">
        <f t="shared" si="50"/>
        <v>1.717834271922767E-3</v>
      </c>
      <c r="C97" s="75">
        <f t="shared" si="50"/>
        <v>6.8713370876910679E-3</v>
      </c>
      <c r="D97" s="24">
        <f t="shared" si="56"/>
        <v>8.5891713596138348E-3</v>
      </c>
      <c r="H97" s="24">
        <f t="shared" si="57"/>
        <v>0.84848484848484851</v>
      </c>
      <c r="I97" s="22">
        <f t="shared" si="58"/>
        <v>7.2877817596723451E-3</v>
      </c>
      <c r="J97" s="24">
        <f t="shared" si="59"/>
        <v>2.0812225410607446E-3</v>
      </c>
      <c r="K97" s="22">
        <f t="shared" si="60"/>
        <v>1.717834271922767E-3</v>
      </c>
      <c r="L97" s="22">
        <f t="shared" si="61"/>
        <v>1.457556351934469E-3</v>
      </c>
      <c r="M97" s="228">
        <f t="shared" si="62"/>
        <v>2.0812225410607446E-3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 xml:space="preserve">Other root crops: Beetroot </v>
      </c>
      <c r="B98" s="75">
        <f t="shared" si="50"/>
        <v>3.0062099758648422E-3</v>
      </c>
      <c r="C98" s="75">
        <f t="shared" si="50"/>
        <v>-3.0062099758648422E-3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2.2778696581425752E-3</v>
      </c>
      <c r="K98" s="22">
        <f t="shared" si="60"/>
        <v>3.0062099758648422E-3</v>
      </c>
      <c r="L98" s="22">
        <f t="shared" si="61"/>
        <v>2.5507236158853206E-3</v>
      </c>
      <c r="M98" s="228">
        <f t="shared" si="62"/>
        <v>2.2778696581425752E-3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 xml:space="preserve">Tomato: </v>
      </c>
      <c r="B99" s="75">
        <f t="shared" si="50"/>
        <v>4.2945856798069174E-3</v>
      </c>
      <c r="C99" s="75">
        <f t="shared" si="50"/>
        <v>-4.2945856798069174E-3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3.2540995116322503E-3</v>
      </c>
      <c r="K99" s="22">
        <f t="shared" si="60"/>
        <v>4.2945856798069174E-3</v>
      </c>
      <c r="L99" s="22">
        <f t="shared" si="61"/>
        <v>3.6438908798361726E-3</v>
      </c>
      <c r="M99" s="228">
        <f t="shared" si="62"/>
        <v>3.2540995116322503E-3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Leafy green vegetables (spinach etc)</v>
      </c>
      <c r="B100" s="75">
        <f t="shared" si="50"/>
        <v>1.7436017860016084E-2</v>
      </c>
      <c r="C100" s="75">
        <f t="shared" si="50"/>
        <v>-1.7436017860016084E-2</v>
      </c>
      <c r="D100" s="24">
        <f t="shared" si="56"/>
        <v>0</v>
      </c>
      <c r="H100" s="24">
        <f t="shared" si="57"/>
        <v>0.84848484848484851</v>
      </c>
      <c r="I100" s="22">
        <f t="shared" si="58"/>
        <v>0</v>
      </c>
      <c r="J100" s="24">
        <f t="shared" si="59"/>
        <v>1.3211644017226935E-2</v>
      </c>
      <c r="K100" s="22">
        <f t="shared" si="60"/>
        <v>1.7436017860016084E-2</v>
      </c>
      <c r="L100" s="22">
        <f t="shared" si="61"/>
        <v>1.4794196972134859E-2</v>
      </c>
      <c r="M100" s="228">
        <f t="shared" si="62"/>
        <v>1.3211644017226935E-2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si="50"/>
        <v>7.5155249396621049E-2</v>
      </c>
      <c r="C101" s="75">
        <f t="shared" si="50"/>
        <v>-7.5155249396621049E-2</v>
      </c>
      <c r="D101" s="24">
        <f t="shared" si="56"/>
        <v>0</v>
      </c>
      <c r="H101" s="24">
        <f t="shared" si="57"/>
        <v>0.84848484848484851</v>
      </c>
      <c r="I101" s="22">
        <f t="shared" si="58"/>
        <v>0</v>
      </c>
      <c r="J101" s="24">
        <f t="shared" si="59"/>
        <v>5.6946741453564369E-2</v>
      </c>
      <c r="K101" s="22">
        <f t="shared" si="60"/>
        <v>7.5155249396621049E-2</v>
      </c>
      <c r="L101" s="22">
        <f t="shared" si="61"/>
        <v>6.3768090397133007E-2</v>
      </c>
      <c r="M101" s="228">
        <f t="shared" si="62"/>
        <v>5.6946741453564369E-2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Carrots</v>
      </c>
      <c r="B102" s="75">
        <f t="shared" si="50"/>
        <v>6.0124199517296844E-3</v>
      </c>
      <c r="C102" s="75">
        <f t="shared" si="50"/>
        <v>0</v>
      </c>
      <c r="D102" s="24">
        <f t="shared" si="56"/>
        <v>6.0124199517296844E-3</v>
      </c>
      <c r="H102" s="24">
        <f t="shared" si="57"/>
        <v>0.84848484848484851</v>
      </c>
      <c r="I102" s="22">
        <f t="shared" si="58"/>
        <v>5.1014472317706411E-3</v>
      </c>
      <c r="J102" s="24">
        <f t="shared" si="59"/>
        <v>5.1014472317706411E-3</v>
      </c>
      <c r="K102" s="22">
        <f t="shared" si="60"/>
        <v>6.0124199517296844E-3</v>
      </c>
      <c r="L102" s="22">
        <f t="shared" si="61"/>
        <v>5.1014472317706411E-3</v>
      </c>
      <c r="M102" s="228">
        <f t="shared" si="62"/>
        <v>5.1014472317706411E-3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WILD FOODS -- see worksheet Data 3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0.7151515151515152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8">
        <f t="shared" si="62"/>
        <v>0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Small business -- see Data2</v>
      </c>
      <c r="B104" s="75">
        <f t="shared" si="50"/>
        <v>1.8552610136765884</v>
      </c>
      <c r="C104" s="75">
        <f t="shared" si="50"/>
        <v>0</v>
      </c>
      <c r="D104" s="24">
        <f t="shared" si="56"/>
        <v>1.8552610136765884</v>
      </c>
      <c r="H104" s="24">
        <f t="shared" si="57"/>
        <v>0.57212121212121214</v>
      </c>
      <c r="I104" s="22">
        <f t="shared" si="58"/>
        <v>1.0614341799458784</v>
      </c>
      <c r="J104" s="24">
        <f t="shared" si="59"/>
        <v>1.0614341799458784</v>
      </c>
      <c r="K104" s="22">
        <f t="shared" si="60"/>
        <v>1.8552610136765884</v>
      </c>
      <c r="L104" s="22">
        <f t="shared" si="61"/>
        <v>1.0614341799458784</v>
      </c>
      <c r="M104" s="228">
        <f t="shared" si="62"/>
        <v>1.0614341799458784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Social development -- see Data2</v>
      </c>
      <c r="B105" s="75">
        <f t="shared" si="50"/>
        <v>1.3502177377312949</v>
      </c>
      <c r="C105" s="75">
        <f t="shared" si="50"/>
        <v>0</v>
      </c>
      <c r="D105" s="24">
        <f t="shared" si="56"/>
        <v>1.3502177377312949</v>
      </c>
      <c r="H105" s="24">
        <f t="shared" si="57"/>
        <v>0</v>
      </c>
      <c r="I105" s="22">
        <f t="shared" si="58"/>
        <v>0</v>
      </c>
      <c r="J105" s="24">
        <f t="shared" si="59"/>
        <v>0</v>
      </c>
      <c r="K105" s="22">
        <f t="shared" si="60"/>
        <v>1.3502177377312949</v>
      </c>
      <c r="L105" s="22">
        <f t="shared" si="61"/>
        <v>0</v>
      </c>
      <c r="M105" s="228">
        <f t="shared" si="62"/>
        <v>0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Public works -- see Data2</v>
      </c>
      <c r="B106" s="75">
        <f t="shared" si="50"/>
        <v>0.66995536604987915</v>
      </c>
      <c r="C106" s="75">
        <f t="shared" si="50"/>
        <v>0</v>
      </c>
      <c r="D106" s="24">
        <f t="shared" si="56"/>
        <v>0.66995536604987915</v>
      </c>
      <c r="H106" s="24">
        <f t="shared" si="57"/>
        <v>0.7151515151515152</v>
      </c>
      <c r="I106" s="22">
        <f t="shared" si="58"/>
        <v>0.47911959511445906</v>
      </c>
      <c r="J106" s="24">
        <f t="shared" si="59"/>
        <v>0.47911959511445906</v>
      </c>
      <c r="K106" s="22">
        <f t="shared" si="60"/>
        <v>0.66995536604987915</v>
      </c>
      <c r="L106" s="22">
        <f t="shared" si="61"/>
        <v>0.47911959511445906</v>
      </c>
      <c r="M106" s="228">
        <f t="shared" si="62"/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Remittances: no. times per year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0.67272727272727284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4.566690628479483</v>
      </c>
      <c r="C119" s="22">
        <f>SUM(C91:C118)</f>
        <v>-0.1574395110217216</v>
      </c>
      <c r="D119" s="24">
        <f>SUM(D91:D118)</f>
        <v>4.409251117457762</v>
      </c>
      <c r="E119" s="22"/>
      <c r="F119" s="2"/>
      <c r="G119" s="2"/>
      <c r="H119" s="31"/>
      <c r="I119" s="22">
        <f>SUM(I91:I118)</f>
        <v>1.8491679075696623</v>
      </c>
      <c r="J119" s="24">
        <f>SUM(J91:J118)</f>
        <v>1.952564595194983</v>
      </c>
      <c r="K119" s="22">
        <f>SUM(K91:K118)</f>
        <v>4.566690628479483</v>
      </c>
      <c r="L119" s="22">
        <f>SUM(L91:L118)</f>
        <v>1.9649499374972568</v>
      </c>
      <c r="M119" s="57">
        <f t="shared" si="49"/>
        <v>1.952564595194983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0.88034165353268523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2">
        <f>(B124)</f>
        <v>0.88034165353268523</v>
      </c>
      <c r="L124" s="29">
        <f>IF(SUMPRODUCT($B$124:$B124,$H$124:$H124)&lt;L$119,($B124*$H124),L$119)</f>
        <v>0.74695655451258147</v>
      </c>
      <c r="M124" s="57">
        <f t="shared" si="63"/>
        <v>0.74695655451258147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2">
        <f t="shared" ref="K125:K126" si="64"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57">
        <f t="shared" ref="M125:M126" si="65">(J125)</f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0.43631724712136255</v>
      </c>
      <c r="K126" s="22">
        <f t="shared" si="64"/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0.47424298579900426</v>
      </c>
      <c r="M126" s="57">
        <f t="shared" si="65"/>
        <v>0.43631724712136255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0.10736464199517294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0.10736464199517294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0.44088098929016184</v>
      </c>
      <c r="C128" s="2"/>
      <c r="D128" s="31"/>
      <c r="E128" s="2"/>
      <c r="F128" s="2"/>
      <c r="G128" s="2"/>
      <c r="H128" s="24"/>
      <c r="I128" s="29">
        <f>(I30)</f>
        <v>1.102211353057081</v>
      </c>
      <c r="J128" s="229">
        <f>(J30)</f>
        <v>0.1712103075228617</v>
      </c>
      <c r="K128" s="22">
        <f>(B128)</f>
        <v>0.44088098929016184</v>
      </c>
      <c r="L128" s="22">
        <f>IF(L124=L119,0,(L119-L124)/(B119-B124)*K128)</f>
        <v>0.14566991114749375</v>
      </c>
      <c r="M128" s="57">
        <f t="shared" si="63"/>
        <v>0.1712103075228617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0.8124420451900235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0.8124420451900235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4.566690628479483</v>
      </c>
      <c r="C130" s="2"/>
      <c r="D130" s="31"/>
      <c r="E130" s="2"/>
      <c r="F130" s="2"/>
      <c r="G130" s="2"/>
      <c r="H130" s="24"/>
      <c r="I130" s="29">
        <f>(I119)</f>
        <v>1.8491679075696623</v>
      </c>
      <c r="J130" s="229">
        <f>(J119)</f>
        <v>1.952564595194983</v>
      </c>
      <c r="K130" s="22">
        <f>(B130)</f>
        <v>4.566690628479483</v>
      </c>
      <c r="L130" s="22">
        <f>(L119)</f>
        <v>1.9649499374972568</v>
      </c>
      <c r="M130" s="57">
        <f t="shared" si="63"/>
        <v>1.952564595194983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0.59808048603817743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0.12383750023917317</v>
      </c>
      <c r="M131" s="238">
        <f>IF(I131&lt;SUM(M126:M127),0,I131-(SUM(M126:M127)))</f>
        <v>0.16176323891681488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420" operator="equal">
      <formula>16</formula>
    </cfRule>
    <cfRule type="cellIs" dxfId="292" priority="421" operator="equal">
      <formula>15</formula>
    </cfRule>
    <cfRule type="cellIs" dxfId="291" priority="422" operator="equal">
      <formula>14</formula>
    </cfRule>
    <cfRule type="cellIs" dxfId="290" priority="423" operator="equal">
      <formula>13</formula>
    </cfRule>
    <cfRule type="cellIs" dxfId="289" priority="424" operator="equal">
      <formula>12</formula>
    </cfRule>
    <cfRule type="cellIs" dxfId="288" priority="425" operator="equal">
      <formula>11</formula>
    </cfRule>
    <cfRule type="cellIs" dxfId="287" priority="426" operator="equal">
      <formula>10</formula>
    </cfRule>
    <cfRule type="cellIs" dxfId="286" priority="427" operator="equal">
      <formula>9</formula>
    </cfRule>
    <cfRule type="cellIs" dxfId="285" priority="428" operator="equal">
      <formula>8</formula>
    </cfRule>
    <cfRule type="cellIs" dxfId="284" priority="429" operator="equal">
      <formula>7</formula>
    </cfRule>
    <cfRule type="cellIs" dxfId="283" priority="430" operator="equal">
      <formula>6</formula>
    </cfRule>
    <cfRule type="cellIs" dxfId="282" priority="431" operator="equal">
      <formula>5</formula>
    </cfRule>
    <cfRule type="cellIs" dxfId="281" priority="432" operator="equal">
      <formula>4</formula>
    </cfRule>
    <cfRule type="cellIs" dxfId="280" priority="433" operator="equal">
      <formula>3</formula>
    </cfRule>
    <cfRule type="cellIs" dxfId="279" priority="434" operator="equal">
      <formula>2</formula>
    </cfRule>
    <cfRule type="cellIs" dxfId="278" priority="435" operator="equal">
      <formula>1</formula>
    </cfRule>
  </conditionalFormatting>
  <conditionalFormatting sqref="N29">
    <cfRule type="cellIs" dxfId="277" priority="404" operator="equal">
      <formula>16</formula>
    </cfRule>
    <cfRule type="cellIs" dxfId="276" priority="405" operator="equal">
      <formula>15</formula>
    </cfRule>
    <cfRule type="cellIs" dxfId="275" priority="406" operator="equal">
      <formula>14</formula>
    </cfRule>
    <cfRule type="cellIs" dxfId="274" priority="407" operator="equal">
      <formula>13</formula>
    </cfRule>
    <cfRule type="cellIs" dxfId="273" priority="408" operator="equal">
      <formula>12</formula>
    </cfRule>
    <cfRule type="cellIs" dxfId="272" priority="409" operator="equal">
      <formula>11</formula>
    </cfRule>
    <cfRule type="cellIs" dxfId="271" priority="410" operator="equal">
      <formula>10</formula>
    </cfRule>
    <cfRule type="cellIs" dxfId="270" priority="411" operator="equal">
      <formula>9</formula>
    </cfRule>
    <cfRule type="cellIs" dxfId="269" priority="412" operator="equal">
      <formula>8</formula>
    </cfRule>
    <cfRule type="cellIs" dxfId="268" priority="413" operator="equal">
      <formula>7</formula>
    </cfRule>
    <cfRule type="cellIs" dxfId="267" priority="414" operator="equal">
      <formula>6</formula>
    </cfRule>
    <cfRule type="cellIs" dxfId="266" priority="415" operator="equal">
      <formula>5</formula>
    </cfRule>
    <cfRule type="cellIs" dxfId="265" priority="416" operator="equal">
      <formula>4</formula>
    </cfRule>
    <cfRule type="cellIs" dxfId="264" priority="417" operator="equal">
      <formula>3</formula>
    </cfRule>
    <cfRule type="cellIs" dxfId="263" priority="418" operator="equal">
      <formula>2</formula>
    </cfRule>
    <cfRule type="cellIs" dxfId="262" priority="419" operator="equal">
      <formula>1</formula>
    </cfRule>
  </conditionalFormatting>
  <conditionalFormatting sqref="N27:N28">
    <cfRule type="cellIs" dxfId="261" priority="212" operator="equal">
      <formula>16</formula>
    </cfRule>
    <cfRule type="cellIs" dxfId="260" priority="213" operator="equal">
      <formula>15</formula>
    </cfRule>
    <cfRule type="cellIs" dxfId="259" priority="214" operator="equal">
      <formula>14</formula>
    </cfRule>
    <cfRule type="cellIs" dxfId="258" priority="215" operator="equal">
      <formula>13</formula>
    </cfRule>
    <cfRule type="cellIs" dxfId="257" priority="216" operator="equal">
      <formula>12</formula>
    </cfRule>
    <cfRule type="cellIs" dxfId="256" priority="217" operator="equal">
      <formula>11</formula>
    </cfRule>
    <cfRule type="cellIs" dxfId="255" priority="218" operator="equal">
      <formula>10</formula>
    </cfRule>
    <cfRule type="cellIs" dxfId="254" priority="219" operator="equal">
      <formula>9</formula>
    </cfRule>
    <cfRule type="cellIs" dxfId="253" priority="220" operator="equal">
      <formula>8</formula>
    </cfRule>
    <cfRule type="cellIs" dxfId="252" priority="221" operator="equal">
      <formula>7</formula>
    </cfRule>
    <cfRule type="cellIs" dxfId="251" priority="222" operator="equal">
      <formula>6</formula>
    </cfRule>
    <cfRule type="cellIs" dxfId="250" priority="223" operator="equal">
      <formula>5</formula>
    </cfRule>
    <cfRule type="cellIs" dxfId="249" priority="224" operator="equal">
      <formula>4</formula>
    </cfRule>
    <cfRule type="cellIs" dxfId="248" priority="225" operator="equal">
      <formula>3</formula>
    </cfRule>
    <cfRule type="cellIs" dxfId="247" priority="226" operator="equal">
      <formula>2</formula>
    </cfRule>
    <cfRule type="cellIs" dxfId="246" priority="227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P37" sqref="P3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0.1355626400996264</v>
      </c>
      <c r="C6" s="102">
        <f>IF([1]Summ!$K1044="",0,[1]Summ!$K1044)</f>
        <v>0</v>
      </c>
      <c r="D6" s="24">
        <f t="shared" ref="D6:D29" si="0">(B6+C6)</f>
        <v>0.1355626400996264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6.7781320049813201E-2</v>
      </c>
      <c r="J6" s="24">
        <f t="shared" ref="J6:J13" si="3">IF(I$32&lt;=1+I$131,I6,B6*H6+J$33*(I6-B6*H6))</f>
        <v>6.7781320049813201E-2</v>
      </c>
      <c r="K6" s="22">
        <f t="shared" ref="K6:K31" si="4">B6</f>
        <v>0.1355626400996264</v>
      </c>
      <c r="L6" s="22">
        <f t="shared" ref="L6:L29" si="5">IF(K6="","",K6*H6)</f>
        <v>6.7781320049813201E-2</v>
      </c>
      <c r="M6" s="177">
        <f t="shared" ref="M6:M31" si="6">J6</f>
        <v>6.7781320049813201E-2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0.2711252801992528</v>
      </c>
      <c r="Z6" s="156">
        <f>Poor!Z6</f>
        <v>0.17</v>
      </c>
      <c r="AA6" s="121">
        <f>$M6*Z6*4</f>
        <v>4.6091297633872978E-2</v>
      </c>
      <c r="AB6" s="156">
        <f>Poor!AB6</f>
        <v>0.17</v>
      </c>
      <c r="AC6" s="121">
        <f t="shared" ref="AC6:AC29" si="7">$M6*AB6*4</f>
        <v>4.6091297633872978E-2</v>
      </c>
      <c r="AD6" s="156">
        <f>Poor!AD6</f>
        <v>0.33</v>
      </c>
      <c r="AE6" s="121">
        <f t="shared" ref="AE6:AE29" si="8">$M6*AD6*4</f>
        <v>8.9471342465753431E-2</v>
      </c>
      <c r="AF6" s="122">
        <f>1-SUM(Z6,AB6,AD6)</f>
        <v>0.32999999999999996</v>
      </c>
      <c r="AG6" s="121">
        <f>$M6*AF6*4</f>
        <v>8.9471342465753417E-2</v>
      </c>
      <c r="AH6" s="123">
        <f>SUM(Z6,AB6,AD6,AF6)</f>
        <v>1</v>
      </c>
      <c r="AI6" s="183">
        <f>SUM(AA6,AC6,AE6,AG6)/4</f>
        <v>6.7781320049813201E-2</v>
      </c>
      <c r="AJ6" s="120">
        <f>(AA6+AC6)/2</f>
        <v>4.6091297633872978E-2</v>
      </c>
      <c r="AK6" s="119">
        <f>(AE6+AG6)/2</f>
        <v>8.9471342465753417E-2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4415.5763539350655</v>
      </c>
      <c r="S7" s="223">
        <f>IF($B$81=0,0,(SUMIF($N$6:$N$28,$U7,L$6:L$28)+SUMIF($N$91:$N$118,$U7,L$91:L$118))*$I$83*Poor!$B$81/$B$81)</f>
        <v>4892.454819800877</v>
      </c>
      <c r="T7" s="223">
        <f>IF($B$81=0,0,(SUMIF($N$6:$N$28,$U7,M$6:M$28)+SUMIF($N$91:$N$118,$U7,M$91:M$118))*$I$83*Poor!$B$81/$B$81)</f>
        <v>3296.9621455532724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6.1915628891656291E-2</v>
      </c>
      <c r="C8" s="102">
        <f>IF([1]Summ!$K1046="",0,[1]Summ!$K1046)</f>
        <v>0</v>
      </c>
      <c r="D8" s="24">
        <f t="shared" si="0"/>
        <v>6.1915628891656291E-2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3.0957814445828145E-2</v>
      </c>
      <c r="J8" s="24">
        <f t="shared" si="3"/>
        <v>3.0957814445828145E-2</v>
      </c>
      <c r="K8" s="22">
        <f t="shared" si="4"/>
        <v>6.1915628891656291E-2</v>
      </c>
      <c r="L8" s="22">
        <f t="shared" si="5"/>
        <v>3.0957814445828145E-2</v>
      </c>
      <c r="M8" s="225">
        <f t="shared" si="6"/>
        <v>3.0957814445828145E-2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29064.776824340057</v>
      </c>
      <c r="S8" s="223">
        <f>IF($B$81=0,0,(SUMIF($N$6:$N$28,$U8,L$6:L$28)+SUMIF($N$91:$N$118,$U8,L$91:L$118))*$I$83*Poor!$B$81/$B$81)</f>
        <v>28965.348125</v>
      </c>
      <c r="T8" s="223">
        <f>IF($B$81=0,0,(SUMIF($N$6:$N$28,$U8,M$6:M$28)+SUMIF($N$91:$N$118,$U8,M$91:M$118))*$I$83*Poor!$B$81/$B$81)</f>
        <v>31454.845693784315</v>
      </c>
      <c r="U8" s="224">
        <v>2</v>
      </c>
      <c r="V8" s="56"/>
      <c r="W8" s="115"/>
      <c r="X8" s="118">
        <f>Poor!X8</f>
        <v>1</v>
      </c>
      <c r="Y8" s="183">
        <f t="shared" si="9"/>
        <v>0.12383125778331258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0.12383125778331258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3.0957814445828145E-2</v>
      </c>
      <c r="AJ8" s="120">
        <f t="shared" si="14"/>
        <v>6.1915628891656291E-2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5.2048232876712328E-2</v>
      </c>
      <c r="C9" s="102">
        <f>IF([1]Summ!$K1047="",0,[1]Summ!$K1047)</f>
        <v>0.83632046917808212</v>
      </c>
      <c r="D9" s="24">
        <f t="shared" si="0"/>
        <v>0.88836870205479446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0.96832188523972607</v>
      </c>
      <c r="J9" s="24">
        <f t="shared" si="3"/>
        <v>-2.541287759499835E-2</v>
      </c>
      <c r="K9" s="22">
        <f t="shared" si="4"/>
        <v>5.2048232876712328E-2</v>
      </c>
      <c r="L9" s="22">
        <f t="shared" si="5"/>
        <v>5.6732573835616439E-2</v>
      </c>
      <c r="M9" s="225">
        <f t="shared" si="6"/>
        <v>-2.541287759499835E-2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3487.9877456007357</v>
      </c>
      <c r="S9" s="223">
        <f>IF($B$81=0,0,(SUMIF($N$6:$N$28,$U9,L$6:L$28)+SUMIF($N$91:$N$118,$U9,L$91:L$118))*$I$83*Poor!$B$81/$B$81)</f>
        <v>1896.8019742143438</v>
      </c>
      <c r="T9" s="223">
        <f>IF($B$81=0,0,(SUMIF($N$6:$N$28,$U9,M$6:M$28)+SUMIF($N$91:$N$118,$U9,M$91:M$118))*$I$83*Poor!$B$81/$B$81)</f>
        <v>1896.8019742143438</v>
      </c>
      <c r="U9" s="224">
        <v>3</v>
      </c>
      <c r="V9" s="56"/>
      <c r="W9" s="115"/>
      <c r="X9" s="118">
        <f>Poor!X9</f>
        <v>1</v>
      </c>
      <c r="Y9" s="183">
        <f t="shared" si="9"/>
        <v>-0.1016515103799934</v>
      </c>
      <c r="Z9" s="125">
        <f>IF($Y9=0,0,AA9/$Y9)</f>
        <v>2.0199680871883259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-0.20533280698207954</v>
      </c>
      <c r="AB9" s="125">
        <f>IF($Y9=0,0,AC9/$Y9)</f>
        <v>-1.0199680871883261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0.10368129660208614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0.99999999999999978</v>
      </c>
      <c r="AI9" s="183">
        <f t="shared" si="13"/>
        <v>-2.541287759499835E-2</v>
      </c>
      <c r="AJ9" s="120">
        <f t="shared" si="14"/>
        <v>-5.0825755189996699E-2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Onions: kg produced</v>
      </c>
      <c r="B10" s="101">
        <f>IF([1]Summ!$J1048="",0,[1]Summ!$J1048)</f>
        <v>1.9943349937733498E-2</v>
      </c>
      <c r="C10" s="102">
        <f>IF([1]Summ!$K1048="",0,[1]Summ!$K1048)</f>
        <v>0</v>
      </c>
      <c r="D10" s="24">
        <f t="shared" si="0"/>
        <v>1.9943349937733498E-2</v>
      </c>
      <c r="E10" s="75">
        <f>Middle!E10</f>
        <v>1</v>
      </c>
      <c r="H10" s="24">
        <f t="shared" si="1"/>
        <v>1</v>
      </c>
      <c r="I10" s="22">
        <f t="shared" si="2"/>
        <v>1.9943349937733498E-2</v>
      </c>
      <c r="J10" s="24">
        <f t="shared" si="3"/>
        <v>1.9943349937733498E-2</v>
      </c>
      <c r="K10" s="22">
        <f t="shared" si="4"/>
        <v>1.9943349937733498E-2</v>
      </c>
      <c r="L10" s="22">
        <f t="shared" si="5"/>
        <v>1.9943349937733498E-2</v>
      </c>
      <c r="M10" s="225">
        <f t="shared" si="6"/>
        <v>1.9943349937733498E-2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123.2623024178057</v>
      </c>
      <c r="S10" s="223">
        <f>IF($B$81=0,0,(SUMIF($N$6:$N$28,$U10,L$6:L$28)+SUMIF($N$91:$N$118,$U10,L$91:L$118))*$I$83*Poor!$B$81/$B$81)</f>
        <v>47.9375</v>
      </c>
      <c r="T10" s="223">
        <f>IF($B$81=0,0,(SUMIF($N$6:$N$28,$U10,M$6:M$28)+SUMIF($N$91:$N$118,$U10,M$91:M$118))*$I$83*Poor!$B$81/$B$81)</f>
        <v>47.9375</v>
      </c>
      <c r="U10" s="224">
        <v>4</v>
      </c>
      <c r="V10" s="56"/>
      <c r="W10" s="115"/>
      <c r="X10" s="118">
        <f>Poor!X10</f>
        <v>1</v>
      </c>
      <c r="Y10" s="183">
        <f t="shared" si="9"/>
        <v>7.977339975093399E-2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7.977339975093399E-2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1.9943349937733498E-2</v>
      </c>
      <c r="AJ10" s="120">
        <f t="shared" si="14"/>
        <v>3.9886699875466995E-2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1.9884693026151933E-2</v>
      </c>
      <c r="C11" s="102">
        <f>IF([1]Summ!$K1049="",0,[1]Summ!$K1049)</f>
        <v>-8.8376413449564144E-3</v>
      </c>
      <c r="D11" s="24">
        <f t="shared" si="0"/>
        <v>1.1047051681195519E-2</v>
      </c>
      <c r="E11" s="75">
        <f>Middle!E11</f>
        <v>1</v>
      </c>
      <c r="H11" s="24">
        <f t="shared" si="1"/>
        <v>1</v>
      </c>
      <c r="I11" s="22">
        <f t="shared" si="2"/>
        <v>1.1047051681195519E-2</v>
      </c>
      <c r="J11" s="24">
        <f t="shared" si="3"/>
        <v>2.0681073620769815E-2</v>
      </c>
      <c r="K11" s="22">
        <f t="shared" si="4"/>
        <v>1.9884693026151933E-2</v>
      </c>
      <c r="L11" s="22">
        <f t="shared" si="5"/>
        <v>1.9884693026151933E-2</v>
      </c>
      <c r="M11" s="225">
        <f t="shared" si="6"/>
        <v>2.0681073620769815E-2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52149.435638302399</v>
      </c>
      <c r="S11" s="223">
        <f>IF($B$81=0,0,(SUMIF($N$6:$N$28,$U11,L$6:L$28)+SUMIF($N$91:$N$118,$U11,L$91:L$118))*$I$83*Poor!$B$81/$B$81)</f>
        <v>32449.999999999996</v>
      </c>
      <c r="T11" s="223">
        <f>IF($B$81=0,0,(SUMIF($N$6:$N$28,$U11,M$6:M$28)+SUMIF($N$91:$N$118,$U11,M$91:M$118))*$I$83*Poor!$B$81/$B$81)</f>
        <v>33008.245983412002</v>
      </c>
      <c r="U11" s="224">
        <v>5</v>
      </c>
      <c r="V11" s="56"/>
      <c r="W11" s="115"/>
      <c r="X11" s="118">
        <f>Poor!X11</f>
        <v>1</v>
      </c>
      <c r="Y11" s="183">
        <f t="shared" si="9"/>
        <v>8.2724294483079261E-2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8.2724294483079261E-2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2.0681073620769815E-2</v>
      </c>
      <c r="AJ11" s="120">
        <f t="shared" si="14"/>
        <v>4.136214724153963E-2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kg produced</v>
      </c>
      <c r="B12" s="101">
        <f>IF([1]Summ!$J1050="",0,[1]Summ!$J1050)</f>
        <v>6.0328633561643842E-2</v>
      </c>
      <c r="C12" s="102">
        <f>IF([1]Summ!$K1050="",0,[1]Summ!$K1050)</f>
        <v>0</v>
      </c>
      <c r="D12" s="24">
        <f t="shared" si="0"/>
        <v>6.0328633561643842E-2</v>
      </c>
      <c r="E12" s="75">
        <f>Middle!E12</f>
        <v>1</v>
      </c>
      <c r="H12" s="24">
        <f t="shared" si="1"/>
        <v>1</v>
      </c>
      <c r="I12" s="22">
        <f t="shared" si="2"/>
        <v>6.0328633561643842E-2</v>
      </c>
      <c r="J12" s="24">
        <f t="shared" si="3"/>
        <v>6.0328633561643842E-2</v>
      </c>
      <c r="K12" s="22">
        <f t="shared" si="4"/>
        <v>6.0328633561643842E-2</v>
      </c>
      <c r="L12" s="22">
        <f t="shared" si="5"/>
        <v>6.0328633561643842E-2</v>
      </c>
      <c r="M12" s="225">
        <f t="shared" si="6"/>
        <v>6.0328633561643842E-2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176.62640873941965</v>
      </c>
      <c r="S12" s="223">
        <f>IF($B$81=0,0,(SUMIF($N$6:$N$28,$U12,L$6:L$28)+SUMIF($N$91:$N$118,$U12,L$91:L$118))*$I$83*Poor!$B$81/$B$81)</f>
        <v>192.10234968163252</v>
      </c>
      <c r="T12" s="223">
        <f>IF($B$81=0,0,(SUMIF($N$6:$N$28,$U12,M$6:M$28)+SUMIF($N$91:$N$118,$U12,M$91:M$118))*$I$83*Poor!$B$81/$B$81)</f>
        <v>209.41314308175836</v>
      </c>
      <c r="U12" s="224">
        <v>6</v>
      </c>
      <c r="V12" s="56"/>
      <c r="W12" s="117"/>
      <c r="X12" s="118"/>
      <c r="Y12" s="183">
        <f t="shared" si="9"/>
        <v>0.24131453424657537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0.16168073794520552</v>
      </c>
      <c r="AF12" s="122">
        <f>1-SUM(Z12,AB12,AD12)</f>
        <v>0.32999999999999996</v>
      </c>
      <c r="AG12" s="121">
        <f>$M12*AF12*4</f>
        <v>7.9633796301369866E-2</v>
      </c>
      <c r="AH12" s="123">
        <f t="shared" si="12"/>
        <v>1</v>
      </c>
      <c r="AI12" s="183">
        <f t="shared" si="13"/>
        <v>6.0328633561643849E-2</v>
      </c>
      <c r="AJ12" s="120">
        <f t="shared" si="14"/>
        <v>0</v>
      </c>
      <c r="AK12" s="119">
        <f t="shared" si="15"/>
        <v>0.1206572671232877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Green beans /peas</v>
      </c>
      <c r="B13" s="101">
        <f>IF([1]Summ!$J1051="",0,[1]Summ!$J1051)</f>
        <v>7.3321139476961381E-4</v>
      </c>
      <c r="C13" s="102">
        <f>IF([1]Summ!$K1051="",0,[1]Summ!$K1051)</f>
        <v>0</v>
      </c>
      <c r="D13" s="24">
        <f t="shared" si="0"/>
        <v>7.3321139476961381E-4</v>
      </c>
      <c r="E13" s="75">
        <f>Middle!E13</f>
        <v>1</v>
      </c>
      <c r="H13" s="24">
        <f t="shared" si="1"/>
        <v>1</v>
      </c>
      <c r="I13" s="22">
        <f t="shared" si="2"/>
        <v>7.3321139476961381E-4</v>
      </c>
      <c r="J13" s="24">
        <f t="shared" si="3"/>
        <v>7.3321139476961381E-4</v>
      </c>
      <c r="K13" s="22">
        <f t="shared" si="4"/>
        <v>7.3321139476961381E-4</v>
      </c>
      <c r="L13" s="22">
        <f t="shared" si="5"/>
        <v>7.3321139476961381E-4</v>
      </c>
      <c r="M13" s="226">
        <f t="shared" si="6"/>
        <v>7.3321139476961381E-4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2.9328455790784552E-3</v>
      </c>
      <c r="Z13" s="156">
        <f>Poor!Z13</f>
        <v>1</v>
      </c>
      <c r="AA13" s="121">
        <f>$M13*Z13*4</f>
        <v>2.9328455790784552E-3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7.3321139476961381E-4</v>
      </c>
      <c r="AJ13" s="120">
        <f t="shared" si="14"/>
        <v>1.4664227895392276E-3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 xml:space="preserve">Other root crops: Beetroot </v>
      </c>
      <c r="B14" s="101">
        <f>IF([1]Summ!$J1052="",0,[1]Summ!$J1052)</f>
        <v>1.9123599003735992E-3</v>
      </c>
      <c r="C14" s="102">
        <f>IF([1]Summ!$K1052="",0,[1]Summ!$K1052)</f>
        <v>1.6391656288916559E-3</v>
      </c>
      <c r="D14" s="24">
        <f t="shared" si="0"/>
        <v>3.5515255292652551E-3</v>
      </c>
      <c r="E14" s="75">
        <f>Middle!E14</f>
        <v>1</v>
      </c>
      <c r="F14" s="22"/>
      <c r="H14" s="24">
        <f t="shared" si="1"/>
        <v>1</v>
      </c>
      <c r="I14" s="22">
        <f t="shared" si="2"/>
        <v>3.5515255292652551E-3</v>
      </c>
      <c r="J14" s="24">
        <f>IF(I$32&lt;=1+I131,I14,B14*H14+J$33*(I14-B14*H14))</f>
        <v>1.7646508400869522E-3</v>
      </c>
      <c r="K14" s="22">
        <f t="shared" si="4"/>
        <v>1.9123599003735992E-3</v>
      </c>
      <c r="L14" s="22">
        <f t="shared" si="5"/>
        <v>1.9123599003735992E-3</v>
      </c>
      <c r="M14" s="226">
        <f t="shared" si="6"/>
        <v>1.7646508400869522E-3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7.058603360347809E-3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7.058603360347809E-3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1.7646508400869522E-3</v>
      </c>
      <c r="AJ14" s="120">
        <f t="shared" si="14"/>
        <v>3.5293016801739045E-3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 xml:space="preserve">Tomato: </v>
      </c>
      <c r="B15" s="101">
        <f>IF([1]Summ!$J1053="",0,[1]Summ!$J1053)</f>
        <v>6.6037906288916565E-2</v>
      </c>
      <c r="C15" s="102">
        <f>IF([1]Summ!$K1053="",0,[1]Summ!$K1053)</f>
        <v>9.4339866127023664E-3</v>
      </c>
      <c r="D15" s="24">
        <f t="shared" si="0"/>
        <v>7.5471892901618931E-2</v>
      </c>
      <c r="E15" s="75">
        <f>Middle!E15</f>
        <v>1</v>
      </c>
      <c r="F15" s="22"/>
      <c r="H15" s="24">
        <f t="shared" si="1"/>
        <v>1</v>
      </c>
      <c r="I15" s="22">
        <f t="shared" si="2"/>
        <v>7.5471892901618931E-2</v>
      </c>
      <c r="J15" s="24">
        <f>IF(I$32&lt;=1+I131,I15,B15*H15+J$33*(I15-B15*H15))</f>
        <v>6.5187787623201682E-2</v>
      </c>
      <c r="K15" s="22">
        <f t="shared" si="4"/>
        <v>6.6037906288916565E-2</v>
      </c>
      <c r="L15" s="22">
        <f t="shared" si="5"/>
        <v>6.6037906288916565E-2</v>
      </c>
      <c r="M15" s="227">
        <f t="shared" si="6"/>
        <v>6.5187787623201682E-2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14791.476290136685</v>
      </c>
      <c r="S15" s="223">
        <f>IF($B$81=0,0,(SUMIF($N$6:$N$28,$U15,L$6:L$28)+SUMIF($N$91:$N$118,$U15,L$91:L$118))*$I$83*Poor!$B$81/$B$81)</f>
        <v>11505</v>
      </c>
      <c r="T15" s="223">
        <f>IF($B$81=0,0,(SUMIF($N$6:$N$28,$U15,M$6:M$28)+SUMIF($N$91:$N$118,$U15,M$91:M$118))*$I$83*Poor!$B$81/$B$81)</f>
        <v>11505</v>
      </c>
      <c r="U15" s="224">
        <v>9</v>
      </c>
      <c r="V15" s="56"/>
      <c r="W15" s="110"/>
      <c r="X15" s="118"/>
      <c r="Y15" s="183">
        <f t="shared" si="9"/>
        <v>0.26075115049280673</v>
      </c>
      <c r="Z15" s="156">
        <f>Poor!Z15</f>
        <v>0.25</v>
      </c>
      <c r="AA15" s="121">
        <f t="shared" si="16"/>
        <v>6.5187787623201682E-2</v>
      </c>
      <c r="AB15" s="156">
        <f>Poor!AB15</f>
        <v>0.25</v>
      </c>
      <c r="AC15" s="121">
        <f t="shared" si="7"/>
        <v>6.5187787623201682E-2</v>
      </c>
      <c r="AD15" s="156">
        <f>Poor!AD15</f>
        <v>0.25</v>
      </c>
      <c r="AE15" s="121">
        <f t="shared" si="8"/>
        <v>6.5187787623201682E-2</v>
      </c>
      <c r="AF15" s="122">
        <f t="shared" si="10"/>
        <v>0.25</v>
      </c>
      <c r="AG15" s="121">
        <f t="shared" si="11"/>
        <v>6.5187787623201682E-2</v>
      </c>
      <c r="AH15" s="123">
        <f t="shared" si="12"/>
        <v>1</v>
      </c>
      <c r="AI15" s="183">
        <f t="shared" si="13"/>
        <v>6.5187787623201682E-2</v>
      </c>
      <c r="AJ15" s="120">
        <f t="shared" si="14"/>
        <v>6.5187787623201682E-2</v>
      </c>
      <c r="AK15" s="119">
        <f t="shared" si="15"/>
        <v>6.5187787623201682E-2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Potato's: no. local meas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Leafy green vegetables (spinach etc)</v>
      </c>
      <c r="B17" s="101">
        <f>IF([1]Summ!$J1055="",0,[1]Summ!$J1055)</f>
        <v>8.6511519302615199E-4</v>
      </c>
      <c r="C17" s="102">
        <f>IF([1]Summ!$K1055="",0,[1]Summ!$K1055)</f>
        <v>3.0051369863013694E-3</v>
      </c>
      <c r="D17" s="24">
        <f t="shared" si="0"/>
        <v>3.8702521793275214E-3</v>
      </c>
      <c r="E17" s="75">
        <f>Middle!E17</f>
        <v>1</v>
      </c>
      <c r="F17" s="22"/>
      <c r="H17" s="24">
        <f t="shared" si="1"/>
        <v>1</v>
      </c>
      <c r="I17" s="22">
        <f t="shared" si="2"/>
        <v>3.8702521793275214E-3</v>
      </c>
      <c r="J17" s="24">
        <f t="shared" ref="J17:J25" si="17">IF(I$32&lt;=1+I131,I17,B17*H17+J$33*(I17-B17*H17))</f>
        <v>5.9431524916729909E-4</v>
      </c>
      <c r="K17" s="22">
        <f t="shared" si="4"/>
        <v>8.6511519302615199E-4</v>
      </c>
      <c r="L17" s="22">
        <f t="shared" si="5"/>
        <v>8.6511519302615199E-4</v>
      </c>
      <c r="M17" s="226">
        <f t="shared" si="6"/>
        <v>5.9431524916729909E-4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60690.565024299285</v>
      </c>
      <c r="S17" s="223">
        <f>IF($B$81=0,0,(SUMIF($N$6:$N$28,$U17,L$6:L$28)+SUMIF($N$91:$N$118,$U17,L$91:L$118))*$I$83*Poor!$B$81/$B$81)</f>
        <v>37764.720000000001</v>
      </c>
      <c r="T17" s="223">
        <f>IF($B$81=0,0,(SUMIF($N$6:$N$28,$U17,M$6:M$28)+SUMIF($N$91:$N$118,$U17,M$91:M$118))*$I$83*Poor!$B$81/$B$81)</f>
        <v>37764.720000000001</v>
      </c>
      <c r="U17" s="224">
        <v>11</v>
      </c>
      <c r="V17" s="56"/>
      <c r="W17" s="110"/>
      <c r="X17" s="118"/>
      <c r="Y17" s="183">
        <f t="shared" si="9"/>
        <v>2.3772609966691964E-3</v>
      </c>
      <c r="Z17" s="156">
        <f>Poor!Z17</f>
        <v>0.29409999999999997</v>
      </c>
      <c r="AA17" s="121">
        <f t="shared" si="16"/>
        <v>6.9915245912041061E-4</v>
      </c>
      <c r="AB17" s="156">
        <f>Poor!AB17</f>
        <v>0.17649999999999999</v>
      </c>
      <c r="AC17" s="121">
        <f t="shared" si="7"/>
        <v>4.1958656591211313E-4</v>
      </c>
      <c r="AD17" s="156">
        <f>Poor!AD17</f>
        <v>0.23530000000000001</v>
      </c>
      <c r="AE17" s="121">
        <f t="shared" si="8"/>
        <v>5.5936951251626195E-4</v>
      </c>
      <c r="AF17" s="122">
        <f t="shared" si="10"/>
        <v>0.29410000000000003</v>
      </c>
      <c r="AG17" s="121">
        <f t="shared" si="11"/>
        <v>6.9915245912041072E-4</v>
      </c>
      <c r="AH17" s="123">
        <f t="shared" si="12"/>
        <v>1</v>
      </c>
      <c r="AI17" s="183">
        <f t="shared" si="13"/>
        <v>5.9431524916729909E-4</v>
      </c>
      <c r="AJ17" s="120">
        <f t="shared" si="14"/>
        <v>5.5936951251626184E-4</v>
      </c>
      <c r="AK17" s="119">
        <f t="shared" si="15"/>
        <v>6.2926098581833634E-4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Other crop: pumpkin</v>
      </c>
      <c r="B18" s="101">
        <f>IF([1]Summ!$J1056="",0,[1]Summ!$J1056)</f>
        <v>2.4225560398505604E-2</v>
      </c>
      <c r="C18" s="102">
        <f>IF([1]Summ!$K1056="",0,[1]Summ!$K1056)</f>
        <v>4.8451120797011228E-3</v>
      </c>
      <c r="D18" s="24">
        <f t="shared" ref="D18:D25" si="18">(B18+C18)</f>
        <v>2.9070672478206726E-2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2.9070672478206726E-2</v>
      </c>
      <c r="J18" s="24">
        <f t="shared" si="17"/>
        <v>2.3788955982416156E-2</v>
      </c>
      <c r="K18" s="22">
        <f t="shared" ref="K18:K25" si="21">B18</f>
        <v>2.4225560398505604E-2</v>
      </c>
      <c r="L18" s="22">
        <f t="shared" ref="L18:L25" si="22">IF(K18="","",K18*H18)</f>
        <v>2.4225560398505604E-2</v>
      </c>
      <c r="M18" s="226">
        <f t="shared" ref="M18:M25" si="23">J18</f>
        <v>2.3788955982416156E-2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1051.347671067974</v>
      </c>
      <c r="S18" s="223">
        <f>IF($B$81=0,0,(SUMIF($N$6:$N$28,$U18,L$6:L$28)+SUMIF($N$91:$N$118,$U18,L$91:L$118))*$I$83*Poor!$B$81/$B$81)</f>
        <v>1143.4663671525745</v>
      </c>
      <c r="T18" s="223">
        <f>IF($B$81=0,0,(SUMIF($N$6:$N$28,$U18,M$6:M$28)+SUMIF($N$91:$N$118,$U18,M$91:M$118))*$I$83*Poor!$B$81/$B$81)</f>
        <v>1143.4663671525745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Carrots</v>
      </c>
      <c r="B19" s="101">
        <f>IF([1]Summ!$J1057="",0,[1]Summ!$J1057)</f>
        <v>4.0161892901618926E-3</v>
      </c>
      <c r="C19" s="102">
        <f>IF([1]Summ!$K1057="",0,[1]Summ!$K1057)</f>
        <v>0</v>
      </c>
      <c r="D19" s="24">
        <f t="shared" si="18"/>
        <v>4.0161892901618926E-3</v>
      </c>
      <c r="E19" s="75">
        <f>Middle!E19</f>
        <v>1</v>
      </c>
      <c r="F19" s="22"/>
      <c r="H19" s="24">
        <f t="shared" si="19"/>
        <v>1</v>
      </c>
      <c r="I19" s="22">
        <f t="shared" si="20"/>
        <v>4.0161892901618926E-3</v>
      </c>
      <c r="J19" s="24">
        <f t="shared" si="17"/>
        <v>4.0161892901618926E-3</v>
      </c>
      <c r="K19" s="22">
        <f t="shared" si="21"/>
        <v>4.0161892901618926E-3</v>
      </c>
      <c r="L19" s="22">
        <f t="shared" si="22"/>
        <v>4.0161892901618926E-3</v>
      </c>
      <c r="M19" s="226">
        <f t="shared" si="23"/>
        <v>4.0161892901618926E-3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26397.096148551616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WILD FOODS -- see worksheet Data 3</v>
      </c>
      <c r="B21" s="101">
        <f>IF([1]Summ!$J1059="",0,[1]Summ!$J1059)</f>
        <v>0.01</v>
      </c>
      <c r="C21" s="102">
        <f>IF([1]Summ!$K1059="",0,[1]Summ!$K1059)</f>
        <v>-0.01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1.0901123459906382E-2</v>
      </c>
      <c r="K21" s="22">
        <f t="shared" si="21"/>
        <v>0.01</v>
      </c>
      <c r="L21" s="22">
        <f t="shared" si="22"/>
        <v>0.01</v>
      </c>
      <c r="M21" s="226">
        <f t="shared" si="23"/>
        <v>1.0901123459906382E-2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Gifts/remittances: Events(Funerals, weddings)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192348.15040739105</v>
      </c>
      <c r="S23" s="179">
        <f>SUM(S7:S22)</f>
        <v>118857.83113584942</v>
      </c>
      <c r="T23" s="179">
        <f>SUM(T7:T22)</f>
        <v>120327.39280719828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29244.120681443645</v>
      </c>
      <c r="S24" s="41">
        <f>IF($B$81=0,0,(SUM(($B$70*$H$70))+((1-$D$29)*$I$83))*Poor!$B$81/$B$81)</f>
        <v>29244.120681443645</v>
      </c>
      <c r="T24" s="41">
        <f>IF($B$81=0,0,(SUM(($B$70*$H$70))+((1-$D$29)*$I$83))*Poor!$B$81/$B$81)</f>
        <v>29244.120681443645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40733.387348110307</v>
      </c>
      <c r="S25" s="41">
        <f>IF($B$81=0,0,(SUM(($B$70*$H$70),($B$71*$H$71))+((1-$D$29)*$I$83))*Poor!$B$81/$B$81)</f>
        <v>40733.387348110307</v>
      </c>
      <c r="T25" s="41">
        <f>IF($B$81=0,0,(SUM(($B$70*$H$70),($B$71*$H$71))+((1-$D$29)*$I$83))*Poor!$B$81/$B$81)</f>
        <v>40733.387348110307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5.9523809523809521E-2</v>
      </c>
      <c r="C26" s="102">
        <f>IF([1]Summ!$K1064="",0,[1]Summ!$K1064)</f>
        <v>0</v>
      </c>
      <c r="D26" s="24">
        <f t="shared" si="0"/>
        <v>5.9523809523809521E-2</v>
      </c>
      <c r="E26" s="75">
        <f>Middle!E26</f>
        <v>1</v>
      </c>
      <c r="F26" s="22"/>
      <c r="H26" s="24">
        <f t="shared" si="1"/>
        <v>1</v>
      </c>
      <c r="I26" s="22">
        <f t="shared" si="2"/>
        <v>5.9523809523809521E-2</v>
      </c>
      <c r="J26" s="24">
        <f>IF(I$32&lt;=1+I131,I26,B26*H26+J$33*(I26-B26*H26))</f>
        <v>5.9523809523809521E-2</v>
      </c>
      <c r="K26" s="22">
        <f t="shared" si="4"/>
        <v>5.9523809523809521E-2</v>
      </c>
      <c r="L26" s="22">
        <f t="shared" si="5"/>
        <v>5.9523809523809521E-2</v>
      </c>
      <c r="M26" s="225">
        <f t="shared" si="6"/>
        <v>5.9523809523809521E-2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61194.587348110304</v>
      </c>
      <c r="S26" s="41">
        <f>IF($B$81=0,0,(SUM(($B$70*$H$70),($B$71*$H$71),($B$72*$H$72))+((1-$D$29)*$I$83))*Poor!$B$81/$B$81)</f>
        <v>61194.587348110304</v>
      </c>
      <c r="T26" s="41">
        <f>IF($B$81=0,0,(SUM(($B$70*$H$70),($B$71*$H$71),($B$72*$H$72))+((1-$D$29)*$I$83))*Poor!$B$81/$B$81)</f>
        <v>61194.587348110304</v>
      </c>
      <c r="U26" s="56"/>
      <c r="V26" s="56"/>
      <c r="W26" s="110"/>
      <c r="X26" s="118"/>
      <c r="Y26" s="183">
        <f t="shared" si="9"/>
        <v>0.23809523809523808</v>
      </c>
      <c r="Z26" s="156">
        <f>Poor!Z26</f>
        <v>0.25</v>
      </c>
      <c r="AA26" s="121">
        <f t="shared" si="16"/>
        <v>5.9523809523809521E-2</v>
      </c>
      <c r="AB26" s="156">
        <f>Poor!AB26</f>
        <v>0.25</v>
      </c>
      <c r="AC26" s="121">
        <f t="shared" si="7"/>
        <v>5.9523809523809521E-2</v>
      </c>
      <c r="AD26" s="156">
        <f>Poor!AD26</f>
        <v>0.25</v>
      </c>
      <c r="AE26" s="121">
        <f t="shared" si="8"/>
        <v>5.9523809523809521E-2</v>
      </c>
      <c r="AF26" s="122">
        <f t="shared" si="10"/>
        <v>0.25</v>
      </c>
      <c r="AG26" s="121">
        <f t="shared" si="11"/>
        <v>5.9523809523809521E-2</v>
      </c>
      <c r="AH26" s="123">
        <f t="shared" si="12"/>
        <v>1</v>
      </c>
      <c r="AI26" s="183">
        <f t="shared" si="13"/>
        <v>5.9523809523809521E-2</v>
      </c>
      <c r="AJ26" s="120">
        <f t="shared" si="14"/>
        <v>5.9523809523809521E-2</v>
      </c>
      <c r="AK26" s="119">
        <f t="shared" si="15"/>
        <v>5.9523809523809521E-2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2.651292403486924E-2</v>
      </c>
      <c r="C27" s="102">
        <f>IF([1]Summ!$K1065="",0,[1]Summ!$K1065)</f>
        <v>-2.651292403486924E-2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2.8902065818722886E-2</v>
      </c>
      <c r="K27" s="22">
        <f t="shared" si="4"/>
        <v>2.651292403486924E-2</v>
      </c>
      <c r="L27" s="22">
        <f t="shared" si="5"/>
        <v>2.651292403486924E-2</v>
      </c>
      <c r="M27" s="227">
        <f t="shared" si="6"/>
        <v>2.8902065818722886E-2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0.11560826327489154</v>
      </c>
      <c r="Z27" s="156">
        <f>Poor!Z27</f>
        <v>0.25</v>
      </c>
      <c r="AA27" s="121">
        <f t="shared" si="16"/>
        <v>2.8902065818722886E-2</v>
      </c>
      <c r="AB27" s="156">
        <f>Poor!AB27</f>
        <v>0.25</v>
      </c>
      <c r="AC27" s="121">
        <f t="shared" si="7"/>
        <v>2.8902065818722886E-2</v>
      </c>
      <c r="AD27" s="156">
        <f>Poor!AD27</f>
        <v>0.25</v>
      </c>
      <c r="AE27" s="121">
        <f t="shared" si="8"/>
        <v>2.8902065818722886E-2</v>
      </c>
      <c r="AF27" s="122">
        <f t="shared" si="10"/>
        <v>0.25</v>
      </c>
      <c r="AG27" s="121">
        <f t="shared" si="11"/>
        <v>2.8902065818722886E-2</v>
      </c>
      <c r="AH27" s="123">
        <f t="shared" si="12"/>
        <v>1</v>
      </c>
      <c r="AI27" s="183">
        <f t="shared" si="13"/>
        <v>2.8902065818722886E-2</v>
      </c>
      <c r="AJ27" s="120">
        <f t="shared" si="14"/>
        <v>2.8902065818722886E-2</v>
      </c>
      <c r="AK27" s="119">
        <f t="shared" si="15"/>
        <v>2.8902065818722886E-2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0.13530194271481941</v>
      </c>
      <c r="C28" s="102">
        <f>IF([1]Summ!$K1066="",0,[1]Summ!$K1066)</f>
        <v>-0.13530194271481941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0.14749431818994274</v>
      </c>
      <c r="K28" s="22">
        <f t="shared" si="4"/>
        <v>0.13530194271481941</v>
      </c>
      <c r="L28" s="22">
        <f t="shared" si="5"/>
        <v>0.13530194271481941</v>
      </c>
      <c r="M28" s="225">
        <f t="shared" si="6"/>
        <v>0.14749431818994274</v>
      </c>
      <c r="N28" s="230"/>
      <c r="O28" s="2"/>
      <c r="P28" s="22"/>
      <c r="U28" s="56"/>
      <c r="V28" s="56"/>
      <c r="W28" s="110"/>
      <c r="X28" s="118"/>
      <c r="Y28" s="183">
        <f t="shared" si="9"/>
        <v>0.58997727275977097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0.29498863637988548</v>
      </c>
      <c r="AF28" s="122">
        <f t="shared" si="10"/>
        <v>0.5</v>
      </c>
      <c r="AG28" s="121">
        <f t="shared" si="11"/>
        <v>0.29498863637988548</v>
      </c>
      <c r="AH28" s="123">
        <f t="shared" si="12"/>
        <v>1</v>
      </c>
      <c r="AI28" s="183">
        <f t="shared" si="13"/>
        <v>0.14749431818994274</v>
      </c>
      <c r="AJ28" s="120">
        <f t="shared" si="14"/>
        <v>0</v>
      </c>
      <c r="AK28" s="119">
        <f t="shared" si="15"/>
        <v>0.29498863637988548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0.40717183981942706</v>
      </c>
      <c r="C29" s="102">
        <f>IF([1]Summ!$K1067="",0,[1]Summ!$K1067)</f>
        <v>-0.18253506587742999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0.42362050283119795</v>
      </c>
      <c r="K29" s="22">
        <f t="shared" si="4"/>
        <v>0.40717183981942706</v>
      </c>
      <c r="L29" s="22">
        <f t="shared" si="5"/>
        <v>0.40717183981942706</v>
      </c>
      <c r="M29" s="175">
        <f t="shared" si="6"/>
        <v>0.42362050283119795</v>
      </c>
      <c r="N29" s="230"/>
      <c r="P29" s="22"/>
      <c r="V29" s="56"/>
      <c r="W29" s="110"/>
      <c r="X29" s="118"/>
      <c r="Y29" s="183">
        <f t="shared" si="9"/>
        <v>1.6944820113247918</v>
      </c>
      <c r="Z29" s="156">
        <f>Poor!Z29</f>
        <v>0.25</v>
      </c>
      <c r="AA29" s="121">
        <f t="shared" si="16"/>
        <v>0.42362050283119795</v>
      </c>
      <c r="AB29" s="156">
        <f>Poor!AB29</f>
        <v>0.25</v>
      </c>
      <c r="AC29" s="121">
        <f t="shared" si="7"/>
        <v>0.42362050283119795</v>
      </c>
      <c r="AD29" s="156">
        <f>Poor!AD29</f>
        <v>0.25</v>
      </c>
      <c r="AE29" s="121">
        <f t="shared" si="8"/>
        <v>0.42362050283119795</v>
      </c>
      <c r="AF29" s="122">
        <f t="shared" si="10"/>
        <v>0.25</v>
      </c>
      <c r="AG29" s="121">
        <f t="shared" si="11"/>
        <v>0.42362050283119795</v>
      </c>
      <c r="AH29" s="123">
        <f t="shared" si="12"/>
        <v>1</v>
      </c>
      <c r="AI29" s="183">
        <f t="shared" si="13"/>
        <v>0.42362050283119795</v>
      </c>
      <c r="AJ29" s="120">
        <f t="shared" si="14"/>
        <v>0.42362050283119795</v>
      </c>
      <c r="AK29" s="119">
        <f t="shared" si="15"/>
        <v>0.42362050283119795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0.59263033001245335</v>
      </c>
      <c r="C30" s="65"/>
      <c r="D30" s="24">
        <f>(D119-B124)</f>
        <v>7.3656923102645777</v>
      </c>
      <c r="E30" s="75">
        <f>Middle!E30</f>
        <v>1</v>
      </c>
      <c r="H30" s="96">
        <f>(E30*F$7/F$9)</f>
        <v>1</v>
      </c>
      <c r="I30" s="29">
        <f>IF(E30&gt;=1,I119-I124,MIN(I119-I124,B30*H30))</f>
        <v>3.2567116789818948</v>
      </c>
      <c r="J30" s="232">
        <f>IF(I$32&lt;=1,I30,1-SUM(J6:J29))</f>
        <v>5.919375577582664E-2</v>
      </c>
      <c r="K30" s="22">
        <f t="shared" si="4"/>
        <v>0.59263033001245335</v>
      </c>
      <c r="L30" s="22">
        <f>IF(L124=L119,0,IF(K30="",0,(L119-L124)/(B119-B124)*K30))</f>
        <v>0.31322908933463711</v>
      </c>
      <c r="M30" s="175">
        <f t="shared" si="6"/>
        <v>5.919375577582664E-2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0.23677502310330656</v>
      </c>
      <c r="Z30" s="122">
        <f>IF($Y30=0,0,AA30/($Y$30))</f>
        <v>1.2334341252215946</v>
      </c>
      <c r="AA30" s="187">
        <f>IF(AA79*4/$I$83+SUM(AA6:AA29)&lt;1,AA79*4/$I$83,1-SUM(AA6:AA29))</f>
        <v>0.29204639349574979</v>
      </c>
      <c r="AB30" s="122">
        <f>IF($Y30=0,0,AC30/($Y$30))</f>
        <v>1.1213811598911889</v>
      </c>
      <c r="AC30" s="187">
        <f>IF(AC79*4/$I$83+SUM(AC6:AC29)&lt;1,AC79*4/$I$83,1-SUM(AC6:AC29))</f>
        <v>0.26551505004084897</v>
      </c>
      <c r="AD30" s="122">
        <f>IF($Y30=0,0,AE30/($Y$30))</f>
        <v>-0.52342620634533432</v>
      </c>
      <c r="AE30" s="187">
        <f>IF(AE79*4/$I$83+SUM(AE6:AE29)&lt;1,AE79*4/$I$83,1-SUM(AE6:AE29))</f>
        <v>-0.12393425210029263</v>
      </c>
      <c r="AF30" s="122">
        <f>IF($Y30=0,0,AG30/($Y$30))</f>
        <v>-0.17749800148778622</v>
      </c>
      <c r="AG30" s="187">
        <f>IF(AG79*4/$I$83+SUM(AG6:AG29)&lt;1,AG79*4/$I$83,1-SUM(AG6:AG29))</f>
        <v>-4.2027093403061322E-2</v>
      </c>
      <c r="AH30" s="123">
        <f t="shared" si="12"/>
        <v>1.6538910772796629</v>
      </c>
      <c r="AI30" s="183">
        <f t="shared" si="13"/>
        <v>9.7900024508311201E-2</v>
      </c>
      <c r="AJ30" s="120">
        <f t="shared" si="14"/>
        <v>0.27878072176829938</v>
      </c>
      <c r="AK30" s="119">
        <f t="shared" si="15"/>
        <v>-8.2980672751676976E-2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-0.30515833275010307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1.6786143669646563</v>
      </c>
      <c r="C32" s="29">
        <f>SUM(C6:C31)</f>
        <v>0.4920562965136035</v>
      </c>
      <c r="D32" s="24">
        <f>SUM(D6:D30)</f>
        <v>8.9437326437303835</v>
      </c>
      <c r="E32" s="2"/>
      <c r="F32" s="2"/>
      <c r="H32" s="17"/>
      <c r="I32" s="22">
        <f>SUM(I6:I30)</f>
        <v>4.8159660611369919</v>
      </c>
      <c r="J32" s="17"/>
      <c r="L32" s="22">
        <f>SUM(L6:L30)</f>
        <v>1.3051583327501031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3.8451749250700615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-9.0112345990638235E-2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other: Sheep hides</v>
      </c>
      <c r="B37" s="104">
        <f>IF([1]Summ!$J1072="",0,[1]Summ!$J1072)</f>
        <v>15</v>
      </c>
      <c r="C37" s="104">
        <f>IF([1]Summ!$K1072="",0,[1]Summ!$K1072)</f>
        <v>0</v>
      </c>
      <c r="D37" s="38">
        <f t="shared" ref="D37:D64" si="25">B37+C37</f>
        <v>15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8.85</v>
      </c>
      <c r="J37" s="38">
        <f>J91*I$83</f>
        <v>8.85</v>
      </c>
      <c r="K37" s="40">
        <f t="shared" ref="K37:K52" si="28">(B37/B$65)</f>
        <v>1.5525418992245053E-4</v>
      </c>
      <c r="L37" s="22">
        <f t="shared" ref="L37:L52" si="29">(K37*H37)</f>
        <v>9.1599972054245813E-5</v>
      </c>
      <c r="M37" s="24">
        <f t="shared" ref="M37:M52" si="30">J37/B$65</f>
        <v>9.1599972054245813E-5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8.85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8.85</v>
      </c>
      <c r="AJ37" s="148">
        <f>(AA37+AC37)</f>
        <v>8.85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Other: cattle hides</v>
      </c>
      <c r="B38" s="104">
        <f>IF([1]Summ!$J1073="",0,[1]Summ!$J1073)</f>
        <v>50</v>
      </c>
      <c r="C38" s="104">
        <f>IF([1]Summ!$K1073="",0,[1]Summ!$K1073)</f>
        <v>0</v>
      </c>
      <c r="D38" s="38">
        <f t="shared" si="25"/>
        <v>50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29.5</v>
      </c>
      <c r="J38" s="38">
        <f t="shared" ref="J38:J64" si="33">J92*I$83</f>
        <v>29.500000000000004</v>
      </c>
      <c r="K38" s="40">
        <f t="shared" si="28"/>
        <v>5.1751396640816849E-4</v>
      </c>
      <c r="L38" s="22">
        <f t="shared" si="29"/>
        <v>3.0533324018081938E-4</v>
      </c>
      <c r="M38" s="24">
        <f t="shared" si="30"/>
        <v>3.0533324018081943E-4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29.500000000000004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0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>
        <f t="shared" si="35"/>
        <v>29.500000000000004</v>
      </c>
      <c r="AJ38" s="148">
        <f t="shared" ref="AJ38:AJ64" si="36">(AA38+AC38)</f>
        <v>29.500000000000004</v>
      </c>
      <c r="AK38" s="147">
        <f t="shared" ref="AK38:AK64" si="37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f>IF([1]Summ!$J1074="",0,[1]Summ!$J1074)</f>
        <v>20000</v>
      </c>
      <c r="C39" s="104">
        <f>IF([1]Summ!$K1074="",0,[1]Summ!$K1074)</f>
        <v>-7500</v>
      </c>
      <c r="D39" s="38">
        <f t="shared" si="25"/>
        <v>12500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11800</v>
      </c>
      <c r="J39" s="38">
        <f t="shared" si="33"/>
        <v>19517.995409613719</v>
      </c>
      <c r="K39" s="40">
        <f t="shared" si="28"/>
        <v>0.20700558656326737</v>
      </c>
      <c r="L39" s="22">
        <f t="shared" si="29"/>
        <v>0.19541327371572439</v>
      </c>
      <c r="M39" s="24">
        <f t="shared" si="30"/>
        <v>0.20201670441531239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19517.995409613719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19517.995409613719</v>
      </c>
      <c r="AJ39" s="148">
        <f t="shared" si="36"/>
        <v>19517.995409613719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f>IF([1]Summ!$J1075="",0,[1]Summ!$J1075)</f>
        <v>7500</v>
      </c>
      <c r="C40" s="104">
        <f>IF([1]Summ!$K1075="",0,[1]Summ!$K1075)</f>
        <v>2250</v>
      </c>
      <c r="D40" s="38">
        <f t="shared" si="25"/>
        <v>9750</v>
      </c>
      <c r="E40" s="75">
        <f>Middle!E40</f>
        <v>0.8</v>
      </c>
      <c r="F40" s="75">
        <f>Middle!F40</f>
        <v>1.18</v>
      </c>
      <c r="G40" s="22">
        <f t="shared" si="32"/>
        <v>1.65</v>
      </c>
      <c r="H40" s="24">
        <f t="shared" si="26"/>
        <v>0.94399999999999995</v>
      </c>
      <c r="I40" s="39">
        <f t="shared" si="27"/>
        <v>9204</v>
      </c>
      <c r="J40" s="38">
        <f t="shared" si="33"/>
        <v>6888.6013771158841</v>
      </c>
      <c r="K40" s="40">
        <f t="shared" si="28"/>
        <v>7.762709496122526E-2</v>
      </c>
      <c r="L40" s="22">
        <f t="shared" si="29"/>
        <v>7.3279977643396638E-2</v>
      </c>
      <c r="M40" s="24">
        <f t="shared" si="30"/>
        <v>7.1298948433520248E-2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2.0199680871883259</v>
      </c>
      <c r="AA40" s="147">
        <f>$J40*Z40</f>
        <v>13914.75494713564</v>
      </c>
      <c r="AB40" s="122">
        <f>AB9</f>
        <v>-1.0199680871883261</v>
      </c>
      <c r="AC40" s="147">
        <f>$J40*AB40</f>
        <v>-7026.1535700197574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0.99999999999999978</v>
      </c>
      <c r="AI40" s="112">
        <f t="shared" si="35"/>
        <v>6888.6013771158823</v>
      </c>
      <c r="AJ40" s="148">
        <f t="shared" si="36"/>
        <v>6888.6013771158823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13609.75</v>
      </c>
      <c r="C41" s="104">
        <f>IF([1]Summ!$K1076="",0,[1]Summ!$K1076)</f>
        <v>-13609.75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22639.974820291132</v>
      </c>
      <c r="K41" s="40">
        <f t="shared" si="28"/>
        <v>0.14086471408647142</v>
      </c>
      <c r="L41" s="22">
        <f t="shared" si="29"/>
        <v>0.21495955369595537</v>
      </c>
      <c r="M41" s="24">
        <f t="shared" si="30"/>
        <v>0.23433006337259848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22639.974820291132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22639.974820291132</v>
      </c>
      <c r="AJ41" s="148">
        <f t="shared" si="36"/>
        <v>22639.974820291132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Onions: kg produced</v>
      </c>
      <c r="B42" s="104">
        <f>IF([1]Summ!$J1077="",0,[1]Summ!$J1077)</f>
        <v>420</v>
      </c>
      <c r="C42" s="104">
        <f>IF([1]Summ!$K1077="",0,[1]Summ!$K1077)</f>
        <v>0</v>
      </c>
      <c r="D42" s="38">
        <f t="shared" si="25"/>
        <v>420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588</v>
      </c>
      <c r="J42" s="38">
        <f t="shared" si="33"/>
        <v>588</v>
      </c>
      <c r="K42" s="40">
        <f t="shared" si="28"/>
        <v>4.3471173178286152E-3</v>
      </c>
      <c r="L42" s="22">
        <f t="shared" si="29"/>
        <v>6.085964244960061E-3</v>
      </c>
      <c r="M42" s="24">
        <f t="shared" si="30"/>
        <v>6.085964244960061E-3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147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294</v>
      </c>
      <c r="AF42" s="122">
        <f t="shared" si="31"/>
        <v>0.25</v>
      </c>
      <c r="AG42" s="147">
        <f t="shared" si="34"/>
        <v>147</v>
      </c>
      <c r="AH42" s="123">
        <f t="shared" si="35"/>
        <v>1</v>
      </c>
      <c r="AI42" s="112">
        <f t="shared" si="35"/>
        <v>588</v>
      </c>
      <c r="AJ42" s="148">
        <f t="shared" si="36"/>
        <v>147</v>
      </c>
      <c r="AK42" s="147">
        <f t="shared" si="37"/>
        <v>441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Beans: kg produced</v>
      </c>
      <c r="B43" s="104">
        <f>IF([1]Summ!$J1078="",0,[1]Summ!$J1078)</f>
        <v>20</v>
      </c>
      <c r="C43" s="104">
        <f>IF([1]Summ!$K1078="",0,[1]Summ!$K1078)</f>
        <v>80</v>
      </c>
      <c r="D43" s="38">
        <f t="shared" si="25"/>
        <v>100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140</v>
      </c>
      <c r="J43" s="38">
        <f t="shared" si="33"/>
        <v>17.907417249048518</v>
      </c>
      <c r="K43" s="40">
        <f t="shared" si="28"/>
        <v>2.0700558656326737E-4</v>
      </c>
      <c r="L43" s="22">
        <f t="shared" si="29"/>
        <v>2.8980782118857428E-4</v>
      </c>
      <c r="M43" s="24">
        <f t="shared" si="30"/>
        <v>1.85346770573623E-4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4.4768543122621294</v>
      </c>
      <c r="AB43" s="156">
        <f>Poor!AB43</f>
        <v>0.25</v>
      </c>
      <c r="AC43" s="147">
        <f t="shared" si="39"/>
        <v>4.4768543122621294</v>
      </c>
      <c r="AD43" s="156">
        <f>Poor!AD43</f>
        <v>0.25</v>
      </c>
      <c r="AE43" s="147">
        <f t="shared" si="40"/>
        <v>4.4768543122621294</v>
      </c>
      <c r="AF43" s="122">
        <f t="shared" si="31"/>
        <v>0.25</v>
      </c>
      <c r="AG43" s="147">
        <f t="shared" si="34"/>
        <v>4.4768543122621294</v>
      </c>
      <c r="AH43" s="123">
        <f t="shared" si="35"/>
        <v>1</v>
      </c>
      <c r="AI43" s="112">
        <f t="shared" si="35"/>
        <v>17.907417249048518</v>
      </c>
      <c r="AJ43" s="148">
        <f t="shared" si="36"/>
        <v>8.9537086245242588</v>
      </c>
      <c r="AK43" s="147">
        <f t="shared" si="37"/>
        <v>8.9537086245242588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 xml:space="preserve">Other root crops: Beetroot </v>
      </c>
      <c r="B44" s="104">
        <f>IF([1]Summ!$J1079="",0,[1]Summ!$J1079)</f>
        <v>126</v>
      </c>
      <c r="C44" s="104">
        <f>IF([1]Summ!$K1079="",0,[1]Summ!$K1079)</f>
        <v>-126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192.29581783274858</v>
      </c>
      <c r="K44" s="40">
        <f t="shared" si="28"/>
        <v>1.3041351953485844E-3</v>
      </c>
      <c r="L44" s="22">
        <f t="shared" si="29"/>
        <v>1.825789273488018E-3</v>
      </c>
      <c r="M44" s="24">
        <f t="shared" si="30"/>
        <v>1.9903154282065664E-3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48.073954458187146</v>
      </c>
      <c r="AB44" s="156">
        <f>Poor!AB44</f>
        <v>0.25</v>
      </c>
      <c r="AC44" s="147">
        <f t="shared" si="39"/>
        <v>48.073954458187146</v>
      </c>
      <c r="AD44" s="156">
        <f>Poor!AD44</f>
        <v>0.25</v>
      </c>
      <c r="AE44" s="147">
        <f t="shared" si="40"/>
        <v>48.073954458187146</v>
      </c>
      <c r="AF44" s="122">
        <f t="shared" si="31"/>
        <v>0.25</v>
      </c>
      <c r="AG44" s="147">
        <f t="shared" si="34"/>
        <v>48.073954458187146</v>
      </c>
      <c r="AH44" s="123">
        <f t="shared" si="35"/>
        <v>1</v>
      </c>
      <c r="AI44" s="112">
        <f t="shared" si="35"/>
        <v>192.29581783274858</v>
      </c>
      <c r="AJ44" s="148">
        <f t="shared" si="36"/>
        <v>96.147908916374291</v>
      </c>
      <c r="AK44" s="147">
        <f t="shared" si="37"/>
        <v>96.147908916374291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 xml:space="preserve">Tomato: </v>
      </c>
      <c r="B45" s="104">
        <f>IF([1]Summ!$J1080="",0,[1]Summ!$J1080)</f>
        <v>50</v>
      </c>
      <c r="C45" s="104">
        <f>IF([1]Summ!$K1080="",0,[1]Summ!$K1080)</f>
        <v>-50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76.30786421934468</v>
      </c>
      <c r="K45" s="40">
        <f t="shared" si="28"/>
        <v>5.1751396640816849E-4</v>
      </c>
      <c r="L45" s="22">
        <f t="shared" si="29"/>
        <v>7.2451955297143586E-4</v>
      </c>
      <c r="M45" s="24">
        <f t="shared" si="30"/>
        <v>7.8980770960578039E-4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19.07696605483617</v>
      </c>
      <c r="AB45" s="156">
        <f>Poor!AB45</f>
        <v>0.25</v>
      </c>
      <c r="AC45" s="147">
        <f t="shared" si="39"/>
        <v>19.07696605483617</v>
      </c>
      <c r="AD45" s="156">
        <f>Poor!AD45</f>
        <v>0.25</v>
      </c>
      <c r="AE45" s="147">
        <f t="shared" si="40"/>
        <v>19.07696605483617</v>
      </c>
      <c r="AF45" s="122">
        <f t="shared" si="31"/>
        <v>0.25</v>
      </c>
      <c r="AG45" s="147">
        <f t="shared" si="34"/>
        <v>19.07696605483617</v>
      </c>
      <c r="AH45" s="123">
        <f t="shared" si="35"/>
        <v>1</v>
      </c>
      <c r="AI45" s="112">
        <f t="shared" si="35"/>
        <v>76.30786421934468</v>
      </c>
      <c r="AJ45" s="148">
        <f t="shared" si="36"/>
        <v>38.15393210967234</v>
      </c>
      <c r="AK45" s="147">
        <f t="shared" si="37"/>
        <v>38.15393210967234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Leafy green vegetables (spinach etc)</v>
      </c>
      <c r="B46" s="104">
        <f>IF([1]Summ!$J1081="",0,[1]Summ!$J1081)</f>
        <v>231</v>
      </c>
      <c r="C46" s="104">
        <f>IF([1]Summ!$K1081="",0,[1]Summ!$K1081)</f>
        <v>-231</v>
      </c>
      <c r="D46" s="38">
        <f t="shared" si="25"/>
        <v>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0</v>
      </c>
      <c r="J46" s="38">
        <f t="shared" si="33"/>
        <v>352.54233269337237</v>
      </c>
      <c r="K46" s="40">
        <f t="shared" si="28"/>
        <v>2.390914524805738E-3</v>
      </c>
      <c r="L46" s="22">
        <f t="shared" si="29"/>
        <v>3.3472803347280328E-3</v>
      </c>
      <c r="M46" s="24">
        <f t="shared" si="30"/>
        <v>3.6489116183787049E-3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88.135583173343093</v>
      </c>
      <c r="AB46" s="156">
        <f>Poor!AB46</f>
        <v>0.25</v>
      </c>
      <c r="AC46" s="147">
        <f t="shared" si="39"/>
        <v>88.135583173343093</v>
      </c>
      <c r="AD46" s="156">
        <f>Poor!AD46</f>
        <v>0.25</v>
      </c>
      <c r="AE46" s="147">
        <f t="shared" si="40"/>
        <v>88.135583173343093</v>
      </c>
      <c r="AF46" s="122">
        <f t="shared" si="31"/>
        <v>0.25</v>
      </c>
      <c r="AG46" s="147">
        <f t="shared" si="34"/>
        <v>88.135583173343093</v>
      </c>
      <c r="AH46" s="123">
        <f t="shared" si="35"/>
        <v>1</v>
      </c>
      <c r="AI46" s="112">
        <f t="shared" si="35"/>
        <v>352.54233269337237</v>
      </c>
      <c r="AJ46" s="148">
        <f t="shared" si="36"/>
        <v>176.27116634668619</v>
      </c>
      <c r="AK46" s="147">
        <f t="shared" si="37"/>
        <v>176.27116634668619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crop: pumpkin</v>
      </c>
      <c r="B47" s="104">
        <f>IF([1]Summ!$J1082="",0,[1]Summ!$J1082)</f>
        <v>625</v>
      </c>
      <c r="C47" s="104">
        <f>IF([1]Summ!$K1082="",0,[1]Summ!$K1082)</f>
        <v>-625</v>
      </c>
      <c r="D47" s="38">
        <f t="shared" si="25"/>
        <v>0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0</v>
      </c>
      <c r="J47" s="38">
        <f t="shared" si="33"/>
        <v>953.84830274180831</v>
      </c>
      <c r="K47" s="40">
        <f t="shared" si="28"/>
        <v>6.4689245801021053E-3</v>
      </c>
      <c r="L47" s="22">
        <f t="shared" si="29"/>
        <v>9.0564944121429465E-3</v>
      </c>
      <c r="M47" s="24">
        <f t="shared" si="30"/>
        <v>9.8725963700722532E-3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238.46207568545208</v>
      </c>
      <c r="AB47" s="156">
        <f>Poor!AB47</f>
        <v>0.25</v>
      </c>
      <c r="AC47" s="147">
        <f t="shared" si="39"/>
        <v>238.46207568545208</v>
      </c>
      <c r="AD47" s="156">
        <f>Poor!AD47</f>
        <v>0.25</v>
      </c>
      <c r="AE47" s="147">
        <f t="shared" si="40"/>
        <v>238.46207568545208</v>
      </c>
      <c r="AF47" s="122">
        <f t="shared" si="31"/>
        <v>0.25</v>
      </c>
      <c r="AG47" s="147">
        <f t="shared" si="34"/>
        <v>238.46207568545208</v>
      </c>
      <c r="AH47" s="123">
        <f t="shared" si="35"/>
        <v>1</v>
      </c>
      <c r="AI47" s="112">
        <f t="shared" si="35"/>
        <v>953.84830274180831</v>
      </c>
      <c r="AJ47" s="148">
        <f t="shared" si="36"/>
        <v>476.92415137090416</v>
      </c>
      <c r="AK47" s="147">
        <f t="shared" si="37"/>
        <v>476.92415137090416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Other crop: Carrots</v>
      </c>
      <c r="B48" s="104">
        <f>IF([1]Summ!$J1083="",0,[1]Summ!$J1083)</f>
        <v>245</v>
      </c>
      <c r="C48" s="104">
        <f>IF([1]Summ!$K1083="",0,[1]Summ!$K1083)</f>
        <v>0</v>
      </c>
      <c r="D48" s="38">
        <f t="shared" si="25"/>
        <v>245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343</v>
      </c>
      <c r="J48" s="38">
        <f t="shared" si="33"/>
        <v>343</v>
      </c>
      <c r="K48" s="40">
        <f t="shared" si="28"/>
        <v>2.5358184354000255E-3</v>
      </c>
      <c r="L48" s="22">
        <f t="shared" si="29"/>
        <v>3.5501458095600355E-3</v>
      </c>
      <c r="M48" s="24">
        <f t="shared" si="30"/>
        <v>3.5501458095600355E-3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85.75</v>
      </c>
      <c r="AB48" s="156">
        <f>Poor!AB48</f>
        <v>0.25</v>
      </c>
      <c r="AC48" s="147">
        <f t="shared" si="39"/>
        <v>85.75</v>
      </c>
      <c r="AD48" s="156">
        <f>Poor!AD48</f>
        <v>0.25</v>
      </c>
      <c r="AE48" s="147">
        <f t="shared" si="40"/>
        <v>85.75</v>
      </c>
      <c r="AF48" s="122">
        <f t="shared" si="31"/>
        <v>0.25</v>
      </c>
      <c r="AG48" s="147">
        <f t="shared" si="34"/>
        <v>85.75</v>
      </c>
      <c r="AH48" s="123">
        <f t="shared" si="35"/>
        <v>1</v>
      </c>
      <c r="AI48" s="112">
        <f t="shared" si="35"/>
        <v>343</v>
      </c>
      <c r="AJ48" s="148">
        <f t="shared" si="36"/>
        <v>171.5</v>
      </c>
      <c r="AK48" s="147">
        <f t="shared" si="37"/>
        <v>171.5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WILD FOODS -- see worksheet Data 3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Small business -- see Data2</v>
      </c>
      <c r="B50" s="104">
        <f>IF([1]Summ!$J1085="",0,[1]Summ!$J1085)</f>
        <v>32004</v>
      </c>
      <c r="C50" s="104">
        <f>IF([1]Summ!$K1085="",0,[1]Summ!$K1085)</f>
        <v>0</v>
      </c>
      <c r="D50" s="38">
        <f t="shared" si="25"/>
        <v>32004</v>
      </c>
      <c r="E50" s="75">
        <f>Middle!E50</f>
        <v>0.8</v>
      </c>
      <c r="F50" s="75">
        <f>Middle!F50</f>
        <v>1.18</v>
      </c>
      <c r="G50" s="22">
        <f t="shared" si="32"/>
        <v>1.65</v>
      </c>
      <c r="H50" s="24">
        <f t="shared" si="26"/>
        <v>0.94399999999999995</v>
      </c>
      <c r="I50" s="39">
        <f t="shared" si="27"/>
        <v>30211.775999999998</v>
      </c>
      <c r="J50" s="38">
        <f t="shared" si="33"/>
        <v>30211.775999999998</v>
      </c>
      <c r="K50" s="40">
        <f t="shared" si="28"/>
        <v>0.33125033961854045</v>
      </c>
      <c r="L50" s="22">
        <f t="shared" si="29"/>
        <v>0.31270032059990216</v>
      </c>
      <c r="M50" s="24">
        <f t="shared" si="30"/>
        <v>0.31270032059990216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7552.9439999999995</v>
      </c>
      <c r="AB50" s="156">
        <f>Poor!AB55</f>
        <v>0.25</v>
      </c>
      <c r="AC50" s="147">
        <f t="shared" si="39"/>
        <v>7552.9439999999995</v>
      </c>
      <c r="AD50" s="156">
        <f>Poor!AD55</f>
        <v>0.25</v>
      </c>
      <c r="AE50" s="147">
        <f t="shared" si="40"/>
        <v>7552.9439999999995</v>
      </c>
      <c r="AF50" s="122">
        <f t="shared" si="31"/>
        <v>0.25</v>
      </c>
      <c r="AG50" s="147">
        <f t="shared" si="34"/>
        <v>7552.9439999999995</v>
      </c>
      <c r="AH50" s="123">
        <f t="shared" si="35"/>
        <v>1</v>
      </c>
      <c r="AI50" s="112">
        <f t="shared" si="35"/>
        <v>30211.775999999998</v>
      </c>
      <c r="AJ50" s="148">
        <f t="shared" si="36"/>
        <v>15105.887999999999</v>
      </c>
      <c r="AK50" s="147">
        <f t="shared" si="37"/>
        <v>15105.887999999999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Social development -- see Data2</v>
      </c>
      <c r="B51" s="104">
        <f>IF([1]Summ!$J1086="",0,[1]Summ!$J1086)</f>
        <v>13920</v>
      </c>
      <c r="C51" s="104">
        <f>IF([1]Summ!$K1086="",0,[1]Summ!$K1086)</f>
        <v>0</v>
      </c>
      <c r="D51" s="38">
        <f t="shared" si="25"/>
        <v>13920</v>
      </c>
      <c r="E51" s="75">
        <f>Middle!E51</f>
        <v>0</v>
      </c>
      <c r="F51" s="75">
        <f>Middle!F51</f>
        <v>1.18</v>
      </c>
      <c r="G51" s="22">
        <f t="shared" si="32"/>
        <v>1.65</v>
      </c>
      <c r="H51" s="24">
        <f t="shared" si="26"/>
        <v>0</v>
      </c>
      <c r="I51" s="39">
        <f t="shared" si="27"/>
        <v>0</v>
      </c>
      <c r="J51" s="38">
        <f t="shared" si="33"/>
        <v>0</v>
      </c>
      <c r="K51" s="40">
        <f t="shared" si="28"/>
        <v>0.14407588824803411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Public works -- see Data2</v>
      </c>
      <c r="B52" s="104">
        <f>IF([1]Summ!$J1087="",0,[1]Summ!$J1087)</f>
        <v>7800</v>
      </c>
      <c r="C52" s="104">
        <f>IF([1]Summ!$K1087="",0,[1]Summ!$K1087)</f>
        <v>0</v>
      </c>
      <c r="D52" s="38">
        <f t="shared" si="25"/>
        <v>7800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9204</v>
      </c>
      <c r="J52" s="38">
        <f t="shared" si="33"/>
        <v>9204</v>
      </c>
      <c r="K52" s="40">
        <f t="shared" si="28"/>
        <v>8.0732178759674283E-2</v>
      </c>
      <c r="L52" s="22">
        <f t="shared" si="29"/>
        <v>9.5263970936415643E-2</v>
      </c>
      <c r="M52" s="24">
        <f t="shared" si="30"/>
        <v>9.5263970936415643E-2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2301</v>
      </c>
      <c r="AB52" s="156">
        <f>Poor!AB57</f>
        <v>0.25</v>
      </c>
      <c r="AC52" s="147">
        <f t="shared" si="39"/>
        <v>2301</v>
      </c>
      <c r="AD52" s="156">
        <f>Poor!AD57</f>
        <v>0.25</v>
      </c>
      <c r="AE52" s="147">
        <f t="shared" si="40"/>
        <v>2301</v>
      </c>
      <c r="AF52" s="122">
        <f t="shared" si="31"/>
        <v>0.25</v>
      </c>
      <c r="AG52" s="147">
        <f t="shared" si="34"/>
        <v>2301</v>
      </c>
      <c r="AH52" s="123">
        <f t="shared" si="35"/>
        <v>1</v>
      </c>
      <c r="AI52" s="112">
        <f t="shared" si="35"/>
        <v>9204</v>
      </c>
      <c r="AJ52" s="148">
        <f t="shared" si="36"/>
        <v>4602</v>
      </c>
      <c r="AK52" s="147">
        <f t="shared" si="37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Remittances: no. times per year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1.1100000000000001</v>
      </c>
      <c r="G53" s="22">
        <f t="shared" si="32"/>
        <v>1.65</v>
      </c>
      <c r="H53" s="24">
        <f t="shared" ref="H53:H64" si="41">(E53*F53)</f>
        <v>1.1100000000000001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96615.75</v>
      </c>
      <c r="C65" s="39">
        <f>SUM(C37:C64)</f>
        <v>-19811.75</v>
      </c>
      <c r="D65" s="42">
        <f>SUM(D37:D64)</f>
        <v>76804</v>
      </c>
      <c r="E65" s="32"/>
      <c r="F65" s="32"/>
      <c r="G65" s="32"/>
      <c r="H65" s="31"/>
      <c r="I65" s="39">
        <f>SUM(I37:I64)</f>
        <v>61529.125999999997</v>
      </c>
      <c r="J65" s="39">
        <f>SUM(J37:J64)</f>
        <v>91024.599341757057</v>
      </c>
      <c r="K65" s="40">
        <f>SUM(K37:K64)</f>
        <v>1</v>
      </c>
      <c r="L65" s="22">
        <f>SUM(L37:L64)</f>
        <v>0.91689403125266833</v>
      </c>
      <c r="M65" s="24">
        <f>SUM(M37:M64)</f>
        <v>0.94213002892134101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66557.644610724572</v>
      </c>
      <c r="AB65" s="137"/>
      <c r="AC65" s="153">
        <f>SUM(AC37:AC64)</f>
        <v>3350.1158636643222</v>
      </c>
      <c r="AD65" s="137"/>
      <c r="AE65" s="153">
        <f>SUM(AE37:AE64)</f>
        <v>10631.919433684081</v>
      </c>
      <c r="AF65" s="137"/>
      <c r="AG65" s="153">
        <f>SUM(AG37:AG64)</f>
        <v>10484.919433684081</v>
      </c>
      <c r="AH65" s="137"/>
      <c r="AI65" s="153">
        <f>SUM(AI37:AI64)</f>
        <v>91024.599341757057</v>
      </c>
      <c r="AJ65" s="153">
        <f>SUM(AJ37:AJ64)</f>
        <v>69907.760474388895</v>
      </c>
      <c r="AK65" s="153">
        <f>SUM(AK37:AK64)</f>
        <v>21116.838867368162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8199.5490989693317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11479.368738557065</v>
      </c>
      <c r="J70" s="51">
        <f>J124*I$83</f>
        <v>11479.368738557065</v>
      </c>
      <c r="K70" s="40">
        <f>B70/B$76</f>
        <v>8.4867623539322853E-2</v>
      </c>
      <c r="L70" s="22">
        <f>(L124*G$37*F$9/F$7)/B$130</f>
        <v>0.11881467295505201</v>
      </c>
      <c r="M70" s="24">
        <f>J70/B$76</f>
        <v>0.11881467295505199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2869.8421846392662</v>
      </c>
      <c r="AB70" s="156">
        <f>Poor!AB70</f>
        <v>0.25</v>
      </c>
      <c r="AC70" s="147">
        <f>$J70*AB70</f>
        <v>2869.8421846392662</v>
      </c>
      <c r="AD70" s="156">
        <f>Poor!AD70</f>
        <v>0.25</v>
      </c>
      <c r="AE70" s="147">
        <f>$J70*AD70</f>
        <v>2869.8421846392662</v>
      </c>
      <c r="AF70" s="156">
        <f>Poor!AF70</f>
        <v>0.25</v>
      </c>
      <c r="AG70" s="147">
        <f>$J70*AF70</f>
        <v>2869.8421846392662</v>
      </c>
      <c r="AH70" s="155">
        <f>SUM(Z70,AB70,AD70,AF70)</f>
        <v>1</v>
      </c>
      <c r="AI70" s="147">
        <f>SUM(AA70,AC70,AE70,AG70)</f>
        <v>11479.368738557065</v>
      </c>
      <c r="AJ70" s="148">
        <f>(AA70+AC70)</f>
        <v>5739.6843692785324</v>
      </c>
      <c r="AK70" s="147">
        <f>(AE70+AG70)</f>
        <v>5739.6843692785324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7789.3333333333339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9191.4133333333339</v>
      </c>
      <c r="J71" s="51">
        <f t="shared" ref="J71:J72" si="49">J125*I$83</f>
        <v>9191.4133333333339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13872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16368.960000000001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1620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1911.6000000000001</v>
      </c>
      <c r="K73" s="40">
        <f>B73/B$76</f>
        <v>1.6767452511624658E-2</v>
      </c>
      <c r="L73" s="22">
        <f>(L127*G$37*F$9/F$7)/B$130</f>
        <v>1.97855939637171E-2</v>
      </c>
      <c r="M73" s="24">
        <f>J73/B$76</f>
        <v>1.9785593963717096E-2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172.04399999999998</v>
      </c>
      <c r="AB73" s="156">
        <f>Poor!AB73</f>
        <v>0.09</v>
      </c>
      <c r="AC73" s="147">
        <f>$H$73*$B$73*AB73</f>
        <v>172.04399999999998</v>
      </c>
      <c r="AD73" s="156">
        <f>Poor!AD73</f>
        <v>0.23</v>
      </c>
      <c r="AE73" s="147">
        <f>$H$73*$B$73*AD73</f>
        <v>439.66800000000001</v>
      </c>
      <c r="AF73" s="156">
        <f>Poor!AF73</f>
        <v>0.59</v>
      </c>
      <c r="AG73" s="147">
        <f>$H$73*$B$73*AF73</f>
        <v>1127.8439999999998</v>
      </c>
      <c r="AH73" s="155">
        <f>SUM(Z73,AB73,AD73,AF73)</f>
        <v>1</v>
      </c>
      <c r="AI73" s="147">
        <f>SUM(AA73,AC73,AE73,AG73)</f>
        <v>1911.6</v>
      </c>
      <c r="AJ73" s="148">
        <f>(AA73+AC73)</f>
        <v>344.08799999999997</v>
      </c>
      <c r="AK73" s="147">
        <f>(AE73+AG73)</f>
        <v>1567.5119999999997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5519.7904915390836</v>
      </c>
      <c r="C74" s="39"/>
      <c r="D74" s="38"/>
      <c r="E74" s="32"/>
      <c r="F74" s="32"/>
      <c r="G74" s="32"/>
      <c r="H74" s="31"/>
      <c r="I74" s="39">
        <f>I128*I$83</f>
        <v>50049.757261442923</v>
      </c>
      <c r="J74" s="51">
        <f>J128*I$83</f>
        <v>909.70076568136028</v>
      </c>
      <c r="K74" s="40">
        <f>B74/B$76</f>
        <v>5.7131373420369697E-2</v>
      </c>
      <c r="L74" s="22">
        <f>(L128*G$37*F$9/F$7)/B$130</f>
        <v>4.9823797092976477E-2</v>
      </c>
      <c r="M74" s="24">
        <f>J74/B$76</f>
        <v>9.4156570298461716E-3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1122.0559681316035</v>
      </c>
      <c r="AB74" s="156"/>
      <c r="AC74" s="147">
        <f>AC30*$I$83/4</f>
        <v>1020.1212997736665</v>
      </c>
      <c r="AD74" s="156"/>
      <c r="AE74" s="147">
        <f>AE30*$I$83/4</f>
        <v>-476.1612206900403</v>
      </c>
      <c r="AF74" s="156"/>
      <c r="AG74" s="147">
        <f>AG30*$I$83/4</f>
        <v>-161.47006786035035</v>
      </c>
      <c r="AH74" s="155"/>
      <c r="AI74" s="147">
        <f>SUM(AA74,AC74,AE74,AG74)</f>
        <v>1504.5459793548794</v>
      </c>
      <c r="AJ74" s="148">
        <f>(AA74+AC74)</f>
        <v>2142.1772679052701</v>
      </c>
      <c r="AK74" s="147">
        <f>(AE74+AG74)</f>
        <v>-637.63128855039065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59615.077076158246</v>
      </c>
      <c r="C75" s="39"/>
      <c r="D75" s="38"/>
      <c r="E75" s="32"/>
      <c r="F75" s="32"/>
      <c r="G75" s="32"/>
      <c r="H75" s="31"/>
      <c r="I75" s="47"/>
      <c r="J75" s="51">
        <f>J129*I$83</f>
        <v>51163.556504185282</v>
      </c>
      <c r="K75" s="40">
        <f>B75/B$76</f>
        <v>0.61703269990822662</v>
      </c>
      <c r="L75" s="22">
        <f>(L129*G$37*F$9/F$7)/B$130</f>
        <v>0.46391296350878447</v>
      </c>
      <c r="M75" s="24">
        <f>J75/B$76</f>
        <v>0.52955710124058741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62565.746457953705</v>
      </c>
      <c r="AB75" s="158"/>
      <c r="AC75" s="149">
        <f>AA75+AC65-SUM(AC70,AC74)</f>
        <v>62025.898837205095</v>
      </c>
      <c r="AD75" s="158"/>
      <c r="AE75" s="149">
        <f>AC75+AE65-SUM(AE70,AE74)</f>
        <v>70264.137306939941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78040.684623845125</v>
      </c>
      <c r="AJ75" s="151">
        <f>AJ76-SUM(AJ70,AJ74)</f>
        <v>62025.898837205095</v>
      </c>
      <c r="AK75" s="149">
        <f>AJ75+AK76-SUM(AK70,AK74)</f>
        <v>78040.684623845111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96615.75</v>
      </c>
      <c r="C76" s="39"/>
      <c r="D76" s="38"/>
      <c r="E76" s="32"/>
      <c r="F76" s="32"/>
      <c r="G76" s="32"/>
      <c r="H76" s="31"/>
      <c r="I76" s="39">
        <f>I130*I$83</f>
        <v>61529.125999999989</v>
      </c>
      <c r="J76" s="51">
        <f>J130*I$83</f>
        <v>91024.599341757043</v>
      </c>
      <c r="K76" s="40">
        <f>SUM(K70:K75)</f>
        <v>0.77579914937954386</v>
      </c>
      <c r="L76" s="22">
        <f>SUM(L70:L75)</f>
        <v>0.65233702752053002</v>
      </c>
      <c r="M76" s="24">
        <f>SUM(M70:M75)</f>
        <v>0.6775730251892027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66557.644610724572</v>
      </c>
      <c r="AB76" s="137"/>
      <c r="AC76" s="153">
        <f>AC65</f>
        <v>3350.1158636643222</v>
      </c>
      <c r="AD76" s="137"/>
      <c r="AE76" s="153">
        <f>AE65</f>
        <v>10631.919433684081</v>
      </c>
      <c r="AF76" s="137"/>
      <c r="AG76" s="153">
        <f>AG65</f>
        <v>10484.919433684081</v>
      </c>
      <c r="AH76" s="137"/>
      <c r="AI76" s="153">
        <f>SUM(AA76,AC76,AE76,AG76)</f>
        <v>91024.599341757072</v>
      </c>
      <c r="AJ76" s="154">
        <f>SUM(AA76,AC76)</f>
        <v>69907.760474388895</v>
      </c>
      <c r="AK76" s="154">
        <f>SUM(AE76,AG76)</f>
        <v>21116.838867368162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62565.746457953705</v>
      </c>
      <c r="AD78" s="112"/>
      <c r="AE78" s="112">
        <f>AC75</f>
        <v>62025.898837205095</v>
      </c>
      <c r="AF78" s="112"/>
      <c r="AG78" s="112">
        <f>AE75</f>
        <v>70264.137306939941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63687.802426085305</v>
      </c>
      <c r="AB79" s="112"/>
      <c r="AC79" s="112">
        <f>AA79-AA74+AC65-AC70</f>
        <v>63046.020136978761</v>
      </c>
      <c r="AD79" s="112"/>
      <c r="AE79" s="112">
        <f>AC79-AC74+AE65-AE70</f>
        <v>69787.97608624991</v>
      </c>
      <c r="AF79" s="112"/>
      <c r="AG79" s="112">
        <f>AE79-AE74+AG65-AG70</f>
        <v>77879.214555984785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9314.0533178973346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15368.187974530601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3842.0469936326504</v>
      </c>
      <c r="AB83" s="112"/>
      <c r="AC83" s="165">
        <f>$I$83*AB82/4</f>
        <v>3842.0469936326504</v>
      </c>
      <c r="AD83" s="112"/>
      <c r="AE83" s="165">
        <f>$I$83*AD82/4</f>
        <v>3842.0469936326504</v>
      </c>
      <c r="AF83" s="112"/>
      <c r="AG83" s="165">
        <f>$I$83*AF82/4</f>
        <v>3842.0469936326504</v>
      </c>
      <c r="AH83" s="165">
        <f>SUM(AA83,AC83,AE83,AG83)</f>
        <v>15368.187974530601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15421.323527210454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23395.296545154917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other: Sheep hides</v>
      </c>
      <c r="B91" s="75">
        <f>(B37/$B$83)</f>
        <v>1.610469629927594E-3</v>
      </c>
      <c r="C91" s="75">
        <f>(C37/$B$83)</f>
        <v>0</v>
      </c>
      <c r="D91" s="24">
        <f t="shared" ref="D91" si="51">(B91+C91)</f>
        <v>1.610469629927594E-3</v>
      </c>
      <c r="H91" s="24">
        <f>(E37*F37/G37*F$7/F$9)</f>
        <v>0.3575757575757576</v>
      </c>
      <c r="I91" s="22">
        <f t="shared" ref="I91" si="52">(D91*H91)</f>
        <v>5.7586489797410939E-4</v>
      </c>
      <c r="J91" s="24">
        <f>IF(I$32&lt;=1+I$131,I91,L91+J$33*(I91-L91))</f>
        <v>5.7586489797410939E-4</v>
      </c>
      <c r="K91" s="22">
        <f t="shared" ref="K91" si="53">(B91)</f>
        <v>1.610469629927594E-3</v>
      </c>
      <c r="L91" s="22">
        <f t="shared" ref="L91" si="54">(K91*H91)</f>
        <v>5.7586489797410939E-4</v>
      </c>
      <c r="M91" s="228">
        <f t="shared" si="50"/>
        <v>5.7586489797410939E-4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cattle hides</v>
      </c>
      <c r="B92" s="75">
        <f t="shared" ref="B92:C92" si="56">(B38/$B$83)</f>
        <v>5.3682320997586472E-3</v>
      </c>
      <c r="C92" s="75">
        <f t="shared" si="56"/>
        <v>0</v>
      </c>
      <c r="D92" s="24">
        <f t="shared" ref="D92:D118" si="57">(B92+C92)</f>
        <v>5.3682320997586472E-3</v>
      </c>
      <c r="H92" s="24">
        <f t="shared" ref="H92:H118" si="58">(E38*F38/G38*F$7/F$9)</f>
        <v>0.3575757575757576</v>
      </c>
      <c r="I92" s="22">
        <f t="shared" ref="I92:I118" si="59">(D92*H92)</f>
        <v>1.9195496599136983E-3</v>
      </c>
      <c r="J92" s="24">
        <f t="shared" ref="J92:J118" si="60">IF(I$32&lt;=1+I$131,I92,L92+J$33*(I92-L92))</f>
        <v>1.9195496599136983E-3</v>
      </c>
      <c r="K92" s="22">
        <f t="shared" ref="K92:K118" si="61">(B92)</f>
        <v>5.3682320997586472E-3</v>
      </c>
      <c r="L92" s="22">
        <f t="shared" ref="L92:L118" si="62">(K92*H92)</f>
        <v>1.9195496599136983E-3</v>
      </c>
      <c r="M92" s="228">
        <f t="shared" ref="M92:M118" si="63">(J92)</f>
        <v>1.9195496599136983E-3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2.1472928399034585</v>
      </c>
      <c r="C93" s="75">
        <f t="shared" si="64"/>
        <v>-0.80523481496379701</v>
      </c>
      <c r="D93" s="24">
        <f t="shared" si="57"/>
        <v>1.3420580249396616</v>
      </c>
      <c r="H93" s="24">
        <f t="shared" si="58"/>
        <v>0.57212121212121214</v>
      </c>
      <c r="I93" s="22">
        <f t="shared" si="59"/>
        <v>0.76781986396547919</v>
      </c>
      <c r="J93" s="24">
        <f t="shared" si="60"/>
        <v>1.2700258118888519</v>
      </c>
      <c r="K93" s="22">
        <f t="shared" si="61"/>
        <v>2.1472928399034585</v>
      </c>
      <c r="L93" s="22">
        <f t="shared" si="62"/>
        <v>1.2285117823447667</v>
      </c>
      <c r="M93" s="228">
        <f t="shared" si="63"/>
        <v>1.2700258118888519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0.80523481496379701</v>
      </c>
      <c r="C94" s="75">
        <f t="shared" si="65"/>
        <v>0.24157044448913911</v>
      </c>
      <c r="D94" s="24">
        <f t="shared" si="57"/>
        <v>1.046805259452936</v>
      </c>
      <c r="H94" s="24">
        <f t="shared" si="58"/>
        <v>0.57212121212121214</v>
      </c>
      <c r="I94" s="22">
        <f t="shared" si="59"/>
        <v>0.59889949389307373</v>
      </c>
      <c r="J94" s="24">
        <f t="shared" si="60"/>
        <v>0.44823770951606196</v>
      </c>
      <c r="K94" s="22">
        <f t="shared" si="61"/>
        <v>0.80523481496379701</v>
      </c>
      <c r="L94" s="22">
        <f t="shared" si="62"/>
        <v>0.46069191837928752</v>
      </c>
      <c r="M94" s="228">
        <f t="shared" si="63"/>
        <v>0.44823770951606196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1.4612059363938048</v>
      </c>
      <c r="C95" s="75">
        <f t="shared" si="66"/>
        <v>-1.4612059363938048</v>
      </c>
      <c r="D95" s="24">
        <f t="shared" si="57"/>
        <v>0</v>
      </c>
      <c r="H95" s="24">
        <f t="shared" si="58"/>
        <v>0.92484848484848492</v>
      </c>
      <c r="I95" s="22">
        <f t="shared" si="59"/>
        <v>0</v>
      </c>
      <c r="J95" s="24">
        <f t="shared" si="60"/>
        <v>1.4731713887032043</v>
      </c>
      <c r="K95" s="22">
        <f t="shared" si="61"/>
        <v>1.4612059363938048</v>
      </c>
      <c r="L95" s="22">
        <f t="shared" si="62"/>
        <v>1.3513940963254221</v>
      </c>
      <c r="M95" s="228">
        <f t="shared" si="63"/>
        <v>1.4731713887032043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Onions: kg produced</v>
      </c>
      <c r="B96" s="75">
        <f t="shared" ref="B96:C96" si="67">(B42/$B$83)</f>
        <v>4.5093149637972632E-2</v>
      </c>
      <c r="C96" s="75">
        <f t="shared" si="67"/>
        <v>0</v>
      </c>
      <c r="D96" s="24">
        <f t="shared" si="57"/>
        <v>4.5093149637972632E-2</v>
      </c>
      <c r="H96" s="24">
        <f t="shared" si="58"/>
        <v>0.84848484848484851</v>
      </c>
      <c r="I96" s="22">
        <f t="shared" si="59"/>
        <v>3.8260854238279809E-2</v>
      </c>
      <c r="J96" s="24">
        <f t="shared" si="60"/>
        <v>3.8260854238279809E-2</v>
      </c>
      <c r="K96" s="22">
        <f t="shared" si="61"/>
        <v>4.5093149637972632E-2</v>
      </c>
      <c r="L96" s="22">
        <f t="shared" si="62"/>
        <v>3.8260854238279809E-2</v>
      </c>
      <c r="M96" s="228">
        <f t="shared" si="63"/>
        <v>3.8260854238279809E-2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Beans: kg produced</v>
      </c>
      <c r="B97" s="75">
        <f t="shared" ref="B97:C97" si="68">(B43/$B$83)</f>
        <v>2.1472928399034587E-3</v>
      </c>
      <c r="C97" s="75">
        <f t="shared" si="68"/>
        <v>8.5891713596138348E-3</v>
      </c>
      <c r="D97" s="24">
        <f t="shared" si="57"/>
        <v>1.0736464199517293E-2</v>
      </c>
      <c r="H97" s="24">
        <f t="shared" si="58"/>
        <v>0.84848484848484851</v>
      </c>
      <c r="I97" s="22">
        <f t="shared" si="59"/>
        <v>9.1097271995904307E-3</v>
      </c>
      <c r="J97" s="24">
        <f t="shared" si="60"/>
        <v>1.1652263284862296E-3</v>
      </c>
      <c r="K97" s="22">
        <f t="shared" si="61"/>
        <v>2.1472928399034587E-3</v>
      </c>
      <c r="L97" s="22">
        <f t="shared" si="62"/>
        <v>1.8219454399180863E-3</v>
      </c>
      <c r="M97" s="228">
        <f t="shared" si="63"/>
        <v>1.1652263284862296E-3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 xml:space="preserve">Other root crops: Beetroot </v>
      </c>
      <c r="B98" s="75">
        <f t="shared" ref="B98:C98" si="69">(B44/$B$83)</f>
        <v>1.352794489139179E-2</v>
      </c>
      <c r="C98" s="75">
        <f t="shared" si="69"/>
        <v>-1.352794489139179E-2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1.2512588871989118E-2</v>
      </c>
      <c r="K98" s="22">
        <f t="shared" si="61"/>
        <v>1.352794489139179E-2</v>
      </c>
      <c r="L98" s="22">
        <f t="shared" si="62"/>
        <v>1.1478256271483944E-2</v>
      </c>
      <c r="M98" s="228">
        <f t="shared" si="63"/>
        <v>1.2512588871989118E-2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 xml:space="preserve">Tomato: </v>
      </c>
      <c r="B99" s="75">
        <f t="shared" ref="B99:C99" si="70">(B45/$B$83)</f>
        <v>5.3682320997586472E-3</v>
      </c>
      <c r="C99" s="75">
        <f t="shared" si="70"/>
        <v>-5.3682320997586472E-3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4.9653130444401268E-3</v>
      </c>
      <c r="K99" s="22">
        <f t="shared" si="61"/>
        <v>5.3682320997586472E-3</v>
      </c>
      <c r="L99" s="22">
        <f t="shared" si="62"/>
        <v>4.5548635997952162E-3</v>
      </c>
      <c r="M99" s="228">
        <f t="shared" si="63"/>
        <v>4.9653130444401268E-3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Leafy green vegetables (spinach etc)</v>
      </c>
      <c r="B100" s="75">
        <f t="shared" ref="B100:C100" si="71">(B46/$B$83)</f>
        <v>2.4801232300884948E-2</v>
      </c>
      <c r="C100" s="75">
        <f t="shared" si="71"/>
        <v>-2.4801232300884948E-2</v>
      </c>
      <c r="D100" s="24">
        <f t="shared" si="57"/>
        <v>0</v>
      </c>
      <c r="H100" s="24">
        <f t="shared" si="58"/>
        <v>0.84848484848484851</v>
      </c>
      <c r="I100" s="22">
        <f t="shared" si="59"/>
        <v>0</v>
      </c>
      <c r="J100" s="24">
        <f t="shared" si="60"/>
        <v>2.2939746265313379E-2</v>
      </c>
      <c r="K100" s="22">
        <f t="shared" si="61"/>
        <v>2.4801232300884948E-2</v>
      </c>
      <c r="L100" s="22">
        <f t="shared" si="62"/>
        <v>2.1043469831053895E-2</v>
      </c>
      <c r="M100" s="228">
        <f t="shared" si="63"/>
        <v>2.2939746265313379E-2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ref="B101:C101" si="72">(B47/$B$83)</f>
        <v>6.7102901246983079E-2</v>
      </c>
      <c r="C101" s="75">
        <f t="shared" si="72"/>
        <v>-6.7102901246983079E-2</v>
      </c>
      <c r="D101" s="24">
        <f t="shared" si="57"/>
        <v>0</v>
      </c>
      <c r="H101" s="24">
        <f t="shared" si="58"/>
        <v>0.84848484848484851</v>
      </c>
      <c r="I101" s="22">
        <f t="shared" si="59"/>
        <v>0</v>
      </c>
      <c r="J101" s="24">
        <f t="shared" si="60"/>
        <v>6.2066413055501569E-2</v>
      </c>
      <c r="K101" s="22">
        <f t="shared" si="61"/>
        <v>6.7102901246983079E-2</v>
      </c>
      <c r="L101" s="22">
        <f t="shared" si="62"/>
        <v>5.6935794997440191E-2</v>
      </c>
      <c r="M101" s="228">
        <f t="shared" si="63"/>
        <v>6.2066413055501569E-2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Carrots</v>
      </c>
      <c r="B102" s="75">
        <f t="shared" ref="B102:C102" si="73">(B48/$B$83)</f>
        <v>2.630433728881737E-2</v>
      </c>
      <c r="C102" s="75">
        <f t="shared" si="73"/>
        <v>0</v>
      </c>
      <c r="D102" s="24">
        <f t="shared" si="57"/>
        <v>2.630433728881737E-2</v>
      </c>
      <c r="H102" s="24">
        <f t="shared" si="58"/>
        <v>0.84848484848484851</v>
      </c>
      <c r="I102" s="22">
        <f t="shared" si="59"/>
        <v>2.2318831638996558E-2</v>
      </c>
      <c r="J102" s="24">
        <f t="shared" si="60"/>
        <v>2.2318831638996558E-2</v>
      </c>
      <c r="K102" s="22">
        <f t="shared" si="61"/>
        <v>2.630433728881737E-2</v>
      </c>
      <c r="L102" s="22">
        <f t="shared" si="62"/>
        <v>2.2318831638996558E-2</v>
      </c>
      <c r="M102" s="228">
        <f t="shared" si="63"/>
        <v>2.2318831638996558E-2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WILD FOODS -- see worksheet Data 3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0.7151515151515152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8">
        <f t="shared" si="63"/>
        <v>0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Small business -- see Data2</v>
      </c>
      <c r="B104" s="75">
        <f t="shared" ref="B104:C104" si="75">(B50/$B$83)</f>
        <v>3.4360980024135146</v>
      </c>
      <c r="C104" s="75">
        <f t="shared" si="75"/>
        <v>0</v>
      </c>
      <c r="D104" s="24">
        <f t="shared" si="57"/>
        <v>3.4360980024135146</v>
      </c>
      <c r="H104" s="24">
        <f t="shared" si="58"/>
        <v>0.57212121212121214</v>
      </c>
      <c r="I104" s="22">
        <f t="shared" si="59"/>
        <v>1.9658645541080957</v>
      </c>
      <c r="J104" s="24">
        <f t="shared" si="60"/>
        <v>1.9658645541080957</v>
      </c>
      <c r="K104" s="22">
        <f t="shared" si="61"/>
        <v>3.4360980024135146</v>
      </c>
      <c r="L104" s="22">
        <f t="shared" si="62"/>
        <v>1.9658645541080957</v>
      </c>
      <c r="M104" s="228">
        <f t="shared" si="63"/>
        <v>1.9658645541080957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Social development -- see Data2</v>
      </c>
      <c r="B105" s="75">
        <f t="shared" ref="B105:C105" si="76">(B51/$B$83)</f>
        <v>1.4945158165728072</v>
      </c>
      <c r="C105" s="75">
        <f t="shared" si="76"/>
        <v>0</v>
      </c>
      <c r="D105" s="24">
        <f t="shared" si="57"/>
        <v>1.4945158165728072</v>
      </c>
      <c r="H105" s="24">
        <f t="shared" si="58"/>
        <v>0</v>
      </c>
      <c r="I105" s="22">
        <f t="shared" si="59"/>
        <v>0</v>
      </c>
      <c r="J105" s="24">
        <f t="shared" si="60"/>
        <v>0</v>
      </c>
      <c r="K105" s="22">
        <f t="shared" si="61"/>
        <v>1.4945158165728072</v>
      </c>
      <c r="L105" s="22">
        <f t="shared" si="62"/>
        <v>0</v>
      </c>
      <c r="M105" s="228">
        <f t="shared" si="63"/>
        <v>0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Public works -- see Data2</v>
      </c>
      <c r="B106" s="75">
        <f t="shared" ref="B106:C106" si="77">(B52/$B$83)</f>
        <v>0.83744420756234894</v>
      </c>
      <c r="C106" s="75">
        <f t="shared" si="77"/>
        <v>0</v>
      </c>
      <c r="D106" s="24">
        <f t="shared" si="57"/>
        <v>0.83744420756234894</v>
      </c>
      <c r="H106" s="24">
        <f t="shared" si="58"/>
        <v>0.7151515151515152</v>
      </c>
      <c r="I106" s="22">
        <f t="shared" si="59"/>
        <v>0.59889949389307384</v>
      </c>
      <c r="J106" s="24">
        <f t="shared" si="60"/>
        <v>0.59889949389307384</v>
      </c>
      <c r="K106" s="22">
        <f t="shared" si="61"/>
        <v>0.83744420756234894</v>
      </c>
      <c r="L106" s="22">
        <f t="shared" si="62"/>
        <v>0.59889949389307384</v>
      </c>
      <c r="M106" s="228">
        <f t="shared" si="63"/>
        <v>0.59889949389307384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Remittances: no. times per year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0.67272727272727284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10.373115409845129</v>
      </c>
      <c r="C119" s="22">
        <f>SUM(C91:C118)</f>
        <v>-2.1270814460478671</v>
      </c>
      <c r="D119" s="24">
        <f>SUM(D91:D118)</f>
        <v>8.2460339637972631</v>
      </c>
      <c r="E119" s="22"/>
      <c r="F119" s="2"/>
      <c r="G119" s="2"/>
      <c r="H119" s="31"/>
      <c r="I119" s="22">
        <f>SUM(I91:I118)</f>
        <v>4.0036682334944764</v>
      </c>
      <c r="J119" s="24">
        <f>SUM(J91:J118)</f>
        <v>5.9229233461101813</v>
      </c>
      <c r="K119" s="22">
        <f>SUM(K91:K118)</f>
        <v>10.373115409845129</v>
      </c>
      <c r="L119" s="22">
        <f>SUM(L91:L118)</f>
        <v>5.7642712756255001</v>
      </c>
      <c r="M119" s="57">
        <f t="shared" si="50"/>
        <v>5.9229233461101813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0.88034165353268512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0.74695655451258136</v>
      </c>
      <c r="J124" s="238">
        <f>IF(SUMPRODUCT($B$124:$B124,$H$124:$H124)&lt;J$119,($B124*$H124),J$119)</f>
        <v>0.74695655451258136</v>
      </c>
      <c r="K124" s="22">
        <f>(B124)</f>
        <v>0.88034165353268512</v>
      </c>
      <c r="L124" s="29">
        <f>IF(SUMPRODUCT($B$124:$B124,$H$124:$H124)&lt;L$119,($B124*$H124),L$119)</f>
        <v>0.74695655451258136</v>
      </c>
      <c r="M124" s="57">
        <f t="shared" si="90"/>
        <v>0.74695655451258136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0.83629898471440045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2">
        <f t="shared" ref="K125:K126" si="91"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57">
        <f t="shared" ref="M125:M126" si="92">(J125)</f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1.4893623137570389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1.0651197152929128</v>
      </c>
      <c r="K126" s="22">
        <f t="shared" si="91"/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1.0651197152929128</v>
      </c>
      <c r="M126" s="57">
        <f t="shared" si="92"/>
        <v>1.0651197152929128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0.17393072003218016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0.12438681796240764</v>
      </c>
      <c r="K127" s="22">
        <f>(B127)</f>
        <v>0.17393072003218016</v>
      </c>
      <c r="L127" s="29">
        <f>IF(SUMPRODUCT($B$124:$B127,$H$124:$H127)&lt;(L$119-L$128),($B127*$H127),IF(SUMPRODUCT($B$124:$B126,$H$124:$H126)&lt;(L$119-L128),L$119-L$128-SUMPRODUCT($B$124:$B126,$H$124:$H126),0))</f>
        <v>0.12438681796240764</v>
      </c>
      <c r="M127" s="57">
        <f t="shared" si="90"/>
        <v>0.12438681796240764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0.59263033001245335</v>
      </c>
      <c r="C128" s="2"/>
      <c r="D128" s="31"/>
      <c r="E128" s="2"/>
      <c r="F128" s="2"/>
      <c r="G128" s="2"/>
      <c r="H128" s="24"/>
      <c r="I128" s="29">
        <f>(I30)</f>
        <v>3.2567116789818948</v>
      </c>
      <c r="J128" s="229">
        <f>(J30)</f>
        <v>5.919375577582664E-2</v>
      </c>
      <c r="K128" s="22">
        <f>(B128)</f>
        <v>0.59263033001245335</v>
      </c>
      <c r="L128" s="22">
        <f>IF(L124=L119,0,(L119-L124)/(B119-B124)*K128)</f>
        <v>0.31322908933463711</v>
      </c>
      <c r="M128" s="57">
        <f t="shared" si="90"/>
        <v>5.919375577582664E-2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6.400551407796371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3.3291860165282756</v>
      </c>
      <c r="K129" s="29">
        <f>(B129)</f>
        <v>6.400551407796371</v>
      </c>
      <c r="L129" s="60">
        <f>IF(SUM(L124:L128)&gt;L130,0,L130-SUM(L124:L128))</f>
        <v>2.9164986124847836</v>
      </c>
      <c r="M129" s="57">
        <f t="shared" si="90"/>
        <v>3.3291860165282756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10.373115409845129</v>
      </c>
      <c r="C130" s="2"/>
      <c r="D130" s="31"/>
      <c r="E130" s="2"/>
      <c r="F130" s="2"/>
      <c r="G130" s="2"/>
      <c r="H130" s="24"/>
      <c r="I130" s="29">
        <f>(I119)</f>
        <v>4.0036682334944764</v>
      </c>
      <c r="J130" s="229">
        <f>(J119)</f>
        <v>5.9229233461101813</v>
      </c>
      <c r="K130" s="22">
        <f>(B130)</f>
        <v>10.373115409845129</v>
      </c>
      <c r="L130" s="22">
        <f>(L119)</f>
        <v>5.7642712756255001</v>
      </c>
      <c r="M130" s="57">
        <f t="shared" si="90"/>
        <v>5.9229233461101813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28" operator="equal">
      <formula>16</formula>
    </cfRule>
    <cfRule type="cellIs" dxfId="145" priority="229" operator="equal">
      <formula>15</formula>
    </cfRule>
    <cfRule type="cellIs" dxfId="144" priority="230" operator="equal">
      <formula>14</formula>
    </cfRule>
    <cfRule type="cellIs" dxfId="143" priority="231" operator="equal">
      <formula>13</formula>
    </cfRule>
    <cfRule type="cellIs" dxfId="142" priority="232" operator="equal">
      <formula>12</formula>
    </cfRule>
    <cfRule type="cellIs" dxfId="141" priority="233" operator="equal">
      <formula>11</formula>
    </cfRule>
    <cfRule type="cellIs" dxfId="140" priority="234" operator="equal">
      <formula>10</formula>
    </cfRule>
    <cfRule type="cellIs" dxfId="139" priority="235" operator="equal">
      <formula>9</formula>
    </cfRule>
    <cfRule type="cellIs" dxfId="138" priority="236" operator="equal">
      <formula>8</formula>
    </cfRule>
    <cfRule type="cellIs" dxfId="137" priority="237" operator="equal">
      <formula>7</formula>
    </cfRule>
    <cfRule type="cellIs" dxfId="136" priority="238" operator="equal">
      <formula>6</formula>
    </cfRule>
    <cfRule type="cellIs" dxfId="135" priority="239" operator="equal">
      <formula>5</formula>
    </cfRule>
    <cfRule type="cellIs" dxfId="134" priority="240" operator="equal">
      <formula>4</formula>
    </cfRule>
    <cfRule type="cellIs" dxfId="133" priority="241" operator="equal">
      <formula>3</formula>
    </cfRule>
    <cfRule type="cellIs" dxfId="132" priority="242" operator="equal">
      <formula>2</formula>
    </cfRule>
    <cfRule type="cellIs" dxfId="131" priority="243" operator="equal">
      <formula>1</formula>
    </cfRule>
  </conditionalFormatting>
  <conditionalFormatting sqref="N29">
    <cfRule type="cellIs" dxfId="130" priority="212" operator="equal">
      <formula>16</formula>
    </cfRule>
    <cfRule type="cellIs" dxfId="129" priority="213" operator="equal">
      <formula>15</formula>
    </cfRule>
    <cfRule type="cellIs" dxfId="128" priority="214" operator="equal">
      <formula>14</formula>
    </cfRule>
    <cfRule type="cellIs" dxfId="127" priority="215" operator="equal">
      <formula>13</formula>
    </cfRule>
    <cfRule type="cellIs" dxfId="126" priority="216" operator="equal">
      <formula>12</formula>
    </cfRule>
    <cfRule type="cellIs" dxfId="125" priority="217" operator="equal">
      <formula>11</formula>
    </cfRule>
    <cfRule type="cellIs" dxfId="124" priority="218" operator="equal">
      <formula>10</formula>
    </cfRule>
    <cfRule type="cellIs" dxfId="123" priority="219" operator="equal">
      <formula>9</formula>
    </cfRule>
    <cfRule type="cellIs" dxfId="122" priority="220" operator="equal">
      <formula>8</formula>
    </cfRule>
    <cfRule type="cellIs" dxfId="121" priority="221" operator="equal">
      <formula>7</formula>
    </cfRule>
    <cfRule type="cellIs" dxfId="120" priority="222" operator="equal">
      <formula>6</formula>
    </cfRule>
    <cfRule type="cellIs" dxfId="119" priority="223" operator="equal">
      <formula>5</formula>
    </cfRule>
    <cfRule type="cellIs" dxfId="118" priority="224" operator="equal">
      <formula>4</formula>
    </cfRule>
    <cfRule type="cellIs" dxfId="117" priority="225" operator="equal">
      <formula>3</formula>
    </cfRule>
    <cfRule type="cellIs" dxfId="116" priority="226" operator="equal">
      <formula>2</formula>
    </cfRule>
    <cfRule type="cellIs" dxfId="115" priority="227" operator="equal">
      <formula>1</formula>
    </cfRule>
  </conditionalFormatting>
  <conditionalFormatting sqref="N113:N118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111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91:N104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05:N110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27:N28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>ZAOCC: 59209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G56" workbookViewId="0">
      <selection activeCell="I63" sqref="I63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>ZAOCC: 59209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3344.15816647667</v>
      </c>
      <c r="C72" s="109">
        <f>Poor!R7</f>
        <v>2601.7421940384984</v>
      </c>
      <c r="D72" s="109">
        <f>Middle!R7</f>
        <v>3492.2635476178102</v>
      </c>
      <c r="E72" s="109">
        <f>Rich!R7</f>
        <v>4415.5763539350655</v>
      </c>
      <c r="F72" s="109">
        <f>V.Poor!T7</f>
        <v>3698.5270452950558</v>
      </c>
      <c r="G72" s="109">
        <f>Poor!T7</f>
        <v>2902.1486914470547</v>
      </c>
      <c r="H72" s="109">
        <f>Middle!T7</f>
        <v>3915.2800501660763</v>
      </c>
      <c r="I72" s="109">
        <f>Rich!T7</f>
        <v>3296.9621455532724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53.097607195362443</v>
      </c>
      <c r="D73" s="109">
        <f>Middle!R8</f>
        <v>1900.8943375939757</v>
      </c>
      <c r="E73" s="109">
        <f>Rich!R8</f>
        <v>29064.776824340057</v>
      </c>
      <c r="F73" s="109">
        <f>V.Poor!T8</f>
        <v>0</v>
      </c>
      <c r="G73" s="109">
        <f>Poor!T8</f>
        <v>0</v>
      </c>
      <c r="H73" s="109">
        <f>Middle!T8</f>
        <v>1592.0102715036958</v>
      </c>
      <c r="I73" s="109">
        <f>Rich!T8</f>
        <v>31454.845693784315</v>
      </c>
    </row>
    <row r="74" spans="1:9">
      <c r="A74" t="str">
        <f>V.Poor!Q9</f>
        <v>Animal products consumed</v>
      </c>
      <c r="B74" s="109">
        <f>V.Poor!R9</f>
        <v>1021.5314605432648</v>
      </c>
      <c r="C74" s="109">
        <f>Poor!R9</f>
        <v>2971.466259973326</v>
      </c>
      <c r="D74" s="109">
        <f>Middle!R9</f>
        <v>3660.7985444025776</v>
      </c>
      <c r="E74" s="109">
        <f>Rich!R9</f>
        <v>3487.9877456007357</v>
      </c>
      <c r="F74" s="109">
        <f>V.Poor!T9</f>
        <v>555.51883561643831</v>
      </c>
      <c r="G74" s="109">
        <f>Poor!T9</f>
        <v>1615.9125201450445</v>
      </c>
      <c r="H74" s="109">
        <f>Middle!T9</f>
        <v>1990.7781829170028</v>
      </c>
      <c r="I74" s="109">
        <f>Rich!T9</f>
        <v>1896.8019742143438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15.170744912960696</v>
      </c>
      <c r="D75" s="109">
        <f>Middle!R10</f>
        <v>68.268352108323157</v>
      </c>
      <c r="E75" s="109">
        <f>Rich!R10</f>
        <v>123.2623024178057</v>
      </c>
      <c r="F75" s="109">
        <f>V.Poor!T10</f>
        <v>0</v>
      </c>
      <c r="G75" s="109">
        <f>Poor!T10</f>
        <v>5.8999999999999995</v>
      </c>
      <c r="H75" s="109">
        <f>Middle!T10</f>
        <v>26.55</v>
      </c>
      <c r="I75" s="109">
        <f>Rich!T10</f>
        <v>47.9375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3034.1489825921394</v>
      </c>
      <c r="D76" s="109">
        <f>Middle!R11</f>
        <v>10240.252816248472</v>
      </c>
      <c r="E76" s="109">
        <f>Rich!R11</f>
        <v>52149.435638302399</v>
      </c>
      <c r="F76" s="109">
        <f>V.Poor!T11</f>
        <v>0</v>
      </c>
      <c r="G76" s="109">
        <f>Poor!T11</f>
        <v>1888</v>
      </c>
      <c r="H76" s="109">
        <f>Middle!T11</f>
        <v>6296.2643927084928</v>
      </c>
      <c r="I76" s="109">
        <f>Rich!T11</f>
        <v>33008.245983412002</v>
      </c>
    </row>
    <row r="77" spans="1:9">
      <c r="A77" t="str">
        <f>V.Poor!Q12</f>
        <v>Wild foods consumed and sold</v>
      </c>
      <c r="B77" s="109">
        <f>V.Poor!R12</f>
        <v>176.62640873941967</v>
      </c>
      <c r="C77" s="109">
        <f>Poor!R12</f>
        <v>615.71526170226105</v>
      </c>
      <c r="D77" s="109">
        <f>Middle!R12</f>
        <v>521.03690787289827</v>
      </c>
      <c r="E77" s="109">
        <f>Rich!R12</f>
        <v>176.62640873941965</v>
      </c>
      <c r="F77" s="109">
        <f>V.Poor!T12</f>
        <v>1461.3070490448974</v>
      </c>
      <c r="G77" s="109">
        <f>Poor!T12</f>
        <v>1647.514422489287</v>
      </c>
      <c r="H77" s="109">
        <f>Middle!T12</f>
        <v>506.07046574650406</v>
      </c>
      <c r="I77" s="109">
        <f>Rich!T12</f>
        <v>209.41314308175836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11833.181032109347</v>
      </c>
      <c r="C80" s="109">
        <f>Poor!R15</f>
        <v>11833.181032109345</v>
      </c>
      <c r="D80" s="109">
        <f>Middle!R15</f>
        <v>11833.181032109347</v>
      </c>
      <c r="E80" s="109">
        <f>Rich!R15</f>
        <v>14791.476290136685</v>
      </c>
      <c r="F80" s="109">
        <f>V.Poor!T15</f>
        <v>9204</v>
      </c>
      <c r="G80" s="109">
        <f>Poor!T15</f>
        <v>9204</v>
      </c>
      <c r="H80" s="109">
        <f>Middle!T15</f>
        <v>9204</v>
      </c>
      <c r="I80" s="109">
        <f>Rich!T15</f>
        <v>11505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5461.4681686658523</v>
      </c>
      <c r="C82" s="109">
        <f>Poor!R17</f>
        <v>14563.915116442271</v>
      </c>
      <c r="D82" s="109">
        <f>Middle!R17</f>
        <v>32768.809011995116</v>
      </c>
      <c r="E82" s="109">
        <f>Rich!R17</f>
        <v>60690.565024299285</v>
      </c>
      <c r="F82" s="109">
        <f>V.Poor!T17</f>
        <v>3398.4</v>
      </c>
      <c r="G82" s="109">
        <f>Poor!T17</f>
        <v>9062.4</v>
      </c>
      <c r="H82" s="109">
        <f>Middle!T17</f>
        <v>20390.399999999998</v>
      </c>
      <c r="I82" s="109">
        <f>Rich!T17</f>
        <v>37764.720000000001</v>
      </c>
    </row>
    <row r="83" spans="1:9">
      <c r="A83" t="str">
        <f>V.Poor!Q18</f>
        <v>Food transfer - official</v>
      </c>
      <c r="B83" s="109">
        <f>V.Poor!R18</f>
        <v>1682.1562737087584</v>
      </c>
      <c r="C83" s="109">
        <f>Poor!R18</f>
        <v>1682.1562737087584</v>
      </c>
      <c r="D83" s="109">
        <f>Middle!R18</f>
        <v>1682.1562737087584</v>
      </c>
      <c r="E83" s="109">
        <f>Rich!R18</f>
        <v>1051.347671067974</v>
      </c>
      <c r="F83" s="109">
        <f>V.Poor!T18</f>
        <v>1829.5461874441194</v>
      </c>
      <c r="G83" s="109">
        <f>Poor!T18</f>
        <v>1829.5461874441194</v>
      </c>
      <c r="H83" s="109">
        <f>Middle!T18</f>
        <v>1829.5461874441194</v>
      </c>
      <c r="I83" s="109">
        <f>Rich!T18</f>
        <v>1143.4663671525745</v>
      </c>
    </row>
    <row r="84" spans="1:9">
      <c r="A84" t="str">
        <f>V.Poor!Q19</f>
        <v>Food transfer - gifts</v>
      </c>
      <c r="B84" s="109">
        <f>V.Poor!R19</f>
        <v>99.443087660139028</v>
      </c>
      <c r="C84" s="109">
        <f>Poor!R19</f>
        <v>99.443087660139014</v>
      </c>
      <c r="D84" s="109">
        <f>Middle!R19</f>
        <v>0</v>
      </c>
      <c r="E84" s="109">
        <f>Rich!R19</f>
        <v>0</v>
      </c>
      <c r="F84" s="109">
        <f>V.Poor!T19</f>
        <v>108.15625440979584</v>
      </c>
      <c r="G84" s="109">
        <f>Poor!T19</f>
        <v>108.15625440979584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23848.411003174224</v>
      </c>
      <c r="C85" s="109">
        <f>Poor!R20</f>
        <v>23848.41100317422</v>
      </c>
      <c r="D85" s="109">
        <f>Middle!R20</f>
        <v>23848.411003174224</v>
      </c>
      <c r="E85" s="109">
        <f>Rich!R20</f>
        <v>26397.096148551616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9102.4469477764196</v>
      </c>
      <c r="C86" s="109">
        <f>Poor!R21</f>
        <v>11833.181032109345</v>
      </c>
      <c r="D86" s="109">
        <f>Middle!R21</f>
        <v>0</v>
      </c>
      <c r="E86" s="109">
        <f>Rich!R21</f>
        <v>0</v>
      </c>
      <c r="F86" s="109">
        <f>V.Poor!T21</f>
        <v>6660</v>
      </c>
      <c r="G86" s="109">
        <f>Poor!T21</f>
        <v>8658.0000000000018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56569.422548854098</v>
      </c>
      <c r="C88" s="109">
        <f>Poor!R23</f>
        <v>73151.628595618633</v>
      </c>
      <c r="D88" s="109">
        <f>Middle!R23</f>
        <v>90016.071826831496</v>
      </c>
      <c r="E88" s="109">
        <f>Rich!R23</f>
        <v>192348.15040739105</v>
      </c>
      <c r="F88" s="109">
        <f>V.Poor!T23</f>
        <v>26915.455371810309</v>
      </c>
      <c r="G88" s="109">
        <f>Poor!T23</f>
        <v>36921.5780759353</v>
      </c>
      <c r="H88" s="109">
        <f>Middle!T23</f>
        <v>45750.899550485883</v>
      </c>
      <c r="I88" s="109">
        <f>Rich!T23</f>
        <v>120327.39280719828</v>
      </c>
    </row>
    <row r="89" spans="1:9">
      <c r="A89" t="str">
        <f>V.Poor!Q24</f>
        <v>Food Poverty line</v>
      </c>
      <c r="B89" s="109">
        <f>V.Poor!R24</f>
        <v>29244.120681443648</v>
      </c>
      <c r="C89" s="109">
        <f>Poor!R24</f>
        <v>29244.120681443648</v>
      </c>
      <c r="D89" s="109">
        <f>Middle!R24</f>
        <v>29244.120681443648</v>
      </c>
      <c r="E89" s="109">
        <f>Rich!R24</f>
        <v>29244.120681443645</v>
      </c>
      <c r="F89" s="109">
        <f>V.Poor!T24</f>
        <v>29244.120681443648</v>
      </c>
      <c r="G89" s="109">
        <f>Poor!T24</f>
        <v>29244.120681443648</v>
      </c>
      <c r="H89" s="109">
        <f>Middle!T24</f>
        <v>29244.120681443648</v>
      </c>
      <c r="I89" s="109">
        <f>Rich!T24</f>
        <v>29244.120681443645</v>
      </c>
    </row>
    <row r="90" spans="1:9">
      <c r="A90" s="108" t="str">
        <f>V.Poor!Q25</f>
        <v>Lower Bound Poverty line</v>
      </c>
      <c r="B90" s="109">
        <f>V.Poor!R25</f>
        <v>40733.387348110315</v>
      </c>
      <c r="C90" s="109">
        <f>Poor!R25</f>
        <v>40733.387348110315</v>
      </c>
      <c r="D90" s="109">
        <f>Middle!R25</f>
        <v>40733.387348110315</v>
      </c>
      <c r="E90" s="109">
        <f>Rich!R25</f>
        <v>40733.387348110307</v>
      </c>
      <c r="F90" s="109">
        <f>V.Poor!T25</f>
        <v>40733.387348110315</v>
      </c>
      <c r="G90" s="109">
        <f>Poor!T25</f>
        <v>40733.387348110315</v>
      </c>
      <c r="H90" s="109">
        <f>Middle!T25</f>
        <v>40733.387348110315</v>
      </c>
      <c r="I90" s="109">
        <f>Rich!T25</f>
        <v>40733.387348110307</v>
      </c>
    </row>
    <row r="91" spans="1:9">
      <c r="A91" s="108" t="str">
        <f>V.Poor!Q26</f>
        <v>Upper Bound Poverty line</v>
      </c>
      <c r="B91" s="109">
        <f>V.Poor!R26</f>
        <v>61194.587348110319</v>
      </c>
      <c r="C91" s="109">
        <f>Poor!R26</f>
        <v>61194.587348110319</v>
      </c>
      <c r="D91" s="109">
        <f>Middle!R26</f>
        <v>61194.587348110319</v>
      </c>
      <c r="E91" s="109">
        <f>Rich!R26</f>
        <v>61194.587348110304</v>
      </c>
      <c r="F91" s="109">
        <f>V.Poor!T26</f>
        <v>61194.587348110319</v>
      </c>
      <c r="G91" s="109">
        <f>Poor!T26</f>
        <v>61194.587348110319</v>
      </c>
      <c r="H91" s="109">
        <f>Middle!T26</f>
        <v>61194.587348110319</v>
      </c>
      <c r="I91" s="109">
        <f>Rich!T26</f>
        <v>61194.587348110304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29244.120681443648</v>
      </c>
      <c r="G93" s="109">
        <f>Poor!T24</f>
        <v>29244.120681443648</v>
      </c>
      <c r="H93" s="109">
        <f>Middle!T24</f>
        <v>29244.120681443648</v>
      </c>
      <c r="I93" s="109">
        <f>Rich!T24</f>
        <v>29244.120681443645</v>
      </c>
    </row>
    <row r="94" spans="1:9">
      <c r="A94" t="str">
        <f>V.Poor!Q25</f>
        <v>Lower Bound Poverty line</v>
      </c>
      <c r="F94" s="109">
        <f>V.Poor!T25</f>
        <v>40733.387348110315</v>
      </c>
      <c r="G94" s="109">
        <f>Poor!T25</f>
        <v>40733.387348110315</v>
      </c>
      <c r="H94" s="109">
        <f>Middle!T25</f>
        <v>40733.387348110315</v>
      </c>
      <c r="I94" s="109">
        <f>Rich!T25</f>
        <v>40733.387348110307</v>
      </c>
    </row>
    <row r="95" spans="1:9">
      <c r="A95" t="str">
        <f>V.Poor!Q26</f>
        <v>Upper Bound Poverty line</v>
      </c>
      <c r="F95" s="109">
        <f>V.Poor!T26</f>
        <v>61194.587348110319</v>
      </c>
      <c r="G95" s="109">
        <f>Poor!T26</f>
        <v>61194.587348110319</v>
      </c>
      <c r="H95" s="109">
        <f>Middle!T26</f>
        <v>61194.587348110319</v>
      </c>
      <c r="I95" s="109">
        <f>Rich!T26</f>
        <v>61194.587348110304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0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2328.6653096333393</v>
      </c>
      <c r="G98" s="240">
        <f t="shared" si="0"/>
        <v>0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0</v>
      </c>
      <c r="C99" s="240">
        <f t="shared" si="0"/>
        <v>0</v>
      </c>
      <c r="D99" s="240">
        <f t="shared" si="0"/>
        <v>0</v>
      </c>
      <c r="E99" s="240">
        <f t="shared" si="0"/>
        <v>0</v>
      </c>
      <c r="F99" s="240">
        <f t="shared" si="0"/>
        <v>13817.931976300006</v>
      </c>
      <c r="G99" s="240">
        <f t="shared" si="0"/>
        <v>3811.8092721750145</v>
      </c>
      <c r="H99" s="240">
        <f t="shared" si="0"/>
        <v>0</v>
      </c>
      <c r="I99" s="240">
        <f t="shared" si="0"/>
        <v>0</v>
      </c>
    </row>
    <row r="100" spans="1:9">
      <c r="A100" t="s">
        <v>143</v>
      </c>
      <c r="B100" s="240">
        <f>IF(B91&gt;B$88,B91-B$88,0)</f>
        <v>4625.1647992562212</v>
      </c>
      <c r="C100" s="240">
        <f t="shared" si="0"/>
        <v>0</v>
      </c>
      <c r="D100" s="240">
        <f t="shared" si="0"/>
        <v>0</v>
      </c>
      <c r="E100" s="240">
        <f t="shared" si="0"/>
        <v>0</v>
      </c>
      <c r="F100" s="240">
        <f t="shared" si="0"/>
        <v>34279.131976300006</v>
      </c>
      <c r="G100" s="240">
        <f t="shared" si="0"/>
        <v>24273.009272175019</v>
      </c>
      <c r="H100" s="240">
        <f t="shared" si="0"/>
        <v>15443.687797624436</v>
      </c>
      <c r="I100" s="240">
        <f t="shared" si="0"/>
        <v>0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>ZAOCC: 59209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0.36</v>
      </c>
      <c r="C2" s="202">
        <f>[1]WB!$CK$10</f>
        <v>0.23</v>
      </c>
      <c r="D2" s="202">
        <f>[1]WB!$CK$11</f>
        <v>0.27</v>
      </c>
      <c r="E2" s="202">
        <f>[1]WB!$CK$12</f>
        <v>0.14000000000000001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3344.15816647667</v>
      </c>
      <c r="C3" s="203">
        <f>Income!C72</f>
        <v>2601.7421940384984</v>
      </c>
      <c r="D3" s="203">
        <f>Income!D72</f>
        <v>3492.2635476178102</v>
      </c>
      <c r="E3" s="203">
        <f>Income!E72</f>
        <v>4415.5763539350655</v>
      </c>
      <c r="F3" s="204">
        <f>IF(F$2&lt;=($B$2+$C$2+$D$2),IF(F$2&lt;=($B$2+$C$2),IF(F$2&lt;=$B$2,$B3,$C3),$D3),$E3)</f>
        <v>3344.15816647667</v>
      </c>
      <c r="G3" s="204">
        <f t="shared" ref="G3:AW7" si="0">IF(G$2&lt;=($B$2+$C$2+$D$2),IF(G$2&lt;=($B$2+$C$2),IF(G$2&lt;=$B$2,$B3,$C3),$D3),$E3)</f>
        <v>3344.15816647667</v>
      </c>
      <c r="H3" s="204">
        <f t="shared" si="0"/>
        <v>3344.15816647667</v>
      </c>
      <c r="I3" s="204">
        <f t="shared" si="0"/>
        <v>3344.15816647667</v>
      </c>
      <c r="J3" s="204">
        <f t="shared" si="0"/>
        <v>3344.15816647667</v>
      </c>
      <c r="K3" s="204">
        <f t="shared" si="0"/>
        <v>3344.15816647667</v>
      </c>
      <c r="L3" s="204">
        <f t="shared" si="0"/>
        <v>3344.15816647667</v>
      </c>
      <c r="M3" s="204">
        <f t="shared" si="0"/>
        <v>3344.15816647667</v>
      </c>
      <c r="N3" s="204">
        <f t="shared" si="0"/>
        <v>3344.15816647667</v>
      </c>
      <c r="O3" s="204">
        <f t="shared" si="0"/>
        <v>3344.15816647667</v>
      </c>
      <c r="P3" s="204">
        <f t="shared" si="0"/>
        <v>3344.15816647667</v>
      </c>
      <c r="Q3" s="204">
        <f t="shared" si="0"/>
        <v>3344.15816647667</v>
      </c>
      <c r="R3" s="204">
        <f t="shared" si="0"/>
        <v>3344.15816647667</v>
      </c>
      <c r="S3" s="204">
        <f t="shared" si="0"/>
        <v>3344.15816647667</v>
      </c>
      <c r="T3" s="204">
        <f t="shared" si="0"/>
        <v>3344.15816647667</v>
      </c>
      <c r="U3" s="204">
        <f t="shared" si="0"/>
        <v>3344.15816647667</v>
      </c>
      <c r="V3" s="204">
        <f t="shared" si="0"/>
        <v>3344.15816647667</v>
      </c>
      <c r="W3" s="204">
        <f t="shared" si="0"/>
        <v>3344.15816647667</v>
      </c>
      <c r="X3" s="204">
        <f t="shared" si="0"/>
        <v>3344.15816647667</v>
      </c>
      <c r="Y3" s="204">
        <f t="shared" si="0"/>
        <v>3344.15816647667</v>
      </c>
      <c r="Z3" s="204">
        <f t="shared" si="0"/>
        <v>3344.15816647667</v>
      </c>
      <c r="AA3" s="204">
        <f t="shared" si="0"/>
        <v>3344.15816647667</v>
      </c>
      <c r="AB3" s="204">
        <f t="shared" si="0"/>
        <v>3344.15816647667</v>
      </c>
      <c r="AC3" s="204">
        <f t="shared" si="0"/>
        <v>3344.15816647667</v>
      </c>
      <c r="AD3" s="204">
        <f t="shared" si="0"/>
        <v>3344.15816647667</v>
      </c>
      <c r="AE3" s="204">
        <f t="shared" si="0"/>
        <v>3344.15816647667</v>
      </c>
      <c r="AF3" s="204">
        <f t="shared" si="0"/>
        <v>3344.15816647667</v>
      </c>
      <c r="AG3" s="204">
        <f t="shared" si="0"/>
        <v>3344.15816647667</v>
      </c>
      <c r="AH3" s="204">
        <f t="shared" si="0"/>
        <v>3344.15816647667</v>
      </c>
      <c r="AI3" s="204">
        <f t="shared" si="0"/>
        <v>3344.15816647667</v>
      </c>
      <c r="AJ3" s="204">
        <f t="shared" si="0"/>
        <v>3344.15816647667</v>
      </c>
      <c r="AK3" s="204">
        <f t="shared" si="0"/>
        <v>3344.15816647667</v>
      </c>
      <c r="AL3" s="204">
        <f t="shared" si="0"/>
        <v>3344.15816647667</v>
      </c>
      <c r="AM3" s="204">
        <f t="shared" si="0"/>
        <v>3344.15816647667</v>
      </c>
      <c r="AN3" s="204">
        <f t="shared" si="0"/>
        <v>3344.15816647667</v>
      </c>
      <c r="AO3" s="204">
        <f t="shared" si="0"/>
        <v>3344.15816647667</v>
      </c>
      <c r="AP3" s="204">
        <f t="shared" si="0"/>
        <v>2601.7421940384984</v>
      </c>
      <c r="AQ3" s="204">
        <f t="shared" si="0"/>
        <v>2601.7421940384984</v>
      </c>
      <c r="AR3" s="204">
        <f t="shared" si="0"/>
        <v>2601.7421940384984</v>
      </c>
      <c r="AS3" s="204">
        <f t="shared" si="0"/>
        <v>2601.7421940384984</v>
      </c>
      <c r="AT3" s="204">
        <f t="shared" si="0"/>
        <v>2601.7421940384984</v>
      </c>
      <c r="AU3" s="204">
        <f t="shared" si="0"/>
        <v>2601.7421940384984</v>
      </c>
      <c r="AV3" s="204">
        <f t="shared" si="0"/>
        <v>2601.7421940384984</v>
      </c>
      <c r="AW3" s="204">
        <f t="shared" si="0"/>
        <v>2601.7421940384984</v>
      </c>
      <c r="AX3" s="204">
        <f t="shared" ref="AX3:BZ10" si="1">IF(AX$2&lt;=($B$2+$C$2+$D$2),IF(AX$2&lt;=($B$2+$C$2),IF(AX$2&lt;=$B$2,$B3,$C3),$D3),$E3)</f>
        <v>2601.7421940384984</v>
      </c>
      <c r="AY3" s="204">
        <f t="shared" si="1"/>
        <v>2601.7421940384984</v>
      </c>
      <c r="AZ3" s="204">
        <f t="shared" si="1"/>
        <v>2601.7421940384984</v>
      </c>
      <c r="BA3" s="204">
        <f t="shared" si="1"/>
        <v>2601.7421940384984</v>
      </c>
      <c r="BB3" s="204">
        <f t="shared" si="1"/>
        <v>2601.7421940384984</v>
      </c>
      <c r="BC3" s="204">
        <f t="shared" si="1"/>
        <v>2601.7421940384984</v>
      </c>
      <c r="BD3" s="204">
        <f t="shared" si="1"/>
        <v>2601.7421940384984</v>
      </c>
      <c r="BE3" s="204">
        <f t="shared" si="1"/>
        <v>2601.7421940384984</v>
      </c>
      <c r="BF3" s="204">
        <f t="shared" si="1"/>
        <v>2601.7421940384984</v>
      </c>
      <c r="BG3" s="204">
        <f t="shared" si="1"/>
        <v>2601.7421940384984</v>
      </c>
      <c r="BH3" s="204">
        <f t="shared" si="1"/>
        <v>2601.7421940384984</v>
      </c>
      <c r="BI3" s="204">
        <f t="shared" si="1"/>
        <v>2601.7421940384984</v>
      </c>
      <c r="BJ3" s="204">
        <f t="shared" si="1"/>
        <v>2601.7421940384984</v>
      </c>
      <c r="BK3" s="204">
        <f t="shared" si="1"/>
        <v>2601.7421940384984</v>
      </c>
      <c r="BL3" s="204">
        <f t="shared" si="1"/>
        <v>2601.7421940384984</v>
      </c>
      <c r="BM3" s="204">
        <f t="shared" si="1"/>
        <v>3492.2635476178102</v>
      </c>
      <c r="BN3" s="204">
        <f t="shared" si="1"/>
        <v>3492.2635476178102</v>
      </c>
      <c r="BO3" s="204">
        <f t="shared" si="1"/>
        <v>3492.2635476178102</v>
      </c>
      <c r="BP3" s="204">
        <f t="shared" si="1"/>
        <v>3492.2635476178102</v>
      </c>
      <c r="BQ3" s="204">
        <f t="shared" si="1"/>
        <v>3492.2635476178102</v>
      </c>
      <c r="BR3" s="204">
        <f t="shared" si="1"/>
        <v>3492.2635476178102</v>
      </c>
      <c r="BS3" s="204">
        <f t="shared" si="1"/>
        <v>3492.2635476178102</v>
      </c>
      <c r="BT3" s="204">
        <f t="shared" si="1"/>
        <v>3492.2635476178102</v>
      </c>
      <c r="BU3" s="204">
        <f t="shared" si="1"/>
        <v>3492.2635476178102</v>
      </c>
      <c r="BV3" s="204">
        <f t="shared" si="1"/>
        <v>3492.2635476178102</v>
      </c>
      <c r="BW3" s="204">
        <f t="shared" si="1"/>
        <v>3492.2635476178102</v>
      </c>
      <c r="BX3" s="204">
        <f t="shared" si="1"/>
        <v>3492.2635476178102</v>
      </c>
      <c r="BY3" s="204">
        <f t="shared" si="1"/>
        <v>3492.2635476178102</v>
      </c>
      <c r="BZ3" s="204">
        <f t="shared" si="1"/>
        <v>3492.2635476178102</v>
      </c>
      <c r="CA3" s="204">
        <f t="shared" ref="CA3:CR15" si="2">IF(CA$2&lt;=($B$2+$C$2+$D$2),IF(CA$2&lt;=($B$2+$C$2),IF(CA$2&lt;=$B$2,$B3,$C3),$D3),$E3)</f>
        <v>3492.2635476178102</v>
      </c>
      <c r="CB3" s="204">
        <f t="shared" si="2"/>
        <v>3492.2635476178102</v>
      </c>
      <c r="CC3" s="204">
        <f t="shared" si="2"/>
        <v>3492.2635476178102</v>
      </c>
      <c r="CD3" s="204">
        <f t="shared" si="2"/>
        <v>3492.2635476178102</v>
      </c>
      <c r="CE3" s="204">
        <f t="shared" si="2"/>
        <v>3492.2635476178102</v>
      </c>
      <c r="CF3" s="204">
        <f t="shared" si="2"/>
        <v>3492.2635476178102</v>
      </c>
      <c r="CG3" s="204">
        <f t="shared" si="2"/>
        <v>3492.2635476178102</v>
      </c>
      <c r="CH3" s="204">
        <f t="shared" si="2"/>
        <v>3492.2635476178102</v>
      </c>
      <c r="CI3" s="204">
        <f t="shared" si="2"/>
        <v>3492.2635476178102</v>
      </c>
      <c r="CJ3" s="204">
        <f t="shared" si="2"/>
        <v>3492.2635476178102</v>
      </c>
      <c r="CK3" s="204">
        <f t="shared" si="2"/>
        <v>3492.2635476178102</v>
      </c>
      <c r="CL3" s="204">
        <f t="shared" si="2"/>
        <v>3492.2635476178102</v>
      </c>
      <c r="CM3" s="204">
        <f t="shared" si="2"/>
        <v>3492.2635476178102</v>
      </c>
      <c r="CN3" s="204">
        <f t="shared" si="2"/>
        <v>4415.5763539350655</v>
      </c>
      <c r="CO3" s="204">
        <f t="shared" si="2"/>
        <v>4415.5763539350655</v>
      </c>
      <c r="CP3" s="204">
        <f t="shared" si="2"/>
        <v>4415.5763539350655</v>
      </c>
      <c r="CQ3" s="204">
        <f t="shared" si="2"/>
        <v>4415.5763539350655</v>
      </c>
      <c r="CR3" s="204">
        <f t="shared" si="2"/>
        <v>4415.5763539350655</v>
      </c>
      <c r="CS3" s="204">
        <f t="shared" ref="CS3:DA15" si="3">IF(CS$2&lt;=($B$2+$C$2+$D$2),IF(CS$2&lt;=($B$2+$C$2),IF(CS$2&lt;=$B$2,$B3,$C3),$D3),$E3)</f>
        <v>4415.5763539350655</v>
      </c>
      <c r="CT3" s="204">
        <f t="shared" si="3"/>
        <v>4415.5763539350655</v>
      </c>
      <c r="CU3" s="204">
        <f t="shared" si="3"/>
        <v>4415.5763539350655</v>
      </c>
      <c r="CV3" s="204">
        <f t="shared" si="3"/>
        <v>4415.5763539350655</v>
      </c>
      <c r="CW3" s="204">
        <f t="shared" si="3"/>
        <v>4415.5763539350655</v>
      </c>
      <c r="CX3" s="204">
        <f t="shared" si="3"/>
        <v>4415.5763539350655</v>
      </c>
      <c r="CY3" s="204">
        <f t="shared" si="3"/>
        <v>4415.5763539350655</v>
      </c>
      <c r="CZ3" s="204">
        <f t="shared" si="3"/>
        <v>4415.5763539350655</v>
      </c>
      <c r="DA3" s="204">
        <f t="shared" si="3"/>
        <v>4415.5763539350655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53.097607195362443</v>
      </c>
      <c r="D4" s="203">
        <f>Income!D73</f>
        <v>1900.8943375939757</v>
      </c>
      <c r="E4" s="203">
        <f>Income!E73</f>
        <v>29064.776824340057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53.097607195362443</v>
      </c>
      <c r="AQ4" s="204">
        <f t="shared" si="0"/>
        <v>53.097607195362443</v>
      </c>
      <c r="AR4" s="204">
        <f t="shared" si="0"/>
        <v>53.097607195362443</v>
      </c>
      <c r="AS4" s="204">
        <f t="shared" si="0"/>
        <v>53.097607195362443</v>
      </c>
      <c r="AT4" s="204">
        <f t="shared" si="0"/>
        <v>53.097607195362443</v>
      </c>
      <c r="AU4" s="204">
        <f t="shared" si="0"/>
        <v>53.097607195362443</v>
      </c>
      <c r="AV4" s="204">
        <f t="shared" si="0"/>
        <v>53.097607195362443</v>
      </c>
      <c r="AW4" s="204">
        <f t="shared" si="0"/>
        <v>53.097607195362443</v>
      </c>
      <c r="AX4" s="204">
        <f t="shared" si="1"/>
        <v>53.097607195362443</v>
      </c>
      <c r="AY4" s="204">
        <f t="shared" si="1"/>
        <v>53.097607195362443</v>
      </c>
      <c r="AZ4" s="204">
        <f t="shared" si="1"/>
        <v>53.097607195362443</v>
      </c>
      <c r="BA4" s="204">
        <f t="shared" si="1"/>
        <v>53.097607195362443</v>
      </c>
      <c r="BB4" s="204">
        <f t="shared" si="1"/>
        <v>53.097607195362443</v>
      </c>
      <c r="BC4" s="204">
        <f t="shared" si="1"/>
        <v>53.097607195362443</v>
      </c>
      <c r="BD4" s="204">
        <f t="shared" si="1"/>
        <v>53.097607195362443</v>
      </c>
      <c r="BE4" s="204">
        <f t="shared" si="1"/>
        <v>53.097607195362443</v>
      </c>
      <c r="BF4" s="204">
        <f t="shared" si="1"/>
        <v>53.097607195362443</v>
      </c>
      <c r="BG4" s="204">
        <f t="shared" si="1"/>
        <v>53.097607195362443</v>
      </c>
      <c r="BH4" s="204">
        <f t="shared" si="1"/>
        <v>53.097607195362443</v>
      </c>
      <c r="BI4" s="204">
        <f t="shared" si="1"/>
        <v>53.097607195362443</v>
      </c>
      <c r="BJ4" s="204">
        <f t="shared" si="1"/>
        <v>53.097607195362443</v>
      </c>
      <c r="BK4" s="204">
        <f t="shared" si="1"/>
        <v>53.097607195362443</v>
      </c>
      <c r="BL4" s="204">
        <f t="shared" si="1"/>
        <v>53.097607195362443</v>
      </c>
      <c r="BM4" s="204">
        <f t="shared" si="1"/>
        <v>1900.8943375939757</v>
      </c>
      <c r="BN4" s="204">
        <f t="shared" si="1"/>
        <v>1900.8943375939757</v>
      </c>
      <c r="BO4" s="204">
        <f t="shared" si="1"/>
        <v>1900.8943375939757</v>
      </c>
      <c r="BP4" s="204">
        <f t="shared" si="1"/>
        <v>1900.8943375939757</v>
      </c>
      <c r="BQ4" s="204">
        <f t="shared" si="1"/>
        <v>1900.8943375939757</v>
      </c>
      <c r="BR4" s="204">
        <f t="shared" si="1"/>
        <v>1900.8943375939757</v>
      </c>
      <c r="BS4" s="204">
        <f t="shared" si="1"/>
        <v>1900.8943375939757</v>
      </c>
      <c r="BT4" s="204">
        <f t="shared" si="1"/>
        <v>1900.8943375939757</v>
      </c>
      <c r="BU4" s="204">
        <f t="shared" si="1"/>
        <v>1900.8943375939757</v>
      </c>
      <c r="BV4" s="204">
        <f t="shared" si="1"/>
        <v>1900.8943375939757</v>
      </c>
      <c r="BW4" s="204">
        <f t="shared" si="1"/>
        <v>1900.8943375939757</v>
      </c>
      <c r="BX4" s="204">
        <f t="shared" si="1"/>
        <v>1900.8943375939757</v>
      </c>
      <c r="BY4" s="204">
        <f t="shared" si="1"/>
        <v>1900.8943375939757</v>
      </c>
      <c r="BZ4" s="204">
        <f t="shared" si="1"/>
        <v>1900.8943375939757</v>
      </c>
      <c r="CA4" s="204">
        <f t="shared" si="2"/>
        <v>1900.8943375939757</v>
      </c>
      <c r="CB4" s="204">
        <f t="shared" si="2"/>
        <v>1900.8943375939757</v>
      </c>
      <c r="CC4" s="204">
        <f t="shared" si="2"/>
        <v>1900.8943375939757</v>
      </c>
      <c r="CD4" s="204">
        <f t="shared" si="2"/>
        <v>1900.8943375939757</v>
      </c>
      <c r="CE4" s="204">
        <f t="shared" si="2"/>
        <v>1900.8943375939757</v>
      </c>
      <c r="CF4" s="204">
        <f t="shared" si="2"/>
        <v>1900.8943375939757</v>
      </c>
      <c r="CG4" s="204">
        <f t="shared" si="2"/>
        <v>1900.8943375939757</v>
      </c>
      <c r="CH4" s="204">
        <f t="shared" si="2"/>
        <v>1900.8943375939757</v>
      </c>
      <c r="CI4" s="204">
        <f t="shared" si="2"/>
        <v>1900.8943375939757</v>
      </c>
      <c r="CJ4" s="204">
        <f t="shared" si="2"/>
        <v>1900.8943375939757</v>
      </c>
      <c r="CK4" s="204">
        <f t="shared" si="2"/>
        <v>1900.8943375939757</v>
      </c>
      <c r="CL4" s="204">
        <f t="shared" si="2"/>
        <v>1900.8943375939757</v>
      </c>
      <c r="CM4" s="204">
        <f t="shared" si="2"/>
        <v>1900.8943375939757</v>
      </c>
      <c r="CN4" s="204">
        <f t="shared" si="2"/>
        <v>29064.776824340057</v>
      </c>
      <c r="CO4" s="204">
        <f t="shared" si="2"/>
        <v>29064.776824340057</v>
      </c>
      <c r="CP4" s="204">
        <f t="shared" si="2"/>
        <v>29064.776824340057</v>
      </c>
      <c r="CQ4" s="204">
        <f t="shared" si="2"/>
        <v>29064.776824340057</v>
      </c>
      <c r="CR4" s="204">
        <f t="shared" si="2"/>
        <v>29064.776824340057</v>
      </c>
      <c r="CS4" s="204">
        <f t="shared" si="3"/>
        <v>29064.776824340057</v>
      </c>
      <c r="CT4" s="204">
        <f t="shared" si="3"/>
        <v>29064.776824340057</v>
      </c>
      <c r="CU4" s="204">
        <f t="shared" si="3"/>
        <v>29064.776824340057</v>
      </c>
      <c r="CV4" s="204">
        <f t="shared" si="3"/>
        <v>29064.776824340057</v>
      </c>
      <c r="CW4" s="204">
        <f t="shared" si="3"/>
        <v>29064.776824340057</v>
      </c>
      <c r="CX4" s="204">
        <f t="shared" si="3"/>
        <v>29064.776824340057</v>
      </c>
      <c r="CY4" s="204">
        <f t="shared" si="3"/>
        <v>29064.776824340057</v>
      </c>
      <c r="CZ4" s="204">
        <f t="shared" si="3"/>
        <v>29064.776824340057</v>
      </c>
      <c r="DA4" s="204">
        <f t="shared" si="3"/>
        <v>29064.776824340057</v>
      </c>
      <c r="DB4" s="204"/>
    </row>
    <row r="5" spans="1:106">
      <c r="A5" s="201" t="str">
        <f>Income!A74</f>
        <v>Animal products consumed</v>
      </c>
      <c r="B5" s="203">
        <f>Income!B74</f>
        <v>1021.5314605432648</v>
      </c>
      <c r="C5" s="203">
        <f>Income!C74</f>
        <v>2971.466259973326</v>
      </c>
      <c r="D5" s="203">
        <f>Income!D74</f>
        <v>3660.7985444025776</v>
      </c>
      <c r="E5" s="203">
        <f>Income!E74</f>
        <v>3487.9877456007357</v>
      </c>
      <c r="F5" s="204">
        <f t="shared" si="4"/>
        <v>1021.5314605432648</v>
      </c>
      <c r="G5" s="204">
        <f t="shared" si="0"/>
        <v>1021.5314605432648</v>
      </c>
      <c r="H5" s="204">
        <f t="shared" si="0"/>
        <v>1021.5314605432648</v>
      </c>
      <c r="I5" s="204">
        <f t="shared" si="0"/>
        <v>1021.5314605432648</v>
      </c>
      <c r="J5" s="204">
        <f t="shared" si="0"/>
        <v>1021.5314605432648</v>
      </c>
      <c r="K5" s="204">
        <f t="shared" si="0"/>
        <v>1021.5314605432648</v>
      </c>
      <c r="L5" s="204">
        <f t="shared" si="0"/>
        <v>1021.5314605432648</v>
      </c>
      <c r="M5" s="204">
        <f t="shared" si="0"/>
        <v>1021.5314605432648</v>
      </c>
      <c r="N5" s="204">
        <f t="shared" si="0"/>
        <v>1021.5314605432648</v>
      </c>
      <c r="O5" s="204">
        <f t="shared" si="0"/>
        <v>1021.5314605432648</v>
      </c>
      <c r="P5" s="204">
        <f t="shared" si="0"/>
        <v>1021.5314605432648</v>
      </c>
      <c r="Q5" s="204">
        <f t="shared" si="0"/>
        <v>1021.5314605432648</v>
      </c>
      <c r="R5" s="204">
        <f t="shared" si="0"/>
        <v>1021.5314605432648</v>
      </c>
      <c r="S5" s="204">
        <f t="shared" si="0"/>
        <v>1021.5314605432648</v>
      </c>
      <c r="T5" s="204">
        <f t="shared" si="0"/>
        <v>1021.5314605432648</v>
      </c>
      <c r="U5" s="204">
        <f t="shared" si="0"/>
        <v>1021.5314605432648</v>
      </c>
      <c r="V5" s="204">
        <f t="shared" si="0"/>
        <v>1021.5314605432648</v>
      </c>
      <c r="W5" s="204">
        <f t="shared" si="0"/>
        <v>1021.5314605432648</v>
      </c>
      <c r="X5" s="204">
        <f t="shared" si="0"/>
        <v>1021.5314605432648</v>
      </c>
      <c r="Y5" s="204">
        <f t="shared" si="0"/>
        <v>1021.5314605432648</v>
      </c>
      <c r="Z5" s="204">
        <f t="shared" si="0"/>
        <v>1021.5314605432648</v>
      </c>
      <c r="AA5" s="204">
        <f t="shared" si="0"/>
        <v>1021.5314605432648</v>
      </c>
      <c r="AB5" s="204">
        <f t="shared" si="0"/>
        <v>1021.5314605432648</v>
      </c>
      <c r="AC5" s="204">
        <f t="shared" si="0"/>
        <v>1021.5314605432648</v>
      </c>
      <c r="AD5" s="204">
        <f t="shared" si="0"/>
        <v>1021.5314605432648</v>
      </c>
      <c r="AE5" s="204">
        <f t="shared" si="0"/>
        <v>1021.5314605432648</v>
      </c>
      <c r="AF5" s="204">
        <f t="shared" si="0"/>
        <v>1021.5314605432648</v>
      </c>
      <c r="AG5" s="204">
        <f t="shared" si="0"/>
        <v>1021.5314605432648</v>
      </c>
      <c r="AH5" s="204">
        <f t="shared" si="0"/>
        <v>1021.5314605432648</v>
      </c>
      <c r="AI5" s="204">
        <f t="shared" si="0"/>
        <v>1021.5314605432648</v>
      </c>
      <c r="AJ5" s="204">
        <f t="shared" si="0"/>
        <v>1021.5314605432648</v>
      </c>
      <c r="AK5" s="204">
        <f t="shared" si="0"/>
        <v>1021.5314605432648</v>
      </c>
      <c r="AL5" s="204">
        <f t="shared" si="0"/>
        <v>1021.5314605432648</v>
      </c>
      <c r="AM5" s="204">
        <f t="shared" si="0"/>
        <v>1021.5314605432648</v>
      </c>
      <c r="AN5" s="204">
        <f t="shared" si="0"/>
        <v>1021.5314605432648</v>
      </c>
      <c r="AO5" s="204">
        <f t="shared" si="0"/>
        <v>1021.5314605432648</v>
      </c>
      <c r="AP5" s="204">
        <f t="shared" si="0"/>
        <v>2971.466259973326</v>
      </c>
      <c r="AQ5" s="204">
        <f t="shared" si="0"/>
        <v>2971.466259973326</v>
      </c>
      <c r="AR5" s="204">
        <f t="shared" si="0"/>
        <v>2971.466259973326</v>
      </c>
      <c r="AS5" s="204">
        <f t="shared" si="0"/>
        <v>2971.466259973326</v>
      </c>
      <c r="AT5" s="204">
        <f t="shared" si="0"/>
        <v>2971.466259973326</v>
      </c>
      <c r="AU5" s="204">
        <f t="shared" si="0"/>
        <v>2971.466259973326</v>
      </c>
      <c r="AV5" s="204">
        <f t="shared" si="0"/>
        <v>2971.466259973326</v>
      </c>
      <c r="AW5" s="204">
        <f t="shared" si="0"/>
        <v>2971.466259973326</v>
      </c>
      <c r="AX5" s="204">
        <f t="shared" si="1"/>
        <v>2971.466259973326</v>
      </c>
      <c r="AY5" s="204">
        <f t="shared" si="1"/>
        <v>2971.466259973326</v>
      </c>
      <c r="AZ5" s="204">
        <f t="shared" si="1"/>
        <v>2971.466259973326</v>
      </c>
      <c r="BA5" s="204">
        <f t="shared" si="1"/>
        <v>2971.466259973326</v>
      </c>
      <c r="BB5" s="204">
        <f t="shared" si="1"/>
        <v>2971.466259973326</v>
      </c>
      <c r="BC5" s="204">
        <f t="shared" si="1"/>
        <v>2971.466259973326</v>
      </c>
      <c r="BD5" s="204">
        <f t="shared" si="1"/>
        <v>2971.466259973326</v>
      </c>
      <c r="BE5" s="204">
        <f t="shared" si="1"/>
        <v>2971.466259973326</v>
      </c>
      <c r="BF5" s="204">
        <f t="shared" si="1"/>
        <v>2971.466259973326</v>
      </c>
      <c r="BG5" s="204">
        <f t="shared" si="1"/>
        <v>2971.466259973326</v>
      </c>
      <c r="BH5" s="204">
        <f t="shared" si="1"/>
        <v>2971.466259973326</v>
      </c>
      <c r="BI5" s="204">
        <f t="shared" si="1"/>
        <v>2971.466259973326</v>
      </c>
      <c r="BJ5" s="204">
        <f t="shared" si="1"/>
        <v>2971.466259973326</v>
      </c>
      <c r="BK5" s="204">
        <f t="shared" si="1"/>
        <v>2971.466259973326</v>
      </c>
      <c r="BL5" s="204">
        <f t="shared" si="1"/>
        <v>2971.466259973326</v>
      </c>
      <c r="BM5" s="204">
        <f t="shared" si="1"/>
        <v>3660.7985444025776</v>
      </c>
      <c r="BN5" s="204">
        <f t="shared" si="1"/>
        <v>3660.7985444025776</v>
      </c>
      <c r="BO5" s="204">
        <f t="shared" si="1"/>
        <v>3660.7985444025776</v>
      </c>
      <c r="BP5" s="204">
        <f t="shared" si="1"/>
        <v>3660.7985444025776</v>
      </c>
      <c r="BQ5" s="204">
        <f t="shared" si="1"/>
        <v>3660.7985444025776</v>
      </c>
      <c r="BR5" s="204">
        <f t="shared" si="1"/>
        <v>3660.7985444025776</v>
      </c>
      <c r="BS5" s="204">
        <f t="shared" si="1"/>
        <v>3660.7985444025776</v>
      </c>
      <c r="BT5" s="204">
        <f t="shared" si="1"/>
        <v>3660.7985444025776</v>
      </c>
      <c r="BU5" s="204">
        <f t="shared" si="1"/>
        <v>3660.7985444025776</v>
      </c>
      <c r="BV5" s="204">
        <f t="shared" si="1"/>
        <v>3660.7985444025776</v>
      </c>
      <c r="BW5" s="204">
        <f t="shared" si="1"/>
        <v>3660.7985444025776</v>
      </c>
      <c r="BX5" s="204">
        <f t="shared" si="1"/>
        <v>3660.7985444025776</v>
      </c>
      <c r="BY5" s="204">
        <f t="shared" si="1"/>
        <v>3660.7985444025776</v>
      </c>
      <c r="BZ5" s="204">
        <f t="shared" si="1"/>
        <v>3660.7985444025776</v>
      </c>
      <c r="CA5" s="204">
        <f t="shared" si="2"/>
        <v>3660.7985444025776</v>
      </c>
      <c r="CB5" s="204">
        <f t="shared" si="2"/>
        <v>3660.7985444025776</v>
      </c>
      <c r="CC5" s="204">
        <f t="shared" si="2"/>
        <v>3660.7985444025776</v>
      </c>
      <c r="CD5" s="204">
        <f t="shared" si="2"/>
        <v>3660.7985444025776</v>
      </c>
      <c r="CE5" s="204">
        <f t="shared" si="2"/>
        <v>3660.7985444025776</v>
      </c>
      <c r="CF5" s="204">
        <f t="shared" si="2"/>
        <v>3660.7985444025776</v>
      </c>
      <c r="CG5" s="204">
        <f t="shared" si="2"/>
        <v>3660.7985444025776</v>
      </c>
      <c r="CH5" s="204">
        <f t="shared" si="2"/>
        <v>3660.7985444025776</v>
      </c>
      <c r="CI5" s="204">
        <f t="shared" si="2"/>
        <v>3660.7985444025776</v>
      </c>
      <c r="CJ5" s="204">
        <f t="shared" si="2"/>
        <v>3660.7985444025776</v>
      </c>
      <c r="CK5" s="204">
        <f t="shared" si="2"/>
        <v>3660.7985444025776</v>
      </c>
      <c r="CL5" s="204">
        <f t="shared" si="2"/>
        <v>3660.7985444025776</v>
      </c>
      <c r="CM5" s="204">
        <f t="shared" si="2"/>
        <v>3660.7985444025776</v>
      </c>
      <c r="CN5" s="204">
        <f t="shared" si="2"/>
        <v>3487.9877456007357</v>
      </c>
      <c r="CO5" s="204">
        <f t="shared" si="2"/>
        <v>3487.9877456007357</v>
      </c>
      <c r="CP5" s="204">
        <f t="shared" si="2"/>
        <v>3487.9877456007357</v>
      </c>
      <c r="CQ5" s="204">
        <f t="shared" si="2"/>
        <v>3487.9877456007357</v>
      </c>
      <c r="CR5" s="204">
        <f t="shared" si="2"/>
        <v>3487.9877456007357</v>
      </c>
      <c r="CS5" s="204">
        <f t="shared" si="3"/>
        <v>3487.9877456007357</v>
      </c>
      <c r="CT5" s="204">
        <f t="shared" si="3"/>
        <v>3487.9877456007357</v>
      </c>
      <c r="CU5" s="204">
        <f t="shared" si="3"/>
        <v>3487.9877456007357</v>
      </c>
      <c r="CV5" s="204">
        <f t="shared" si="3"/>
        <v>3487.9877456007357</v>
      </c>
      <c r="CW5" s="204">
        <f t="shared" si="3"/>
        <v>3487.9877456007357</v>
      </c>
      <c r="CX5" s="204">
        <f t="shared" si="3"/>
        <v>3487.9877456007357</v>
      </c>
      <c r="CY5" s="204">
        <f t="shared" si="3"/>
        <v>3487.9877456007357</v>
      </c>
      <c r="CZ5" s="204">
        <f t="shared" si="3"/>
        <v>3487.9877456007357</v>
      </c>
      <c r="DA5" s="204">
        <f t="shared" si="3"/>
        <v>3487.9877456007357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15.170744912960696</v>
      </c>
      <c r="D6" s="203">
        <f>Income!D75</f>
        <v>68.268352108323157</v>
      </c>
      <c r="E6" s="203">
        <f>Income!E75</f>
        <v>123.2623024178057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15.170744912960696</v>
      </c>
      <c r="AQ6" s="204">
        <f t="shared" si="0"/>
        <v>15.170744912960696</v>
      </c>
      <c r="AR6" s="204">
        <f t="shared" si="0"/>
        <v>15.170744912960696</v>
      </c>
      <c r="AS6" s="204">
        <f t="shared" si="0"/>
        <v>15.170744912960696</v>
      </c>
      <c r="AT6" s="204">
        <f t="shared" si="0"/>
        <v>15.170744912960696</v>
      </c>
      <c r="AU6" s="204">
        <f t="shared" si="0"/>
        <v>15.170744912960696</v>
      </c>
      <c r="AV6" s="204">
        <f t="shared" si="0"/>
        <v>15.170744912960696</v>
      </c>
      <c r="AW6" s="204">
        <f t="shared" si="0"/>
        <v>15.170744912960696</v>
      </c>
      <c r="AX6" s="204">
        <f t="shared" si="1"/>
        <v>15.170744912960696</v>
      </c>
      <c r="AY6" s="204">
        <f t="shared" si="1"/>
        <v>15.170744912960696</v>
      </c>
      <c r="AZ6" s="204">
        <f t="shared" si="1"/>
        <v>15.170744912960696</v>
      </c>
      <c r="BA6" s="204">
        <f t="shared" si="1"/>
        <v>15.170744912960696</v>
      </c>
      <c r="BB6" s="204">
        <f t="shared" si="1"/>
        <v>15.170744912960696</v>
      </c>
      <c r="BC6" s="204">
        <f t="shared" si="1"/>
        <v>15.170744912960696</v>
      </c>
      <c r="BD6" s="204">
        <f t="shared" si="1"/>
        <v>15.170744912960696</v>
      </c>
      <c r="BE6" s="204">
        <f t="shared" si="1"/>
        <v>15.170744912960696</v>
      </c>
      <c r="BF6" s="204">
        <f t="shared" si="1"/>
        <v>15.170744912960696</v>
      </c>
      <c r="BG6" s="204">
        <f t="shared" si="1"/>
        <v>15.170744912960696</v>
      </c>
      <c r="BH6" s="204">
        <f t="shared" si="1"/>
        <v>15.170744912960696</v>
      </c>
      <c r="BI6" s="204">
        <f t="shared" si="1"/>
        <v>15.170744912960696</v>
      </c>
      <c r="BJ6" s="204">
        <f t="shared" si="1"/>
        <v>15.170744912960696</v>
      </c>
      <c r="BK6" s="204">
        <f t="shared" si="1"/>
        <v>15.170744912960696</v>
      </c>
      <c r="BL6" s="204">
        <f t="shared" si="1"/>
        <v>15.170744912960696</v>
      </c>
      <c r="BM6" s="204">
        <f t="shared" si="1"/>
        <v>68.268352108323157</v>
      </c>
      <c r="BN6" s="204">
        <f t="shared" si="1"/>
        <v>68.268352108323157</v>
      </c>
      <c r="BO6" s="204">
        <f t="shared" si="1"/>
        <v>68.268352108323157</v>
      </c>
      <c r="BP6" s="204">
        <f t="shared" si="1"/>
        <v>68.268352108323157</v>
      </c>
      <c r="BQ6" s="204">
        <f t="shared" si="1"/>
        <v>68.268352108323157</v>
      </c>
      <c r="BR6" s="204">
        <f t="shared" si="1"/>
        <v>68.268352108323157</v>
      </c>
      <c r="BS6" s="204">
        <f t="shared" si="1"/>
        <v>68.268352108323157</v>
      </c>
      <c r="BT6" s="204">
        <f t="shared" si="1"/>
        <v>68.268352108323157</v>
      </c>
      <c r="BU6" s="204">
        <f t="shared" si="1"/>
        <v>68.268352108323157</v>
      </c>
      <c r="BV6" s="204">
        <f t="shared" si="1"/>
        <v>68.268352108323157</v>
      </c>
      <c r="BW6" s="204">
        <f t="shared" si="1"/>
        <v>68.268352108323157</v>
      </c>
      <c r="BX6" s="204">
        <f t="shared" si="1"/>
        <v>68.268352108323157</v>
      </c>
      <c r="BY6" s="204">
        <f t="shared" si="1"/>
        <v>68.268352108323157</v>
      </c>
      <c r="BZ6" s="204">
        <f t="shared" si="1"/>
        <v>68.268352108323157</v>
      </c>
      <c r="CA6" s="204">
        <f t="shared" si="2"/>
        <v>68.268352108323157</v>
      </c>
      <c r="CB6" s="204">
        <f t="shared" si="2"/>
        <v>68.268352108323157</v>
      </c>
      <c r="CC6" s="204">
        <f t="shared" si="2"/>
        <v>68.268352108323157</v>
      </c>
      <c r="CD6" s="204">
        <f t="shared" si="2"/>
        <v>68.268352108323157</v>
      </c>
      <c r="CE6" s="204">
        <f t="shared" si="2"/>
        <v>68.268352108323157</v>
      </c>
      <c r="CF6" s="204">
        <f t="shared" si="2"/>
        <v>68.268352108323157</v>
      </c>
      <c r="CG6" s="204">
        <f t="shared" si="2"/>
        <v>68.268352108323157</v>
      </c>
      <c r="CH6" s="204">
        <f t="shared" si="2"/>
        <v>68.268352108323157</v>
      </c>
      <c r="CI6" s="204">
        <f t="shared" si="2"/>
        <v>68.268352108323157</v>
      </c>
      <c r="CJ6" s="204">
        <f t="shared" si="2"/>
        <v>68.268352108323157</v>
      </c>
      <c r="CK6" s="204">
        <f t="shared" si="2"/>
        <v>68.268352108323157</v>
      </c>
      <c r="CL6" s="204">
        <f t="shared" si="2"/>
        <v>68.268352108323157</v>
      </c>
      <c r="CM6" s="204">
        <f t="shared" si="2"/>
        <v>68.268352108323157</v>
      </c>
      <c r="CN6" s="204">
        <f t="shared" si="2"/>
        <v>123.2623024178057</v>
      </c>
      <c r="CO6" s="204">
        <f t="shared" si="2"/>
        <v>123.2623024178057</v>
      </c>
      <c r="CP6" s="204">
        <f t="shared" si="2"/>
        <v>123.2623024178057</v>
      </c>
      <c r="CQ6" s="204">
        <f t="shared" si="2"/>
        <v>123.2623024178057</v>
      </c>
      <c r="CR6" s="204">
        <f t="shared" si="2"/>
        <v>123.2623024178057</v>
      </c>
      <c r="CS6" s="204">
        <f t="shared" si="3"/>
        <v>123.2623024178057</v>
      </c>
      <c r="CT6" s="204">
        <f t="shared" si="3"/>
        <v>123.2623024178057</v>
      </c>
      <c r="CU6" s="204">
        <f t="shared" si="3"/>
        <v>123.2623024178057</v>
      </c>
      <c r="CV6" s="204">
        <f t="shared" si="3"/>
        <v>123.2623024178057</v>
      </c>
      <c r="CW6" s="204">
        <f t="shared" si="3"/>
        <v>123.2623024178057</v>
      </c>
      <c r="CX6" s="204">
        <f t="shared" si="3"/>
        <v>123.2623024178057</v>
      </c>
      <c r="CY6" s="204">
        <f t="shared" si="3"/>
        <v>123.2623024178057</v>
      </c>
      <c r="CZ6" s="204">
        <f t="shared" si="3"/>
        <v>123.2623024178057</v>
      </c>
      <c r="DA6" s="204">
        <f t="shared" si="3"/>
        <v>123.2623024178057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3034.1489825921394</v>
      </c>
      <c r="D7" s="203">
        <f>Income!D76</f>
        <v>10240.252816248472</v>
      </c>
      <c r="E7" s="203">
        <f>Income!E76</f>
        <v>52149.435638302399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3034.1489825921394</v>
      </c>
      <c r="AQ7" s="204">
        <f t="shared" si="0"/>
        <v>3034.1489825921394</v>
      </c>
      <c r="AR7" s="204">
        <f t="shared" si="0"/>
        <v>3034.1489825921394</v>
      </c>
      <c r="AS7" s="204">
        <f t="shared" si="0"/>
        <v>3034.1489825921394</v>
      </c>
      <c r="AT7" s="204">
        <f t="shared" si="0"/>
        <v>3034.1489825921394</v>
      </c>
      <c r="AU7" s="204">
        <f t="shared" ref="AU7:BJ8" si="5">IF(AU$2&lt;=($B$2+$C$2+$D$2),IF(AU$2&lt;=($B$2+$C$2),IF(AU$2&lt;=$B$2,$B7,$C7),$D7),$E7)</f>
        <v>3034.1489825921394</v>
      </c>
      <c r="AV7" s="204">
        <f t="shared" si="5"/>
        <v>3034.1489825921394</v>
      </c>
      <c r="AW7" s="204">
        <f t="shared" si="5"/>
        <v>3034.1489825921394</v>
      </c>
      <c r="AX7" s="204">
        <f t="shared" si="5"/>
        <v>3034.1489825921394</v>
      </c>
      <c r="AY7" s="204">
        <f t="shared" si="5"/>
        <v>3034.1489825921394</v>
      </c>
      <c r="AZ7" s="204">
        <f t="shared" si="5"/>
        <v>3034.1489825921394</v>
      </c>
      <c r="BA7" s="204">
        <f t="shared" si="5"/>
        <v>3034.1489825921394</v>
      </c>
      <c r="BB7" s="204">
        <f t="shared" si="5"/>
        <v>3034.1489825921394</v>
      </c>
      <c r="BC7" s="204">
        <f t="shared" si="5"/>
        <v>3034.1489825921394</v>
      </c>
      <c r="BD7" s="204">
        <f t="shared" si="5"/>
        <v>3034.1489825921394</v>
      </c>
      <c r="BE7" s="204">
        <f t="shared" si="5"/>
        <v>3034.1489825921394</v>
      </c>
      <c r="BF7" s="204">
        <f t="shared" si="5"/>
        <v>3034.1489825921394</v>
      </c>
      <c r="BG7" s="204">
        <f t="shared" si="5"/>
        <v>3034.1489825921394</v>
      </c>
      <c r="BH7" s="204">
        <f t="shared" si="5"/>
        <v>3034.1489825921394</v>
      </c>
      <c r="BI7" s="204">
        <f t="shared" si="5"/>
        <v>3034.1489825921394</v>
      </c>
      <c r="BJ7" s="204">
        <f t="shared" si="5"/>
        <v>3034.1489825921394</v>
      </c>
      <c r="BK7" s="204">
        <f t="shared" si="1"/>
        <v>3034.1489825921394</v>
      </c>
      <c r="BL7" s="204">
        <f t="shared" si="1"/>
        <v>3034.1489825921394</v>
      </c>
      <c r="BM7" s="204">
        <f t="shared" si="1"/>
        <v>10240.252816248472</v>
      </c>
      <c r="BN7" s="204">
        <f t="shared" si="1"/>
        <v>10240.252816248472</v>
      </c>
      <c r="BO7" s="204">
        <f t="shared" si="1"/>
        <v>10240.252816248472</v>
      </c>
      <c r="BP7" s="204">
        <f t="shared" si="1"/>
        <v>10240.252816248472</v>
      </c>
      <c r="BQ7" s="204">
        <f t="shared" si="1"/>
        <v>10240.252816248472</v>
      </c>
      <c r="BR7" s="204">
        <f t="shared" si="1"/>
        <v>10240.252816248472</v>
      </c>
      <c r="BS7" s="204">
        <f t="shared" si="1"/>
        <v>10240.252816248472</v>
      </c>
      <c r="BT7" s="204">
        <f t="shared" si="1"/>
        <v>10240.252816248472</v>
      </c>
      <c r="BU7" s="204">
        <f t="shared" si="1"/>
        <v>10240.252816248472</v>
      </c>
      <c r="BV7" s="204">
        <f t="shared" si="1"/>
        <v>10240.252816248472</v>
      </c>
      <c r="BW7" s="204">
        <f t="shared" si="1"/>
        <v>10240.252816248472</v>
      </c>
      <c r="BX7" s="204">
        <f t="shared" si="1"/>
        <v>10240.252816248472</v>
      </c>
      <c r="BY7" s="204">
        <f t="shared" si="1"/>
        <v>10240.252816248472</v>
      </c>
      <c r="BZ7" s="204">
        <f t="shared" si="1"/>
        <v>10240.252816248472</v>
      </c>
      <c r="CA7" s="204">
        <f t="shared" si="2"/>
        <v>10240.252816248472</v>
      </c>
      <c r="CB7" s="204">
        <f t="shared" si="2"/>
        <v>10240.252816248472</v>
      </c>
      <c r="CC7" s="204">
        <f t="shared" si="2"/>
        <v>10240.252816248472</v>
      </c>
      <c r="CD7" s="204">
        <f t="shared" si="2"/>
        <v>10240.252816248472</v>
      </c>
      <c r="CE7" s="204">
        <f t="shared" si="2"/>
        <v>10240.252816248472</v>
      </c>
      <c r="CF7" s="204">
        <f t="shared" si="2"/>
        <v>10240.252816248472</v>
      </c>
      <c r="CG7" s="204">
        <f t="shared" si="2"/>
        <v>10240.252816248472</v>
      </c>
      <c r="CH7" s="204">
        <f t="shared" si="2"/>
        <v>10240.252816248472</v>
      </c>
      <c r="CI7" s="204">
        <f t="shared" si="2"/>
        <v>10240.252816248472</v>
      </c>
      <c r="CJ7" s="204">
        <f t="shared" si="2"/>
        <v>10240.252816248472</v>
      </c>
      <c r="CK7" s="204">
        <f t="shared" si="2"/>
        <v>10240.252816248472</v>
      </c>
      <c r="CL7" s="204">
        <f t="shared" si="2"/>
        <v>10240.252816248472</v>
      </c>
      <c r="CM7" s="204">
        <f t="shared" si="2"/>
        <v>10240.252816248472</v>
      </c>
      <c r="CN7" s="204">
        <f t="shared" si="2"/>
        <v>52149.435638302399</v>
      </c>
      <c r="CO7" s="204">
        <f t="shared" si="2"/>
        <v>52149.435638302399</v>
      </c>
      <c r="CP7" s="204">
        <f t="shared" si="2"/>
        <v>52149.435638302399</v>
      </c>
      <c r="CQ7" s="204">
        <f t="shared" si="2"/>
        <v>52149.435638302399</v>
      </c>
      <c r="CR7" s="204">
        <f t="shared" si="2"/>
        <v>52149.435638302399</v>
      </c>
      <c r="CS7" s="204">
        <f t="shared" si="3"/>
        <v>52149.435638302399</v>
      </c>
      <c r="CT7" s="204">
        <f t="shared" si="3"/>
        <v>52149.435638302399</v>
      </c>
      <c r="CU7" s="204">
        <f t="shared" si="3"/>
        <v>52149.435638302399</v>
      </c>
      <c r="CV7" s="204">
        <f t="shared" si="3"/>
        <v>52149.435638302399</v>
      </c>
      <c r="CW7" s="204">
        <f t="shared" si="3"/>
        <v>52149.435638302399</v>
      </c>
      <c r="CX7" s="204">
        <f t="shared" si="3"/>
        <v>52149.435638302399</v>
      </c>
      <c r="CY7" s="204">
        <f t="shared" si="3"/>
        <v>52149.435638302399</v>
      </c>
      <c r="CZ7" s="204">
        <f t="shared" si="3"/>
        <v>52149.435638302399</v>
      </c>
      <c r="DA7" s="204">
        <f t="shared" si="3"/>
        <v>52149.435638302399</v>
      </c>
      <c r="DB7" s="204"/>
    </row>
    <row r="8" spans="1:106">
      <c r="A8" s="201" t="str">
        <f>Income!A77</f>
        <v>Wild foods consumed and sold</v>
      </c>
      <c r="B8" s="203">
        <f>Income!B77</f>
        <v>176.62640873941967</v>
      </c>
      <c r="C8" s="203">
        <f>Income!C77</f>
        <v>615.71526170226105</v>
      </c>
      <c r="D8" s="203">
        <f>Income!D77</f>
        <v>521.03690787289827</v>
      </c>
      <c r="E8" s="203">
        <f>Income!E77</f>
        <v>176.62640873941965</v>
      </c>
      <c r="F8" s="204">
        <f t="shared" si="4"/>
        <v>176.62640873941967</v>
      </c>
      <c r="G8" s="204">
        <f t="shared" si="4"/>
        <v>176.62640873941967</v>
      </c>
      <c r="H8" s="204">
        <f t="shared" si="4"/>
        <v>176.62640873941967</v>
      </c>
      <c r="I8" s="204">
        <f t="shared" si="4"/>
        <v>176.62640873941967</v>
      </c>
      <c r="J8" s="204">
        <f t="shared" si="4"/>
        <v>176.62640873941967</v>
      </c>
      <c r="K8" s="204">
        <f t="shared" si="4"/>
        <v>176.62640873941967</v>
      </c>
      <c r="L8" s="204">
        <f t="shared" si="4"/>
        <v>176.62640873941967</v>
      </c>
      <c r="M8" s="204">
        <f t="shared" si="4"/>
        <v>176.62640873941967</v>
      </c>
      <c r="N8" s="204">
        <f t="shared" si="4"/>
        <v>176.62640873941967</v>
      </c>
      <c r="O8" s="204">
        <f t="shared" si="4"/>
        <v>176.62640873941967</v>
      </c>
      <c r="P8" s="204">
        <f t="shared" si="4"/>
        <v>176.62640873941967</v>
      </c>
      <c r="Q8" s="204">
        <f t="shared" si="4"/>
        <v>176.62640873941967</v>
      </c>
      <c r="R8" s="204">
        <f t="shared" si="4"/>
        <v>176.62640873941967</v>
      </c>
      <c r="S8" s="204">
        <f t="shared" si="4"/>
        <v>176.62640873941967</v>
      </c>
      <c r="T8" s="204">
        <f t="shared" si="4"/>
        <v>176.62640873941967</v>
      </c>
      <c r="U8" s="204">
        <f t="shared" si="4"/>
        <v>176.62640873941967</v>
      </c>
      <c r="V8" s="204">
        <f t="shared" ref="V8:AK18" si="6">IF(V$2&lt;=($B$2+$C$2+$D$2),IF(V$2&lt;=($B$2+$C$2),IF(V$2&lt;=$B$2,$B8,$C8),$D8),$E8)</f>
        <v>176.62640873941967</v>
      </c>
      <c r="W8" s="204">
        <f t="shared" si="6"/>
        <v>176.62640873941967</v>
      </c>
      <c r="X8" s="204">
        <f t="shared" si="6"/>
        <v>176.62640873941967</v>
      </c>
      <c r="Y8" s="204">
        <f t="shared" si="6"/>
        <v>176.62640873941967</v>
      </c>
      <c r="Z8" s="204">
        <f t="shared" si="6"/>
        <v>176.62640873941967</v>
      </c>
      <c r="AA8" s="204">
        <f t="shared" si="6"/>
        <v>176.62640873941967</v>
      </c>
      <c r="AB8" s="204">
        <f t="shared" si="6"/>
        <v>176.62640873941967</v>
      </c>
      <c r="AC8" s="204">
        <f t="shared" si="6"/>
        <v>176.62640873941967</v>
      </c>
      <c r="AD8" s="204">
        <f t="shared" si="6"/>
        <v>176.62640873941967</v>
      </c>
      <c r="AE8" s="204">
        <f t="shared" si="6"/>
        <v>176.62640873941967</v>
      </c>
      <c r="AF8" s="204">
        <f t="shared" si="6"/>
        <v>176.62640873941967</v>
      </c>
      <c r="AG8" s="204">
        <f t="shared" si="6"/>
        <v>176.62640873941967</v>
      </c>
      <c r="AH8" s="204">
        <f t="shared" si="6"/>
        <v>176.62640873941967</v>
      </c>
      <c r="AI8" s="204">
        <f t="shared" si="6"/>
        <v>176.62640873941967</v>
      </c>
      <c r="AJ8" s="204">
        <f t="shared" si="6"/>
        <v>176.62640873941967</v>
      </c>
      <c r="AK8" s="204">
        <f t="shared" si="6"/>
        <v>176.62640873941967</v>
      </c>
      <c r="AL8" s="204">
        <f t="shared" ref="AL8:BA18" si="7">IF(AL$2&lt;=($B$2+$C$2+$D$2),IF(AL$2&lt;=($B$2+$C$2),IF(AL$2&lt;=$B$2,$B8,$C8),$D8),$E8)</f>
        <v>176.62640873941967</v>
      </c>
      <c r="AM8" s="204">
        <f t="shared" si="7"/>
        <v>176.62640873941967</v>
      </c>
      <c r="AN8" s="204">
        <f t="shared" si="7"/>
        <v>176.62640873941967</v>
      </c>
      <c r="AO8" s="204">
        <f t="shared" si="7"/>
        <v>176.62640873941967</v>
      </c>
      <c r="AP8" s="204">
        <f t="shared" si="7"/>
        <v>615.71526170226105</v>
      </c>
      <c r="AQ8" s="204">
        <f t="shared" si="7"/>
        <v>615.71526170226105</v>
      </c>
      <c r="AR8" s="204">
        <f t="shared" si="7"/>
        <v>615.71526170226105</v>
      </c>
      <c r="AS8" s="204">
        <f t="shared" si="7"/>
        <v>615.71526170226105</v>
      </c>
      <c r="AT8" s="204">
        <f t="shared" si="7"/>
        <v>615.71526170226105</v>
      </c>
      <c r="AU8" s="204">
        <f t="shared" si="7"/>
        <v>615.71526170226105</v>
      </c>
      <c r="AV8" s="204">
        <f t="shared" si="7"/>
        <v>615.71526170226105</v>
      </c>
      <c r="AW8" s="204">
        <f t="shared" si="7"/>
        <v>615.71526170226105</v>
      </c>
      <c r="AX8" s="204">
        <f t="shared" si="7"/>
        <v>615.71526170226105</v>
      </c>
      <c r="AY8" s="204">
        <f t="shared" si="7"/>
        <v>615.71526170226105</v>
      </c>
      <c r="AZ8" s="204">
        <f t="shared" si="7"/>
        <v>615.71526170226105</v>
      </c>
      <c r="BA8" s="204">
        <f t="shared" si="7"/>
        <v>615.71526170226105</v>
      </c>
      <c r="BB8" s="204">
        <f t="shared" si="5"/>
        <v>615.71526170226105</v>
      </c>
      <c r="BC8" s="204">
        <f t="shared" si="5"/>
        <v>615.71526170226105</v>
      </c>
      <c r="BD8" s="204">
        <f t="shared" si="5"/>
        <v>615.71526170226105</v>
      </c>
      <c r="BE8" s="204">
        <f t="shared" si="5"/>
        <v>615.71526170226105</v>
      </c>
      <c r="BF8" s="204">
        <f t="shared" si="5"/>
        <v>615.71526170226105</v>
      </c>
      <c r="BG8" s="204">
        <f t="shared" si="5"/>
        <v>615.71526170226105</v>
      </c>
      <c r="BH8" s="204">
        <f t="shared" si="5"/>
        <v>615.71526170226105</v>
      </c>
      <c r="BI8" s="204">
        <f t="shared" si="5"/>
        <v>615.71526170226105</v>
      </c>
      <c r="BJ8" s="204">
        <f t="shared" si="5"/>
        <v>615.71526170226105</v>
      </c>
      <c r="BK8" s="204">
        <f t="shared" si="1"/>
        <v>615.71526170226105</v>
      </c>
      <c r="BL8" s="204">
        <f t="shared" si="1"/>
        <v>615.71526170226105</v>
      </c>
      <c r="BM8" s="204">
        <f t="shared" si="1"/>
        <v>521.03690787289827</v>
      </c>
      <c r="BN8" s="204">
        <f t="shared" si="1"/>
        <v>521.03690787289827</v>
      </c>
      <c r="BO8" s="204">
        <f t="shared" si="1"/>
        <v>521.03690787289827</v>
      </c>
      <c r="BP8" s="204">
        <f t="shared" si="1"/>
        <v>521.03690787289827</v>
      </c>
      <c r="BQ8" s="204">
        <f t="shared" si="1"/>
        <v>521.03690787289827</v>
      </c>
      <c r="BR8" s="204">
        <f t="shared" si="1"/>
        <v>521.03690787289827</v>
      </c>
      <c r="BS8" s="204">
        <f t="shared" si="1"/>
        <v>521.03690787289827</v>
      </c>
      <c r="BT8" s="204">
        <f t="shared" si="1"/>
        <v>521.03690787289827</v>
      </c>
      <c r="BU8" s="204">
        <f t="shared" si="1"/>
        <v>521.03690787289827</v>
      </c>
      <c r="BV8" s="204">
        <f t="shared" si="1"/>
        <v>521.03690787289827</v>
      </c>
      <c r="BW8" s="204">
        <f t="shared" si="1"/>
        <v>521.03690787289827</v>
      </c>
      <c r="BX8" s="204">
        <f t="shared" si="1"/>
        <v>521.03690787289827</v>
      </c>
      <c r="BY8" s="204">
        <f t="shared" si="1"/>
        <v>521.03690787289827</v>
      </c>
      <c r="BZ8" s="204">
        <f t="shared" si="1"/>
        <v>521.03690787289827</v>
      </c>
      <c r="CA8" s="204">
        <f t="shared" si="2"/>
        <v>521.03690787289827</v>
      </c>
      <c r="CB8" s="204">
        <f t="shared" si="2"/>
        <v>521.03690787289827</v>
      </c>
      <c r="CC8" s="204">
        <f t="shared" si="2"/>
        <v>521.03690787289827</v>
      </c>
      <c r="CD8" s="204">
        <f t="shared" si="2"/>
        <v>521.03690787289827</v>
      </c>
      <c r="CE8" s="204">
        <f t="shared" si="2"/>
        <v>521.03690787289827</v>
      </c>
      <c r="CF8" s="204">
        <f t="shared" si="2"/>
        <v>521.03690787289827</v>
      </c>
      <c r="CG8" s="204">
        <f t="shared" si="2"/>
        <v>521.03690787289827</v>
      </c>
      <c r="CH8" s="204">
        <f t="shared" si="2"/>
        <v>521.03690787289827</v>
      </c>
      <c r="CI8" s="204">
        <f t="shared" si="2"/>
        <v>521.03690787289827</v>
      </c>
      <c r="CJ8" s="204">
        <f t="shared" si="2"/>
        <v>521.03690787289827</v>
      </c>
      <c r="CK8" s="204">
        <f t="shared" si="2"/>
        <v>521.03690787289827</v>
      </c>
      <c r="CL8" s="204">
        <f t="shared" si="2"/>
        <v>521.03690787289827</v>
      </c>
      <c r="CM8" s="204">
        <f t="shared" si="2"/>
        <v>521.03690787289827</v>
      </c>
      <c r="CN8" s="204">
        <f t="shared" si="2"/>
        <v>176.62640873941965</v>
      </c>
      <c r="CO8" s="204">
        <f t="shared" si="2"/>
        <v>176.62640873941965</v>
      </c>
      <c r="CP8" s="204">
        <f t="shared" si="2"/>
        <v>176.62640873941965</v>
      </c>
      <c r="CQ8" s="204">
        <f t="shared" si="2"/>
        <v>176.62640873941965</v>
      </c>
      <c r="CR8" s="204">
        <f t="shared" si="2"/>
        <v>176.62640873941965</v>
      </c>
      <c r="CS8" s="204">
        <f t="shared" si="3"/>
        <v>176.62640873941965</v>
      </c>
      <c r="CT8" s="204">
        <f t="shared" si="3"/>
        <v>176.62640873941965</v>
      </c>
      <c r="CU8" s="204">
        <f t="shared" si="3"/>
        <v>176.62640873941965</v>
      </c>
      <c r="CV8" s="204">
        <f t="shared" si="3"/>
        <v>176.62640873941965</v>
      </c>
      <c r="CW8" s="204">
        <f t="shared" si="3"/>
        <v>176.62640873941965</v>
      </c>
      <c r="CX8" s="204">
        <f t="shared" si="3"/>
        <v>176.62640873941965</v>
      </c>
      <c r="CY8" s="204">
        <f t="shared" si="3"/>
        <v>176.62640873941965</v>
      </c>
      <c r="CZ8" s="204">
        <f t="shared" si="3"/>
        <v>176.62640873941965</v>
      </c>
      <c r="DA8" s="204">
        <f t="shared" si="3"/>
        <v>176.62640873941965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5461.4681686658523</v>
      </c>
      <c r="C12" s="203">
        <f>Income!C82</f>
        <v>14563.915116442271</v>
      </c>
      <c r="D12" s="203">
        <f>Income!D82</f>
        <v>32768.809011995116</v>
      </c>
      <c r="E12" s="203">
        <f>Income!E82</f>
        <v>60690.565024299285</v>
      </c>
      <c r="F12" s="204">
        <f t="shared" si="4"/>
        <v>5461.4681686658523</v>
      </c>
      <c r="G12" s="204">
        <f t="shared" si="4"/>
        <v>5461.4681686658523</v>
      </c>
      <c r="H12" s="204">
        <f t="shared" si="4"/>
        <v>5461.4681686658523</v>
      </c>
      <c r="I12" s="204">
        <f t="shared" si="4"/>
        <v>5461.4681686658523</v>
      </c>
      <c r="J12" s="204">
        <f t="shared" si="4"/>
        <v>5461.4681686658523</v>
      </c>
      <c r="K12" s="204">
        <f t="shared" si="4"/>
        <v>5461.4681686658523</v>
      </c>
      <c r="L12" s="204">
        <f t="shared" si="4"/>
        <v>5461.4681686658523</v>
      </c>
      <c r="M12" s="204">
        <f t="shared" si="4"/>
        <v>5461.4681686658523</v>
      </c>
      <c r="N12" s="204">
        <f t="shared" si="4"/>
        <v>5461.4681686658523</v>
      </c>
      <c r="O12" s="204">
        <f t="shared" si="4"/>
        <v>5461.4681686658523</v>
      </c>
      <c r="P12" s="204">
        <f t="shared" si="4"/>
        <v>5461.4681686658523</v>
      </c>
      <c r="Q12" s="204">
        <f t="shared" si="4"/>
        <v>5461.4681686658523</v>
      </c>
      <c r="R12" s="204">
        <f t="shared" si="4"/>
        <v>5461.4681686658523</v>
      </c>
      <c r="S12" s="204">
        <f t="shared" si="4"/>
        <v>5461.4681686658523</v>
      </c>
      <c r="T12" s="204">
        <f t="shared" si="4"/>
        <v>5461.4681686658523</v>
      </c>
      <c r="U12" s="204">
        <f t="shared" si="4"/>
        <v>5461.4681686658523</v>
      </c>
      <c r="V12" s="204">
        <f t="shared" si="6"/>
        <v>5461.4681686658523</v>
      </c>
      <c r="W12" s="204">
        <f t="shared" si="6"/>
        <v>5461.4681686658523</v>
      </c>
      <c r="X12" s="204">
        <f t="shared" si="6"/>
        <v>5461.4681686658523</v>
      </c>
      <c r="Y12" s="204">
        <f t="shared" si="6"/>
        <v>5461.4681686658523</v>
      </c>
      <c r="Z12" s="204">
        <f t="shared" si="6"/>
        <v>5461.4681686658523</v>
      </c>
      <c r="AA12" s="204">
        <f t="shared" si="6"/>
        <v>5461.4681686658523</v>
      </c>
      <c r="AB12" s="204">
        <f t="shared" si="6"/>
        <v>5461.4681686658523</v>
      </c>
      <c r="AC12" s="204">
        <f t="shared" si="6"/>
        <v>5461.4681686658523</v>
      </c>
      <c r="AD12" s="204">
        <f t="shared" si="6"/>
        <v>5461.4681686658523</v>
      </c>
      <c r="AE12" s="204">
        <f t="shared" si="6"/>
        <v>5461.4681686658523</v>
      </c>
      <c r="AF12" s="204">
        <f t="shared" si="6"/>
        <v>5461.4681686658523</v>
      </c>
      <c r="AG12" s="204">
        <f t="shared" si="6"/>
        <v>5461.4681686658523</v>
      </c>
      <c r="AH12" s="204">
        <f t="shared" si="6"/>
        <v>5461.4681686658523</v>
      </c>
      <c r="AI12" s="204">
        <f t="shared" si="6"/>
        <v>5461.4681686658523</v>
      </c>
      <c r="AJ12" s="204">
        <f t="shared" si="6"/>
        <v>5461.4681686658523</v>
      </c>
      <c r="AK12" s="204">
        <f t="shared" si="6"/>
        <v>5461.4681686658523</v>
      </c>
      <c r="AL12" s="204">
        <f t="shared" si="7"/>
        <v>5461.4681686658523</v>
      </c>
      <c r="AM12" s="204">
        <f t="shared" si="7"/>
        <v>5461.4681686658523</v>
      </c>
      <c r="AN12" s="204">
        <f t="shared" si="7"/>
        <v>5461.4681686658523</v>
      </c>
      <c r="AO12" s="204">
        <f t="shared" si="7"/>
        <v>5461.4681686658523</v>
      </c>
      <c r="AP12" s="204">
        <f t="shared" si="7"/>
        <v>14563.915116442271</v>
      </c>
      <c r="AQ12" s="204">
        <f t="shared" si="7"/>
        <v>14563.915116442271</v>
      </c>
      <c r="AR12" s="204">
        <f t="shared" si="7"/>
        <v>14563.915116442271</v>
      </c>
      <c r="AS12" s="204">
        <f t="shared" si="7"/>
        <v>14563.915116442271</v>
      </c>
      <c r="AT12" s="204">
        <f t="shared" si="7"/>
        <v>14563.915116442271</v>
      </c>
      <c r="AU12" s="204">
        <f t="shared" si="7"/>
        <v>14563.915116442271</v>
      </c>
      <c r="AV12" s="204">
        <f t="shared" si="7"/>
        <v>14563.915116442271</v>
      </c>
      <c r="AW12" s="204">
        <f t="shared" si="7"/>
        <v>14563.915116442271</v>
      </c>
      <c r="AX12" s="204">
        <f t="shared" si="8"/>
        <v>14563.915116442271</v>
      </c>
      <c r="AY12" s="204">
        <f t="shared" si="8"/>
        <v>14563.915116442271</v>
      </c>
      <c r="AZ12" s="204">
        <f t="shared" si="8"/>
        <v>14563.915116442271</v>
      </c>
      <c r="BA12" s="204">
        <f t="shared" si="8"/>
        <v>14563.915116442271</v>
      </c>
      <c r="BB12" s="204">
        <f t="shared" si="8"/>
        <v>14563.915116442271</v>
      </c>
      <c r="BC12" s="204">
        <f t="shared" si="8"/>
        <v>14563.915116442271</v>
      </c>
      <c r="BD12" s="204">
        <f t="shared" si="8"/>
        <v>14563.915116442271</v>
      </c>
      <c r="BE12" s="204">
        <f t="shared" si="8"/>
        <v>14563.915116442271</v>
      </c>
      <c r="BF12" s="204">
        <f t="shared" si="8"/>
        <v>14563.915116442271</v>
      </c>
      <c r="BG12" s="204">
        <f t="shared" si="8"/>
        <v>14563.915116442271</v>
      </c>
      <c r="BH12" s="204">
        <f t="shared" si="8"/>
        <v>14563.915116442271</v>
      </c>
      <c r="BI12" s="204">
        <f t="shared" si="8"/>
        <v>14563.915116442271</v>
      </c>
      <c r="BJ12" s="204">
        <f t="shared" si="8"/>
        <v>14563.915116442271</v>
      </c>
      <c r="BK12" s="204">
        <f t="shared" si="8"/>
        <v>14563.915116442271</v>
      </c>
      <c r="BL12" s="204">
        <f t="shared" si="8"/>
        <v>14563.915116442271</v>
      </c>
      <c r="BM12" s="204">
        <f t="shared" si="8"/>
        <v>32768.809011995116</v>
      </c>
      <c r="BN12" s="204">
        <f t="shared" si="8"/>
        <v>32768.809011995116</v>
      </c>
      <c r="BO12" s="204">
        <f t="shared" si="8"/>
        <v>32768.809011995116</v>
      </c>
      <c r="BP12" s="204">
        <f t="shared" si="8"/>
        <v>32768.809011995116</v>
      </c>
      <c r="BQ12" s="204">
        <f t="shared" si="8"/>
        <v>32768.809011995116</v>
      </c>
      <c r="BR12" s="204">
        <f t="shared" si="8"/>
        <v>32768.809011995116</v>
      </c>
      <c r="BS12" s="204">
        <f t="shared" si="8"/>
        <v>32768.809011995116</v>
      </c>
      <c r="BT12" s="204">
        <f t="shared" si="8"/>
        <v>32768.809011995116</v>
      </c>
      <c r="BU12" s="204">
        <f t="shared" si="8"/>
        <v>32768.809011995116</v>
      </c>
      <c r="BV12" s="204">
        <f t="shared" si="8"/>
        <v>32768.809011995116</v>
      </c>
      <c r="BW12" s="204">
        <f t="shared" si="8"/>
        <v>32768.809011995116</v>
      </c>
      <c r="BX12" s="204">
        <f t="shared" si="8"/>
        <v>32768.809011995116</v>
      </c>
      <c r="BY12" s="204">
        <f t="shared" si="8"/>
        <v>32768.809011995116</v>
      </c>
      <c r="BZ12" s="204">
        <f t="shared" si="8"/>
        <v>32768.809011995116</v>
      </c>
      <c r="CA12" s="204">
        <f t="shared" si="2"/>
        <v>32768.809011995116</v>
      </c>
      <c r="CB12" s="204">
        <f t="shared" si="2"/>
        <v>32768.809011995116</v>
      </c>
      <c r="CC12" s="204">
        <f t="shared" si="2"/>
        <v>32768.809011995116</v>
      </c>
      <c r="CD12" s="204">
        <f t="shared" si="2"/>
        <v>32768.809011995116</v>
      </c>
      <c r="CE12" s="204">
        <f t="shared" si="2"/>
        <v>32768.809011995116</v>
      </c>
      <c r="CF12" s="204">
        <f t="shared" si="2"/>
        <v>32768.809011995116</v>
      </c>
      <c r="CG12" s="204">
        <f t="shared" si="2"/>
        <v>32768.809011995116</v>
      </c>
      <c r="CH12" s="204">
        <f t="shared" si="2"/>
        <v>32768.809011995116</v>
      </c>
      <c r="CI12" s="204">
        <f t="shared" si="2"/>
        <v>32768.809011995116</v>
      </c>
      <c r="CJ12" s="204">
        <f t="shared" si="2"/>
        <v>32768.809011995116</v>
      </c>
      <c r="CK12" s="204">
        <f t="shared" si="2"/>
        <v>32768.809011995116</v>
      </c>
      <c r="CL12" s="204">
        <f t="shared" si="2"/>
        <v>32768.809011995116</v>
      </c>
      <c r="CM12" s="204">
        <f t="shared" si="2"/>
        <v>32768.809011995116</v>
      </c>
      <c r="CN12" s="204">
        <f t="shared" si="2"/>
        <v>60690.565024299285</v>
      </c>
      <c r="CO12" s="204">
        <f t="shared" si="2"/>
        <v>60690.565024299285</v>
      </c>
      <c r="CP12" s="204">
        <f t="shared" si="2"/>
        <v>60690.565024299285</v>
      </c>
      <c r="CQ12" s="204">
        <f t="shared" si="2"/>
        <v>60690.565024299285</v>
      </c>
      <c r="CR12" s="204">
        <f t="shared" si="2"/>
        <v>60690.565024299285</v>
      </c>
      <c r="CS12" s="204">
        <f t="shared" si="3"/>
        <v>60690.565024299285</v>
      </c>
      <c r="CT12" s="204">
        <f t="shared" si="3"/>
        <v>60690.565024299285</v>
      </c>
      <c r="CU12" s="204">
        <f t="shared" si="3"/>
        <v>60690.565024299285</v>
      </c>
      <c r="CV12" s="204">
        <f t="shared" si="3"/>
        <v>60690.565024299285</v>
      </c>
      <c r="CW12" s="204">
        <f t="shared" si="3"/>
        <v>60690.565024299285</v>
      </c>
      <c r="CX12" s="204">
        <f t="shared" si="3"/>
        <v>60690.565024299285</v>
      </c>
      <c r="CY12" s="204">
        <f t="shared" si="3"/>
        <v>60690.565024299285</v>
      </c>
      <c r="CZ12" s="204">
        <f t="shared" si="3"/>
        <v>60690.565024299285</v>
      </c>
      <c r="DA12" s="204">
        <f t="shared" si="3"/>
        <v>60690.565024299285</v>
      </c>
      <c r="DB12" s="204"/>
    </row>
    <row r="13" spans="1:106">
      <c r="A13" s="201" t="str">
        <f>Income!A83</f>
        <v>Food transfer - official</v>
      </c>
      <c r="B13" s="203">
        <f>Income!B83</f>
        <v>1682.1562737087584</v>
      </c>
      <c r="C13" s="203">
        <f>Income!C83</f>
        <v>1682.1562737087584</v>
      </c>
      <c r="D13" s="203">
        <f>Income!D83</f>
        <v>1682.1562737087584</v>
      </c>
      <c r="E13" s="203">
        <f>Income!E83</f>
        <v>1051.347671067974</v>
      </c>
      <c r="F13" s="204">
        <f t="shared" si="4"/>
        <v>1682.1562737087584</v>
      </c>
      <c r="G13" s="204">
        <f t="shared" si="4"/>
        <v>1682.1562737087584</v>
      </c>
      <c r="H13" s="204">
        <f t="shared" si="4"/>
        <v>1682.1562737087584</v>
      </c>
      <c r="I13" s="204">
        <f t="shared" si="4"/>
        <v>1682.1562737087584</v>
      </c>
      <c r="J13" s="204">
        <f t="shared" si="4"/>
        <v>1682.1562737087584</v>
      </c>
      <c r="K13" s="204">
        <f t="shared" si="4"/>
        <v>1682.1562737087584</v>
      </c>
      <c r="L13" s="204">
        <f t="shared" si="4"/>
        <v>1682.1562737087584</v>
      </c>
      <c r="M13" s="204">
        <f t="shared" si="4"/>
        <v>1682.1562737087584</v>
      </c>
      <c r="N13" s="204">
        <f t="shared" si="4"/>
        <v>1682.1562737087584</v>
      </c>
      <c r="O13" s="204">
        <f t="shared" si="4"/>
        <v>1682.1562737087584</v>
      </c>
      <c r="P13" s="204">
        <f t="shared" si="4"/>
        <v>1682.1562737087584</v>
      </c>
      <c r="Q13" s="204">
        <f t="shared" si="4"/>
        <v>1682.1562737087584</v>
      </c>
      <c r="R13" s="204">
        <f t="shared" si="4"/>
        <v>1682.1562737087584</v>
      </c>
      <c r="S13" s="204">
        <f t="shared" si="4"/>
        <v>1682.1562737087584</v>
      </c>
      <c r="T13" s="204">
        <f t="shared" si="4"/>
        <v>1682.1562737087584</v>
      </c>
      <c r="U13" s="204">
        <f t="shared" si="4"/>
        <v>1682.1562737087584</v>
      </c>
      <c r="V13" s="204">
        <f t="shared" si="6"/>
        <v>1682.1562737087584</v>
      </c>
      <c r="W13" s="204">
        <f t="shared" si="6"/>
        <v>1682.1562737087584</v>
      </c>
      <c r="X13" s="204">
        <f t="shared" si="6"/>
        <v>1682.1562737087584</v>
      </c>
      <c r="Y13" s="204">
        <f t="shared" si="6"/>
        <v>1682.1562737087584</v>
      </c>
      <c r="Z13" s="204">
        <f t="shared" si="6"/>
        <v>1682.1562737087584</v>
      </c>
      <c r="AA13" s="204">
        <f t="shared" si="6"/>
        <v>1682.1562737087584</v>
      </c>
      <c r="AB13" s="204">
        <f t="shared" si="6"/>
        <v>1682.1562737087584</v>
      </c>
      <c r="AC13" s="204">
        <f t="shared" si="6"/>
        <v>1682.1562737087584</v>
      </c>
      <c r="AD13" s="204">
        <f t="shared" si="6"/>
        <v>1682.1562737087584</v>
      </c>
      <c r="AE13" s="204">
        <f t="shared" si="6"/>
        <v>1682.1562737087584</v>
      </c>
      <c r="AF13" s="204">
        <f t="shared" si="6"/>
        <v>1682.1562737087584</v>
      </c>
      <c r="AG13" s="204">
        <f t="shared" si="6"/>
        <v>1682.1562737087584</v>
      </c>
      <c r="AH13" s="204">
        <f t="shared" si="6"/>
        <v>1682.1562737087584</v>
      </c>
      <c r="AI13" s="204">
        <f t="shared" si="6"/>
        <v>1682.1562737087584</v>
      </c>
      <c r="AJ13" s="204">
        <f t="shared" si="6"/>
        <v>1682.1562737087584</v>
      </c>
      <c r="AK13" s="204">
        <f t="shared" si="6"/>
        <v>1682.1562737087584</v>
      </c>
      <c r="AL13" s="204">
        <f t="shared" si="7"/>
        <v>1682.1562737087584</v>
      </c>
      <c r="AM13" s="204">
        <f t="shared" si="7"/>
        <v>1682.1562737087584</v>
      </c>
      <c r="AN13" s="204">
        <f t="shared" si="7"/>
        <v>1682.1562737087584</v>
      </c>
      <c r="AO13" s="204">
        <f t="shared" si="7"/>
        <v>1682.1562737087584</v>
      </c>
      <c r="AP13" s="204">
        <f t="shared" si="7"/>
        <v>1682.1562737087584</v>
      </c>
      <c r="AQ13" s="204">
        <f t="shared" si="7"/>
        <v>1682.1562737087584</v>
      </c>
      <c r="AR13" s="204">
        <f t="shared" si="7"/>
        <v>1682.1562737087584</v>
      </c>
      <c r="AS13" s="204">
        <f t="shared" si="7"/>
        <v>1682.1562737087584</v>
      </c>
      <c r="AT13" s="204">
        <f t="shared" si="7"/>
        <v>1682.1562737087584</v>
      </c>
      <c r="AU13" s="204">
        <f t="shared" si="7"/>
        <v>1682.1562737087584</v>
      </c>
      <c r="AV13" s="204">
        <f t="shared" si="7"/>
        <v>1682.1562737087584</v>
      </c>
      <c r="AW13" s="204">
        <f t="shared" si="7"/>
        <v>1682.1562737087584</v>
      </c>
      <c r="AX13" s="204">
        <f t="shared" si="8"/>
        <v>1682.1562737087584</v>
      </c>
      <c r="AY13" s="204">
        <f t="shared" si="8"/>
        <v>1682.1562737087584</v>
      </c>
      <c r="AZ13" s="204">
        <f t="shared" si="8"/>
        <v>1682.1562737087584</v>
      </c>
      <c r="BA13" s="204">
        <f t="shared" si="8"/>
        <v>1682.1562737087584</v>
      </c>
      <c r="BB13" s="204">
        <f t="shared" si="8"/>
        <v>1682.1562737087584</v>
      </c>
      <c r="BC13" s="204">
        <f t="shared" si="8"/>
        <v>1682.1562737087584</v>
      </c>
      <c r="BD13" s="204">
        <f t="shared" si="8"/>
        <v>1682.1562737087584</v>
      </c>
      <c r="BE13" s="204">
        <f t="shared" si="8"/>
        <v>1682.1562737087584</v>
      </c>
      <c r="BF13" s="204">
        <f t="shared" si="8"/>
        <v>1682.1562737087584</v>
      </c>
      <c r="BG13" s="204">
        <f t="shared" si="8"/>
        <v>1682.1562737087584</v>
      </c>
      <c r="BH13" s="204">
        <f t="shared" si="8"/>
        <v>1682.1562737087584</v>
      </c>
      <c r="BI13" s="204">
        <f t="shared" si="8"/>
        <v>1682.1562737087584</v>
      </c>
      <c r="BJ13" s="204">
        <f t="shared" si="8"/>
        <v>1682.1562737087584</v>
      </c>
      <c r="BK13" s="204">
        <f t="shared" si="8"/>
        <v>1682.1562737087584</v>
      </c>
      <c r="BL13" s="204">
        <f t="shared" si="8"/>
        <v>1682.1562737087584</v>
      </c>
      <c r="BM13" s="204">
        <f t="shared" si="8"/>
        <v>1682.1562737087584</v>
      </c>
      <c r="BN13" s="204">
        <f t="shared" si="8"/>
        <v>1682.1562737087584</v>
      </c>
      <c r="BO13" s="204">
        <f t="shared" si="8"/>
        <v>1682.1562737087584</v>
      </c>
      <c r="BP13" s="204">
        <f t="shared" si="8"/>
        <v>1682.1562737087584</v>
      </c>
      <c r="BQ13" s="204">
        <f t="shared" si="8"/>
        <v>1682.1562737087584</v>
      </c>
      <c r="BR13" s="204">
        <f t="shared" si="8"/>
        <v>1682.1562737087584</v>
      </c>
      <c r="BS13" s="204">
        <f t="shared" si="8"/>
        <v>1682.1562737087584</v>
      </c>
      <c r="BT13" s="204">
        <f t="shared" si="8"/>
        <v>1682.1562737087584</v>
      </c>
      <c r="BU13" s="204">
        <f t="shared" si="8"/>
        <v>1682.1562737087584</v>
      </c>
      <c r="BV13" s="204">
        <f t="shared" si="8"/>
        <v>1682.1562737087584</v>
      </c>
      <c r="BW13" s="204">
        <f t="shared" si="8"/>
        <v>1682.1562737087584</v>
      </c>
      <c r="BX13" s="204">
        <f t="shared" si="8"/>
        <v>1682.1562737087584</v>
      </c>
      <c r="BY13" s="204">
        <f t="shared" si="8"/>
        <v>1682.1562737087584</v>
      </c>
      <c r="BZ13" s="204">
        <f t="shared" si="8"/>
        <v>1682.1562737087584</v>
      </c>
      <c r="CA13" s="204">
        <f t="shared" si="2"/>
        <v>1682.1562737087584</v>
      </c>
      <c r="CB13" s="204">
        <f t="shared" si="2"/>
        <v>1682.1562737087584</v>
      </c>
      <c r="CC13" s="204">
        <f t="shared" si="2"/>
        <v>1682.1562737087584</v>
      </c>
      <c r="CD13" s="204">
        <f t="shared" si="2"/>
        <v>1682.1562737087584</v>
      </c>
      <c r="CE13" s="204">
        <f t="shared" si="2"/>
        <v>1682.1562737087584</v>
      </c>
      <c r="CF13" s="204">
        <f t="shared" si="2"/>
        <v>1682.1562737087584</v>
      </c>
      <c r="CG13" s="204">
        <f t="shared" si="2"/>
        <v>1682.1562737087584</v>
      </c>
      <c r="CH13" s="204">
        <f t="shared" si="2"/>
        <v>1682.1562737087584</v>
      </c>
      <c r="CI13" s="204">
        <f t="shared" si="2"/>
        <v>1682.1562737087584</v>
      </c>
      <c r="CJ13" s="204">
        <f t="shared" si="2"/>
        <v>1682.1562737087584</v>
      </c>
      <c r="CK13" s="204">
        <f t="shared" si="2"/>
        <v>1682.1562737087584</v>
      </c>
      <c r="CL13" s="204">
        <f t="shared" si="2"/>
        <v>1682.1562737087584</v>
      </c>
      <c r="CM13" s="204">
        <f t="shared" si="2"/>
        <v>1682.1562737087584</v>
      </c>
      <c r="CN13" s="204">
        <f t="shared" si="2"/>
        <v>1051.347671067974</v>
      </c>
      <c r="CO13" s="204">
        <f t="shared" si="2"/>
        <v>1051.347671067974</v>
      </c>
      <c r="CP13" s="204">
        <f t="shared" si="2"/>
        <v>1051.347671067974</v>
      </c>
      <c r="CQ13" s="204">
        <f t="shared" si="2"/>
        <v>1051.347671067974</v>
      </c>
      <c r="CR13" s="204">
        <f t="shared" si="2"/>
        <v>1051.347671067974</v>
      </c>
      <c r="CS13" s="204">
        <f t="shared" si="3"/>
        <v>1051.347671067974</v>
      </c>
      <c r="CT13" s="204">
        <f t="shared" si="3"/>
        <v>1051.347671067974</v>
      </c>
      <c r="CU13" s="204">
        <f t="shared" si="3"/>
        <v>1051.347671067974</v>
      </c>
      <c r="CV13" s="204">
        <f t="shared" si="3"/>
        <v>1051.347671067974</v>
      </c>
      <c r="CW13" s="204">
        <f t="shared" si="3"/>
        <v>1051.347671067974</v>
      </c>
      <c r="CX13" s="204">
        <f t="shared" si="3"/>
        <v>1051.347671067974</v>
      </c>
      <c r="CY13" s="204">
        <f t="shared" si="3"/>
        <v>1051.347671067974</v>
      </c>
      <c r="CZ13" s="204">
        <f t="shared" si="3"/>
        <v>1051.347671067974</v>
      </c>
      <c r="DA13" s="204">
        <f t="shared" si="3"/>
        <v>1051.347671067974</v>
      </c>
      <c r="DB13" s="204"/>
    </row>
    <row r="14" spans="1:106">
      <c r="A14" s="201" t="str">
        <f>Income!A85</f>
        <v>Cash transfer - official</v>
      </c>
      <c r="B14" s="203">
        <f>Income!B85</f>
        <v>23848.411003174224</v>
      </c>
      <c r="C14" s="203">
        <f>Income!C85</f>
        <v>23848.41100317422</v>
      </c>
      <c r="D14" s="203">
        <f>Income!D85</f>
        <v>23848.411003174224</v>
      </c>
      <c r="E14" s="203">
        <f>Income!E85</f>
        <v>26397.096148551616</v>
      </c>
      <c r="F14" s="204">
        <f t="shared" si="4"/>
        <v>23848.411003174224</v>
      </c>
      <c r="G14" s="204">
        <f t="shared" si="4"/>
        <v>23848.411003174224</v>
      </c>
      <c r="H14" s="204">
        <f t="shared" si="4"/>
        <v>23848.411003174224</v>
      </c>
      <c r="I14" s="204">
        <f t="shared" si="4"/>
        <v>23848.411003174224</v>
      </c>
      <c r="J14" s="204">
        <f t="shared" si="4"/>
        <v>23848.411003174224</v>
      </c>
      <c r="K14" s="204">
        <f t="shared" si="4"/>
        <v>23848.411003174224</v>
      </c>
      <c r="L14" s="204">
        <f t="shared" si="4"/>
        <v>23848.411003174224</v>
      </c>
      <c r="M14" s="204">
        <f t="shared" si="4"/>
        <v>23848.411003174224</v>
      </c>
      <c r="N14" s="204">
        <f t="shared" si="4"/>
        <v>23848.411003174224</v>
      </c>
      <c r="O14" s="204">
        <f t="shared" si="4"/>
        <v>23848.411003174224</v>
      </c>
      <c r="P14" s="204">
        <f t="shared" si="4"/>
        <v>23848.411003174224</v>
      </c>
      <c r="Q14" s="204">
        <f t="shared" si="4"/>
        <v>23848.411003174224</v>
      </c>
      <c r="R14" s="204">
        <f t="shared" si="4"/>
        <v>23848.411003174224</v>
      </c>
      <c r="S14" s="204">
        <f t="shared" si="4"/>
        <v>23848.411003174224</v>
      </c>
      <c r="T14" s="204">
        <f t="shared" si="4"/>
        <v>23848.411003174224</v>
      </c>
      <c r="U14" s="204">
        <f t="shared" si="4"/>
        <v>23848.411003174224</v>
      </c>
      <c r="V14" s="204">
        <f t="shared" si="6"/>
        <v>23848.411003174224</v>
      </c>
      <c r="W14" s="204">
        <f t="shared" si="6"/>
        <v>23848.411003174224</v>
      </c>
      <c r="X14" s="204">
        <f t="shared" si="6"/>
        <v>23848.411003174224</v>
      </c>
      <c r="Y14" s="204">
        <f t="shared" si="6"/>
        <v>23848.411003174224</v>
      </c>
      <c r="Z14" s="204">
        <f t="shared" si="6"/>
        <v>23848.411003174224</v>
      </c>
      <c r="AA14" s="204">
        <f t="shared" si="6"/>
        <v>23848.411003174224</v>
      </c>
      <c r="AB14" s="204">
        <f t="shared" si="6"/>
        <v>23848.411003174224</v>
      </c>
      <c r="AC14" s="204">
        <f t="shared" si="6"/>
        <v>23848.411003174224</v>
      </c>
      <c r="AD14" s="204">
        <f t="shared" si="6"/>
        <v>23848.411003174224</v>
      </c>
      <c r="AE14" s="204">
        <f t="shared" si="6"/>
        <v>23848.411003174224</v>
      </c>
      <c r="AF14" s="204">
        <f t="shared" si="6"/>
        <v>23848.411003174224</v>
      </c>
      <c r="AG14" s="204">
        <f t="shared" si="6"/>
        <v>23848.411003174224</v>
      </c>
      <c r="AH14" s="204">
        <f t="shared" si="6"/>
        <v>23848.411003174224</v>
      </c>
      <c r="AI14" s="204">
        <f t="shared" si="6"/>
        <v>23848.411003174224</v>
      </c>
      <c r="AJ14" s="204">
        <f t="shared" si="6"/>
        <v>23848.411003174224</v>
      </c>
      <c r="AK14" s="204">
        <f t="shared" si="6"/>
        <v>23848.411003174224</v>
      </c>
      <c r="AL14" s="204">
        <f t="shared" si="7"/>
        <v>23848.411003174224</v>
      </c>
      <c r="AM14" s="204">
        <f t="shared" si="7"/>
        <v>23848.411003174224</v>
      </c>
      <c r="AN14" s="204">
        <f t="shared" si="7"/>
        <v>23848.411003174224</v>
      </c>
      <c r="AO14" s="204">
        <f t="shared" si="7"/>
        <v>23848.411003174224</v>
      </c>
      <c r="AP14" s="204">
        <f t="shared" si="7"/>
        <v>23848.41100317422</v>
      </c>
      <c r="AQ14" s="204">
        <f t="shared" si="7"/>
        <v>23848.41100317422</v>
      </c>
      <c r="AR14" s="204">
        <f t="shared" si="7"/>
        <v>23848.41100317422</v>
      </c>
      <c r="AS14" s="204">
        <f t="shared" si="7"/>
        <v>23848.41100317422</v>
      </c>
      <c r="AT14" s="204">
        <f t="shared" si="7"/>
        <v>23848.41100317422</v>
      </c>
      <c r="AU14" s="204">
        <f t="shared" si="7"/>
        <v>23848.41100317422</v>
      </c>
      <c r="AV14" s="204">
        <f t="shared" si="7"/>
        <v>23848.41100317422</v>
      </c>
      <c r="AW14" s="204">
        <f t="shared" si="7"/>
        <v>23848.41100317422</v>
      </c>
      <c r="AX14" s="204">
        <f t="shared" si="7"/>
        <v>23848.41100317422</v>
      </c>
      <c r="AY14" s="204">
        <f t="shared" si="7"/>
        <v>23848.41100317422</v>
      </c>
      <c r="AZ14" s="204">
        <f t="shared" si="7"/>
        <v>23848.41100317422</v>
      </c>
      <c r="BA14" s="204">
        <f t="shared" si="7"/>
        <v>23848.41100317422</v>
      </c>
      <c r="BB14" s="204">
        <f t="shared" si="8"/>
        <v>23848.41100317422</v>
      </c>
      <c r="BC14" s="204">
        <f t="shared" si="8"/>
        <v>23848.41100317422</v>
      </c>
      <c r="BD14" s="204">
        <f t="shared" si="8"/>
        <v>23848.41100317422</v>
      </c>
      <c r="BE14" s="204">
        <f t="shared" si="8"/>
        <v>23848.41100317422</v>
      </c>
      <c r="BF14" s="204">
        <f t="shared" si="8"/>
        <v>23848.41100317422</v>
      </c>
      <c r="BG14" s="204">
        <f t="shared" si="8"/>
        <v>23848.41100317422</v>
      </c>
      <c r="BH14" s="204">
        <f t="shared" si="8"/>
        <v>23848.41100317422</v>
      </c>
      <c r="BI14" s="204">
        <f t="shared" si="8"/>
        <v>23848.41100317422</v>
      </c>
      <c r="BJ14" s="204">
        <f t="shared" si="8"/>
        <v>23848.41100317422</v>
      </c>
      <c r="BK14" s="204">
        <f t="shared" si="8"/>
        <v>23848.41100317422</v>
      </c>
      <c r="BL14" s="204">
        <f t="shared" si="8"/>
        <v>23848.41100317422</v>
      </c>
      <c r="BM14" s="204">
        <f t="shared" si="8"/>
        <v>23848.411003174224</v>
      </c>
      <c r="BN14" s="204">
        <f t="shared" si="8"/>
        <v>23848.411003174224</v>
      </c>
      <c r="BO14" s="204">
        <f t="shared" si="8"/>
        <v>23848.411003174224</v>
      </c>
      <c r="BP14" s="204">
        <f t="shared" si="8"/>
        <v>23848.411003174224</v>
      </c>
      <c r="BQ14" s="204">
        <f t="shared" si="8"/>
        <v>23848.411003174224</v>
      </c>
      <c r="BR14" s="204">
        <f t="shared" si="8"/>
        <v>23848.411003174224</v>
      </c>
      <c r="BS14" s="204">
        <f t="shared" si="8"/>
        <v>23848.411003174224</v>
      </c>
      <c r="BT14" s="204">
        <f t="shared" si="8"/>
        <v>23848.411003174224</v>
      </c>
      <c r="BU14" s="204">
        <f t="shared" si="8"/>
        <v>23848.411003174224</v>
      </c>
      <c r="BV14" s="204">
        <f t="shared" si="8"/>
        <v>23848.411003174224</v>
      </c>
      <c r="BW14" s="204">
        <f t="shared" si="8"/>
        <v>23848.411003174224</v>
      </c>
      <c r="BX14" s="204">
        <f t="shared" si="8"/>
        <v>23848.411003174224</v>
      </c>
      <c r="BY14" s="204">
        <f t="shared" si="8"/>
        <v>23848.411003174224</v>
      </c>
      <c r="BZ14" s="204">
        <f t="shared" si="8"/>
        <v>23848.411003174224</v>
      </c>
      <c r="CA14" s="204">
        <f t="shared" si="2"/>
        <v>23848.411003174224</v>
      </c>
      <c r="CB14" s="204">
        <f t="shared" si="2"/>
        <v>23848.411003174224</v>
      </c>
      <c r="CC14" s="204">
        <f t="shared" si="2"/>
        <v>23848.411003174224</v>
      </c>
      <c r="CD14" s="204">
        <f t="shared" si="2"/>
        <v>23848.411003174224</v>
      </c>
      <c r="CE14" s="204">
        <f t="shared" si="2"/>
        <v>23848.411003174224</v>
      </c>
      <c r="CF14" s="204">
        <f t="shared" si="2"/>
        <v>23848.411003174224</v>
      </c>
      <c r="CG14" s="204">
        <f t="shared" si="2"/>
        <v>23848.411003174224</v>
      </c>
      <c r="CH14" s="204">
        <f t="shared" si="2"/>
        <v>23848.411003174224</v>
      </c>
      <c r="CI14" s="204">
        <f t="shared" si="2"/>
        <v>23848.411003174224</v>
      </c>
      <c r="CJ14" s="204">
        <f t="shared" si="2"/>
        <v>23848.411003174224</v>
      </c>
      <c r="CK14" s="204">
        <f t="shared" si="2"/>
        <v>23848.411003174224</v>
      </c>
      <c r="CL14" s="204">
        <f t="shared" si="2"/>
        <v>23848.411003174224</v>
      </c>
      <c r="CM14" s="204">
        <f t="shared" si="2"/>
        <v>23848.411003174224</v>
      </c>
      <c r="CN14" s="204">
        <f t="shared" si="2"/>
        <v>26397.096148551616</v>
      </c>
      <c r="CO14" s="204">
        <f t="shared" si="2"/>
        <v>26397.096148551616</v>
      </c>
      <c r="CP14" s="204">
        <f t="shared" si="2"/>
        <v>26397.096148551616</v>
      </c>
      <c r="CQ14" s="204">
        <f t="shared" si="2"/>
        <v>26397.096148551616</v>
      </c>
      <c r="CR14" s="204">
        <f t="shared" si="2"/>
        <v>26397.096148551616</v>
      </c>
      <c r="CS14" s="204">
        <f t="shared" si="3"/>
        <v>26397.096148551616</v>
      </c>
      <c r="CT14" s="204">
        <f t="shared" si="3"/>
        <v>26397.096148551616</v>
      </c>
      <c r="CU14" s="204">
        <f t="shared" si="3"/>
        <v>26397.096148551616</v>
      </c>
      <c r="CV14" s="204">
        <f t="shared" si="3"/>
        <v>26397.096148551616</v>
      </c>
      <c r="CW14" s="204">
        <f t="shared" si="3"/>
        <v>26397.096148551616</v>
      </c>
      <c r="CX14" s="204">
        <f t="shared" si="3"/>
        <v>26397.096148551616</v>
      </c>
      <c r="CY14" s="204">
        <f t="shared" si="3"/>
        <v>26397.096148551616</v>
      </c>
      <c r="CZ14" s="204">
        <f t="shared" si="3"/>
        <v>26397.096148551616</v>
      </c>
      <c r="DA14" s="204">
        <f t="shared" si="3"/>
        <v>26397.096148551616</v>
      </c>
      <c r="DB14" s="204"/>
    </row>
    <row r="15" spans="1:106">
      <c r="A15" s="201" t="str">
        <f>Income!A86</f>
        <v>Cash transfer - gifts</v>
      </c>
      <c r="B15" s="203">
        <f>Income!B86</f>
        <v>9102.4469477764196</v>
      </c>
      <c r="C15" s="203">
        <f>Income!C86</f>
        <v>11833.181032109345</v>
      </c>
      <c r="D15" s="203">
        <f>Income!D86</f>
        <v>0</v>
      </c>
      <c r="E15" s="203">
        <f>Income!E86</f>
        <v>0</v>
      </c>
      <c r="F15" s="204">
        <f t="shared" si="4"/>
        <v>9102.4469477764196</v>
      </c>
      <c r="G15" s="204">
        <f t="shared" si="4"/>
        <v>9102.4469477764196</v>
      </c>
      <c r="H15" s="204">
        <f t="shared" si="4"/>
        <v>9102.4469477764196</v>
      </c>
      <c r="I15" s="204">
        <f t="shared" si="4"/>
        <v>9102.4469477764196</v>
      </c>
      <c r="J15" s="204">
        <f t="shared" si="4"/>
        <v>9102.4469477764196</v>
      </c>
      <c r="K15" s="204">
        <f t="shared" si="4"/>
        <v>9102.4469477764196</v>
      </c>
      <c r="L15" s="204">
        <f t="shared" si="4"/>
        <v>9102.4469477764196</v>
      </c>
      <c r="M15" s="204">
        <f t="shared" si="4"/>
        <v>9102.4469477764196</v>
      </c>
      <c r="N15" s="204">
        <f t="shared" si="4"/>
        <v>9102.4469477764196</v>
      </c>
      <c r="O15" s="204">
        <f t="shared" si="4"/>
        <v>9102.4469477764196</v>
      </c>
      <c r="P15" s="204">
        <f t="shared" si="4"/>
        <v>9102.4469477764196</v>
      </c>
      <c r="Q15" s="204">
        <f t="shared" si="4"/>
        <v>9102.4469477764196</v>
      </c>
      <c r="R15" s="204">
        <f t="shared" si="4"/>
        <v>9102.4469477764196</v>
      </c>
      <c r="S15" s="204">
        <f t="shared" si="4"/>
        <v>9102.4469477764196</v>
      </c>
      <c r="T15" s="204">
        <f t="shared" si="4"/>
        <v>9102.4469477764196</v>
      </c>
      <c r="U15" s="204">
        <f t="shared" si="4"/>
        <v>9102.4469477764196</v>
      </c>
      <c r="V15" s="204">
        <f t="shared" si="6"/>
        <v>9102.4469477764196</v>
      </c>
      <c r="W15" s="204">
        <f t="shared" si="6"/>
        <v>9102.4469477764196</v>
      </c>
      <c r="X15" s="204">
        <f t="shared" si="6"/>
        <v>9102.4469477764196</v>
      </c>
      <c r="Y15" s="204">
        <f t="shared" si="6"/>
        <v>9102.4469477764196</v>
      </c>
      <c r="Z15" s="204">
        <f t="shared" si="6"/>
        <v>9102.4469477764196</v>
      </c>
      <c r="AA15" s="204">
        <f t="shared" si="6"/>
        <v>9102.4469477764196</v>
      </c>
      <c r="AB15" s="204">
        <f t="shared" si="6"/>
        <v>9102.4469477764196</v>
      </c>
      <c r="AC15" s="204">
        <f t="shared" si="6"/>
        <v>9102.4469477764196</v>
      </c>
      <c r="AD15" s="204">
        <f t="shared" si="6"/>
        <v>9102.4469477764196</v>
      </c>
      <c r="AE15" s="204">
        <f t="shared" si="6"/>
        <v>9102.4469477764196</v>
      </c>
      <c r="AF15" s="204">
        <f t="shared" si="6"/>
        <v>9102.4469477764196</v>
      </c>
      <c r="AG15" s="204">
        <f t="shared" si="6"/>
        <v>9102.4469477764196</v>
      </c>
      <c r="AH15" s="204">
        <f t="shared" si="6"/>
        <v>9102.4469477764196</v>
      </c>
      <c r="AI15" s="204">
        <f t="shared" si="6"/>
        <v>9102.4469477764196</v>
      </c>
      <c r="AJ15" s="204">
        <f t="shared" si="6"/>
        <v>9102.4469477764196</v>
      </c>
      <c r="AK15" s="204">
        <f t="shared" si="6"/>
        <v>9102.4469477764196</v>
      </c>
      <c r="AL15" s="204">
        <f t="shared" si="7"/>
        <v>9102.4469477764196</v>
      </c>
      <c r="AM15" s="204">
        <f t="shared" si="7"/>
        <v>9102.4469477764196</v>
      </c>
      <c r="AN15" s="204">
        <f t="shared" si="7"/>
        <v>9102.4469477764196</v>
      </c>
      <c r="AO15" s="204">
        <f t="shared" si="7"/>
        <v>9102.4469477764196</v>
      </c>
      <c r="AP15" s="204">
        <f t="shared" si="7"/>
        <v>11833.181032109345</v>
      </c>
      <c r="AQ15" s="204">
        <f t="shared" si="7"/>
        <v>11833.181032109345</v>
      </c>
      <c r="AR15" s="204">
        <f t="shared" si="7"/>
        <v>11833.181032109345</v>
      </c>
      <c r="AS15" s="204">
        <f t="shared" si="7"/>
        <v>11833.181032109345</v>
      </c>
      <c r="AT15" s="204">
        <f t="shared" si="7"/>
        <v>11833.181032109345</v>
      </c>
      <c r="AU15" s="204">
        <f t="shared" si="7"/>
        <v>11833.181032109345</v>
      </c>
      <c r="AV15" s="204">
        <f t="shared" si="7"/>
        <v>11833.181032109345</v>
      </c>
      <c r="AW15" s="204">
        <f t="shared" si="7"/>
        <v>11833.181032109345</v>
      </c>
      <c r="AX15" s="204">
        <f t="shared" si="8"/>
        <v>11833.181032109345</v>
      </c>
      <c r="AY15" s="204">
        <f t="shared" si="8"/>
        <v>11833.181032109345</v>
      </c>
      <c r="AZ15" s="204">
        <f t="shared" si="8"/>
        <v>11833.181032109345</v>
      </c>
      <c r="BA15" s="204">
        <f t="shared" si="8"/>
        <v>11833.181032109345</v>
      </c>
      <c r="BB15" s="204">
        <f t="shared" si="8"/>
        <v>11833.181032109345</v>
      </c>
      <c r="BC15" s="204">
        <f t="shared" si="8"/>
        <v>11833.181032109345</v>
      </c>
      <c r="BD15" s="204">
        <f t="shared" si="8"/>
        <v>11833.181032109345</v>
      </c>
      <c r="BE15" s="204">
        <f t="shared" si="8"/>
        <v>11833.181032109345</v>
      </c>
      <c r="BF15" s="204">
        <f t="shared" si="8"/>
        <v>11833.181032109345</v>
      </c>
      <c r="BG15" s="204">
        <f t="shared" si="8"/>
        <v>11833.181032109345</v>
      </c>
      <c r="BH15" s="204">
        <f t="shared" si="8"/>
        <v>11833.181032109345</v>
      </c>
      <c r="BI15" s="204">
        <f t="shared" si="8"/>
        <v>11833.181032109345</v>
      </c>
      <c r="BJ15" s="204">
        <f t="shared" si="8"/>
        <v>11833.181032109345</v>
      </c>
      <c r="BK15" s="204">
        <f t="shared" si="8"/>
        <v>11833.181032109345</v>
      </c>
      <c r="BL15" s="204">
        <f t="shared" si="8"/>
        <v>11833.181032109345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56569.422548854098</v>
      </c>
      <c r="C16" s="203">
        <f>Income!C88</f>
        <v>73151.628595618633</v>
      </c>
      <c r="D16" s="203">
        <f>Income!D88</f>
        <v>90016.071826831496</v>
      </c>
      <c r="E16" s="203">
        <f>Income!E88</f>
        <v>192348.15040739105</v>
      </c>
      <c r="F16" s="204">
        <f t="shared" si="4"/>
        <v>56569.422548854098</v>
      </c>
      <c r="G16" s="204">
        <f t="shared" si="4"/>
        <v>56569.422548854098</v>
      </c>
      <c r="H16" s="204">
        <f t="shared" si="4"/>
        <v>56569.422548854098</v>
      </c>
      <c r="I16" s="204">
        <f t="shared" si="4"/>
        <v>56569.422548854098</v>
      </c>
      <c r="J16" s="204">
        <f t="shared" si="4"/>
        <v>56569.422548854098</v>
      </c>
      <c r="K16" s="204">
        <f t="shared" si="4"/>
        <v>56569.422548854098</v>
      </c>
      <c r="L16" s="204">
        <f t="shared" si="4"/>
        <v>56569.422548854098</v>
      </c>
      <c r="M16" s="204">
        <f t="shared" si="4"/>
        <v>56569.422548854098</v>
      </c>
      <c r="N16" s="204">
        <f t="shared" si="4"/>
        <v>56569.422548854098</v>
      </c>
      <c r="O16" s="204">
        <f t="shared" si="4"/>
        <v>56569.422548854098</v>
      </c>
      <c r="P16" s="204">
        <f t="shared" si="4"/>
        <v>56569.422548854098</v>
      </c>
      <c r="Q16" s="204">
        <f t="shared" si="4"/>
        <v>56569.422548854098</v>
      </c>
      <c r="R16" s="204">
        <f t="shared" si="4"/>
        <v>56569.422548854098</v>
      </c>
      <c r="S16" s="204">
        <f t="shared" si="4"/>
        <v>56569.422548854098</v>
      </c>
      <c r="T16" s="204">
        <f t="shared" si="4"/>
        <v>56569.422548854098</v>
      </c>
      <c r="U16" s="204">
        <f t="shared" si="4"/>
        <v>56569.422548854098</v>
      </c>
      <c r="V16" s="204">
        <f t="shared" si="6"/>
        <v>56569.422548854098</v>
      </c>
      <c r="W16" s="204">
        <f t="shared" si="6"/>
        <v>56569.422548854098</v>
      </c>
      <c r="X16" s="204">
        <f t="shared" si="6"/>
        <v>56569.422548854098</v>
      </c>
      <c r="Y16" s="204">
        <f t="shared" si="6"/>
        <v>56569.422548854098</v>
      </c>
      <c r="Z16" s="204">
        <f t="shared" si="6"/>
        <v>56569.422548854098</v>
      </c>
      <c r="AA16" s="204">
        <f t="shared" si="6"/>
        <v>56569.422548854098</v>
      </c>
      <c r="AB16" s="204">
        <f t="shared" si="6"/>
        <v>56569.422548854098</v>
      </c>
      <c r="AC16" s="204">
        <f t="shared" si="6"/>
        <v>56569.422548854098</v>
      </c>
      <c r="AD16" s="204">
        <f t="shared" si="6"/>
        <v>56569.422548854098</v>
      </c>
      <c r="AE16" s="204">
        <f>IF(AE$2&lt;=($B$2+$C$2+$D$2),IF(AE$2&lt;=($B$2+$C$2),IF(AE$2&lt;=$B$2,$B16,$C16),$D16),$E16)</f>
        <v>56569.422548854098</v>
      </c>
      <c r="AF16" s="204">
        <f t="shared" si="6"/>
        <v>56569.422548854098</v>
      </c>
      <c r="AG16" s="204">
        <f t="shared" si="6"/>
        <v>56569.422548854098</v>
      </c>
      <c r="AH16" s="204">
        <f t="shared" si="6"/>
        <v>56569.422548854098</v>
      </c>
      <c r="AI16" s="204">
        <f t="shared" si="6"/>
        <v>56569.422548854098</v>
      </c>
      <c r="AJ16" s="204">
        <f t="shared" si="6"/>
        <v>56569.422548854098</v>
      </c>
      <c r="AK16" s="204">
        <f t="shared" si="6"/>
        <v>56569.422548854098</v>
      </c>
      <c r="AL16" s="204">
        <f t="shared" si="7"/>
        <v>56569.422548854098</v>
      </c>
      <c r="AM16" s="204">
        <f t="shared" si="7"/>
        <v>56569.422548854098</v>
      </c>
      <c r="AN16" s="204">
        <f t="shared" si="7"/>
        <v>56569.422548854098</v>
      </c>
      <c r="AO16" s="204">
        <f t="shared" si="7"/>
        <v>56569.422548854098</v>
      </c>
      <c r="AP16" s="204">
        <f t="shared" si="7"/>
        <v>73151.628595618633</v>
      </c>
      <c r="AQ16" s="204">
        <f t="shared" si="7"/>
        <v>73151.628595618633</v>
      </c>
      <c r="AR16" s="204">
        <f t="shared" si="7"/>
        <v>73151.628595618633</v>
      </c>
      <c r="AS16" s="204">
        <f t="shared" si="7"/>
        <v>73151.628595618633</v>
      </c>
      <c r="AT16" s="204">
        <f t="shared" si="7"/>
        <v>73151.628595618633</v>
      </c>
      <c r="AU16" s="204">
        <f t="shared" si="7"/>
        <v>73151.628595618633</v>
      </c>
      <c r="AV16" s="204">
        <f t="shared" si="7"/>
        <v>73151.628595618633</v>
      </c>
      <c r="AW16" s="204">
        <f t="shared" si="7"/>
        <v>73151.628595618633</v>
      </c>
      <c r="AX16" s="204">
        <f t="shared" si="8"/>
        <v>73151.628595618633</v>
      </c>
      <c r="AY16" s="204">
        <f t="shared" si="8"/>
        <v>73151.628595618633</v>
      </c>
      <c r="AZ16" s="204">
        <f t="shared" si="8"/>
        <v>73151.628595618633</v>
      </c>
      <c r="BA16" s="204">
        <f t="shared" si="8"/>
        <v>73151.628595618633</v>
      </c>
      <c r="BB16" s="204">
        <f t="shared" si="8"/>
        <v>73151.628595618633</v>
      </c>
      <c r="BC16" s="204">
        <f t="shared" si="8"/>
        <v>73151.628595618633</v>
      </c>
      <c r="BD16" s="204">
        <f t="shared" si="8"/>
        <v>73151.628595618633</v>
      </c>
      <c r="BE16" s="204">
        <f t="shared" si="8"/>
        <v>73151.628595618633</v>
      </c>
      <c r="BF16" s="204">
        <f t="shared" si="8"/>
        <v>73151.628595618633</v>
      </c>
      <c r="BG16" s="204">
        <f t="shared" si="8"/>
        <v>73151.628595618633</v>
      </c>
      <c r="BH16" s="204">
        <f t="shared" si="8"/>
        <v>73151.628595618633</v>
      </c>
      <c r="BI16" s="204">
        <f t="shared" si="8"/>
        <v>73151.628595618633</v>
      </c>
      <c r="BJ16" s="204">
        <f t="shared" si="8"/>
        <v>73151.628595618633</v>
      </c>
      <c r="BK16" s="204">
        <f t="shared" si="8"/>
        <v>73151.628595618633</v>
      </c>
      <c r="BL16" s="204">
        <f t="shared" si="8"/>
        <v>73151.628595618633</v>
      </c>
      <c r="BM16" s="204">
        <f t="shared" si="8"/>
        <v>90016.071826831496</v>
      </c>
      <c r="BN16" s="204">
        <f t="shared" si="8"/>
        <v>90016.071826831496</v>
      </c>
      <c r="BO16" s="204">
        <f t="shared" si="8"/>
        <v>90016.071826831496</v>
      </c>
      <c r="BP16" s="204">
        <f t="shared" si="8"/>
        <v>90016.071826831496</v>
      </c>
      <c r="BQ16" s="204">
        <f t="shared" si="8"/>
        <v>90016.071826831496</v>
      </c>
      <c r="BR16" s="204">
        <f t="shared" si="8"/>
        <v>90016.071826831496</v>
      </c>
      <c r="BS16" s="204">
        <f t="shared" si="8"/>
        <v>90016.071826831496</v>
      </c>
      <c r="BT16" s="204">
        <f t="shared" si="8"/>
        <v>90016.071826831496</v>
      </c>
      <c r="BU16" s="204">
        <f t="shared" si="8"/>
        <v>90016.071826831496</v>
      </c>
      <c r="BV16" s="204">
        <f t="shared" si="8"/>
        <v>90016.071826831496</v>
      </c>
      <c r="BW16" s="204">
        <f t="shared" si="8"/>
        <v>90016.071826831496</v>
      </c>
      <c r="BX16" s="204">
        <f t="shared" si="8"/>
        <v>90016.071826831496</v>
      </c>
      <c r="BY16" s="204">
        <f t="shared" si="8"/>
        <v>90016.071826831496</v>
      </c>
      <c r="BZ16" s="204">
        <f t="shared" si="8"/>
        <v>90016.071826831496</v>
      </c>
      <c r="CA16" s="204">
        <f t="shared" ref="CA16:CB18" si="10">IF(CA$2&lt;=($B$2+$C$2+$D$2),IF(CA$2&lt;=($B$2+$C$2),IF(CA$2&lt;=$B$2,$B16,$C16),$D16),$E16)</f>
        <v>90016.071826831496</v>
      </c>
      <c r="CB16" s="204">
        <f t="shared" si="10"/>
        <v>90016.071826831496</v>
      </c>
      <c r="CC16" s="204">
        <f t="shared" si="9"/>
        <v>90016.071826831496</v>
      </c>
      <c r="CD16" s="204">
        <f t="shared" si="9"/>
        <v>90016.071826831496</v>
      </c>
      <c r="CE16" s="204">
        <f t="shared" si="9"/>
        <v>90016.071826831496</v>
      </c>
      <c r="CF16" s="204">
        <f t="shared" si="9"/>
        <v>90016.071826831496</v>
      </c>
      <c r="CG16" s="204">
        <f t="shared" si="9"/>
        <v>90016.071826831496</v>
      </c>
      <c r="CH16" s="204">
        <f t="shared" si="9"/>
        <v>90016.071826831496</v>
      </c>
      <c r="CI16" s="204">
        <f t="shared" si="9"/>
        <v>90016.071826831496</v>
      </c>
      <c r="CJ16" s="204">
        <f t="shared" si="9"/>
        <v>90016.071826831496</v>
      </c>
      <c r="CK16" s="204">
        <f t="shared" si="9"/>
        <v>90016.071826831496</v>
      </c>
      <c r="CL16" s="204">
        <f t="shared" si="9"/>
        <v>90016.071826831496</v>
      </c>
      <c r="CM16" s="204">
        <f t="shared" si="9"/>
        <v>90016.071826831496</v>
      </c>
      <c r="CN16" s="204">
        <f t="shared" si="9"/>
        <v>192348.15040739105</v>
      </c>
      <c r="CO16" s="204">
        <f t="shared" si="9"/>
        <v>192348.15040739105</v>
      </c>
      <c r="CP16" s="204">
        <f t="shared" si="9"/>
        <v>192348.15040739105</v>
      </c>
      <c r="CQ16" s="204">
        <f t="shared" si="9"/>
        <v>192348.15040739105</v>
      </c>
      <c r="CR16" s="204">
        <f t="shared" si="9"/>
        <v>192348.15040739105</v>
      </c>
      <c r="CS16" s="204">
        <f t="shared" ref="CS16:DA18" si="11">IF(CS$2&lt;=($B$2+$C$2+$D$2),IF(CS$2&lt;=($B$2+$C$2),IF(CS$2&lt;=$B$2,$B16,$C16),$D16),$E16)</f>
        <v>192348.15040739105</v>
      </c>
      <c r="CT16" s="204">
        <f t="shared" si="11"/>
        <v>192348.15040739105</v>
      </c>
      <c r="CU16" s="204">
        <f t="shared" si="11"/>
        <v>192348.15040739105</v>
      </c>
      <c r="CV16" s="204">
        <f t="shared" si="11"/>
        <v>192348.15040739105</v>
      </c>
      <c r="CW16" s="204">
        <f t="shared" si="11"/>
        <v>192348.15040739105</v>
      </c>
      <c r="CX16" s="204">
        <f t="shared" si="11"/>
        <v>192348.15040739105</v>
      </c>
      <c r="CY16" s="204">
        <f t="shared" si="11"/>
        <v>192348.15040739105</v>
      </c>
      <c r="CZ16" s="204">
        <f t="shared" si="11"/>
        <v>192348.15040739105</v>
      </c>
      <c r="DA16" s="204">
        <f t="shared" si="11"/>
        <v>192348.15040739105</v>
      </c>
      <c r="DB16" s="204"/>
    </row>
    <row r="17" spans="1:105">
      <c r="A17" s="201" t="s">
        <v>101</v>
      </c>
      <c r="B17" s="203">
        <f>Income!B89</f>
        <v>29244.120681443648</v>
      </c>
      <c r="C17" s="203">
        <f>Income!C89</f>
        <v>29244.120681443648</v>
      </c>
      <c r="D17" s="203">
        <f>Income!D89</f>
        <v>29244.120681443648</v>
      </c>
      <c r="E17" s="203">
        <f>Income!E89</f>
        <v>29244.120681443645</v>
      </c>
      <c r="F17" s="204">
        <f t="shared" si="4"/>
        <v>29244.120681443648</v>
      </c>
      <c r="G17" s="204">
        <f t="shared" si="4"/>
        <v>29244.120681443648</v>
      </c>
      <c r="H17" s="204">
        <f t="shared" si="4"/>
        <v>29244.120681443648</v>
      </c>
      <c r="I17" s="204">
        <f t="shared" si="4"/>
        <v>29244.120681443648</v>
      </c>
      <c r="J17" s="204">
        <f t="shared" si="4"/>
        <v>29244.120681443648</v>
      </c>
      <c r="K17" s="204">
        <f t="shared" si="4"/>
        <v>29244.120681443648</v>
      </c>
      <c r="L17" s="204">
        <f t="shared" si="4"/>
        <v>29244.120681443648</v>
      </c>
      <c r="M17" s="204">
        <f t="shared" si="4"/>
        <v>29244.120681443648</v>
      </c>
      <c r="N17" s="204">
        <f t="shared" si="4"/>
        <v>29244.120681443648</v>
      </c>
      <c r="O17" s="204">
        <f t="shared" si="4"/>
        <v>29244.120681443648</v>
      </c>
      <c r="P17" s="204">
        <f t="shared" si="4"/>
        <v>29244.120681443648</v>
      </c>
      <c r="Q17" s="204">
        <f t="shared" si="4"/>
        <v>29244.120681443648</v>
      </c>
      <c r="R17" s="204">
        <f t="shared" si="4"/>
        <v>29244.120681443648</v>
      </c>
      <c r="S17" s="204">
        <f t="shared" si="4"/>
        <v>29244.120681443648</v>
      </c>
      <c r="T17" s="204">
        <f t="shared" si="4"/>
        <v>29244.120681443648</v>
      </c>
      <c r="U17" s="204">
        <f t="shared" si="4"/>
        <v>29244.120681443648</v>
      </c>
      <c r="V17" s="204">
        <f t="shared" si="6"/>
        <v>29244.120681443648</v>
      </c>
      <c r="W17" s="204">
        <f t="shared" si="6"/>
        <v>29244.120681443648</v>
      </c>
      <c r="X17" s="204">
        <f t="shared" si="6"/>
        <v>29244.120681443648</v>
      </c>
      <c r="Y17" s="204">
        <f t="shared" si="6"/>
        <v>29244.120681443648</v>
      </c>
      <c r="Z17" s="204">
        <f t="shared" si="6"/>
        <v>29244.120681443648</v>
      </c>
      <c r="AA17" s="204">
        <f t="shared" si="6"/>
        <v>29244.120681443648</v>
      </c>
      <c r="AB17" s="204">
        <f t="shared" si="6"/>
        <v>29244.120681443648</v>
      </c>
      <c r="AC17" s="204">
        <f t="shared" si="6"/>
        <v>29244.120681443648</v>
      </c>
      <c r="AD17" s="204">
        <f t="shared" si="6"/>
        <v>29244.120681443648</v>
      </c>
      <c r="AE17" s="204">
        <f t="shared" si="6"/>
        <v>29244.120681443648</v>
      </c>
      <c r="AF17" s="204">
        <f t="shared" si="6"/>
        <v>29244.120681443648</v>
      </c>
      <c r="AG17" s="204">
        <f t="shared" si="6"/>
        <v>29244.120681443648</v>
      </c>
      <c r="AH17" s="204">
        <f t="shared" si="6"/>
        <v>29244.120681443648</v>
      </c>
      <c r="AI17" s="204">
        <f t="shared" si="6"/>
        <v>29244.120681443648</v>
      </c>
      <c r="AJ17" s="204">
        <f t="shared" si="6"/>
        <v>29244.120681443648</v>
      </c>
      <c r="AK17" s="204">
        <f t="shared" si="6"/>
        <v>29244.120681443648</v>
      </c>
      <c r="AL17" s="204">
        <f t="shared" si="7"/>
        <v>29244.120681443648</v>
      </c>
      <c r="AM17" s="204">
        <f t="shared" si="7"/>
        <v>29244.120681443648</v>
      </c>
      <c r="AN17" s="204">
        <f t="shared" si="7"/>
        <v>29244.120681443648</v>
      </c>
      <c r="AO17" s="204">
        <f t="shared" si="7"/>
        <v>29244.120681443648</v>
      </c>
      <c r="AP17" s="204">
        <f t="shared" si="7"/>
        <v>29244.120681443648</v>
      </c>
      <c r="AQ17" s="204">
        <f t="shared" si="7"/>
        <v>29244.120681443648</v>
      </c>
      <c r="AR17" s="204">
        <f t="shared" si="7"/>
        <v>29244.120681443648</v>
      </c>
      <c r="AS17" s="204">
        <f t="shared" si="7"/>
        <v>29244.120681443648</v>
      </c>
      <c r="AT17" s="204">
        <f t="shared" si="7"/>
        <v>29244.120681443648</v>
      </c>
      <c r="AU17" s="204">
        <f t="shared" si="7"/>
        <v>29244.120681443648</v>
      </c>
      <c r="AV17" s="204">
        <f t="shared" si="7"/>
        <v>29244.120681443648</v>
      </c>
      <c r="AW17" s="204">
        <f t="shared" si="7"/>
        <v>29244.120681443648</v>
      </c>
      <c r="AX17" s="204">
        <f t="shared" si="8"/>
        <v>29244.120681443648</v>
      </c>
      <c r="AY17" s="204">
        <f t="shared" si="8"/>
        <v>29244.120681443648</v>
      </c>
      <c r="AZ17" s="204">
        <f t="shared" si="8"/>
        <v>29244.120681443648</v>
      </c>
      <c r="BA17" s="204">
        <f t="shared" si="8"/>
        <v>29244.120681443648</v>
      </c>
      <c r="BB17" s="204">
        <f t="shared" si="8"/>
        <v>29244.120681443648</v>
      </c>
      <c r="BC17" s="204">
        <f t="shared" si="8"/>
        <v>29244.120681443648</v>
      </c>
      <c r="BD17" s="204">
        <f t="shared" si="8"/>
        <v>29244.120681443648</v>
      </c>
      <c r="BE17" s="204">
        <f t="shared" si="8"/>
        <v>29244.120681443648</v>
      </c>
      <c r="BF17" s="204">
        <f t="shared" si="8"/>
        <v>29244.120681443648</v>
      </c>
      <c r="BG17" s="204">
        <f t="shared" si="8"/>
        <v>29244.120681443648</v>
      </c>
      <c r="BH17" s="204">
        <f t="shared" si="8"/>
        <v>29244.120681443648</v>
      </c>
      <c r="BI17" s="204">
        <f t="shared" si="8"/>
        <v>29244.120681443648</v>
      </c>
      <c r="BJ17" s="204">
        <f t="shared" si="8"/>
        <v>29244.120681443648</v>
      </c>
      <c r="BK17" s="204">
        <f t="shared" si="8"/>
        <v>29244.120681443648</v>
      </c>
      <c r="BL17" s="204">
        <f t="shared" si="8"/>
        <v>29244.120681443648</v>
      </c>
      <c r="BM17" s="204">
        <f t="shared" si="8"/>
        <v>29244.120681443648</v>
      </c>
      <c r="BN17" s="204">
        <f t="shared" si="8"/>
        <v>29244.120681443648</v>
      </c>
      <c r="BO17" s="204">
        <f t="shared" si="8"/>
        <v>29244.120681443648</v>
      </c>
      <c r="BP17" s="204">
        <f t="shared" si="8"/>
        <v>29244.120681443648</v>
      </c>
      <c r="BQ17" s="204">
        <f t="shared" si="8"/>
        <v>29244.120681443648</v>
      </c>
      <c r="BR17" s="204">
        <f t="shared" si="8"/>
        <v>29244.120681443648</v>
      </c>
      <c r="BS17" s="204">
        <f t="shared" si="8"/>
        <v>29244.120681443648</v>
      </c>
      <c r="BT17" s="204">
        <f t="shared" si="8"/>
        <v>29244.120681443648</v>
      </c>
      <c r="BU17" s="204">
        <f t="shared" si="8"/>
        <v>29244.120681443648</v>
      </c>
      <c r="BV17" s="204">
        <f t="shared" si="8"/>
        <v>29244.120681443648</v>
      </c>
      <c r="BW17" s="204">
        <f t="shared" si="8"/>
        <v>29244.120681443648</v>
      </c>
      <c r="BX17" s="204">
        <f t="shared" si="8"/>
        <v>29244.120681443648</v>
      </c>
      <c r="BY17" s="204">
        <f t="shared" si="8"/>
        <v>29244.120681443648</v>
      </c>
      <c r="BZ17" s="204">
        <f t="shared" si="8"/>
        <v>29244.120681443648</v>
      </c>
      <c r="CA17" s="204">
        <f t="shared" si="10"/>
        <v>29244.120681443648</v>
      </c>
      <c r="CB17" s="204">
        <f t="shared" si="10"/>
        <v>29244.120681443648</v>
      </c>
      <c r="CC17" s="204">
        <f t="shared" si="9"/>
        <v>29244.120681443648</v>
      </c>
      <c r="CD17" s="204">
        <f t="shared" si="9"/>
        <v>29244.120681443648</v>
      </c>
      <c r="CE17" s="204">
        <f t="shared" si="9"/>
        <v>29244.120681443648</v>
      </c>
      <c r="CF17" s="204">
        <f t="shared" si="9"/>
        <v>29244.120681443648</v>
      </c>
      <c r="CG17" s="204">
        <f t="shared" si="9"/>
        <v>29244.120681443648</v>
      </c>
      <c r="CH17" s="204">
        <f t="shared" si="9"/>
        <v>29244.120681443648</v>
      </c>
      <c r="CI17" s="204">
        <f t="shared" si="9"/>
        <v>29244.120681443648</v>
      </c>
      <c r="CJ17" s="204">
        <f t="shared" si="9"/>
        <v>29244.120681443648</v>
      </c>
      <c r="CK17" s="204">
        <f t="shared" si="9"/>
        <v>29244.120681443648</v>
      </c>
      <c r="CL17" s="204">
        <f t="shared" si="9"/>
        <v>29244.120681443648</v>
      </c>
      <c r="CM17" s="204">
        <f t="shared" si="9"/>
        <v>29244.120681443648</v>
      </c>
      <c r="CN17" s="204">
        <f t="shared" si="9"/>
        <v>29244.120681443645</v>
      </c>
      <c r="CO17" s="204">
        <f t="shared" si="9"/>
        <v>29244.120681443645</v>
      </c>
      <c r="CP17" s="204">
        <f t="shared" si="9"/>
        <v>29244.120681443645</v>
      </c>
      <c r="CQ17" s="204">
        <f t="shared" si="9"/>
        <v>29244.120681443645</v>
      </c>
      <c r="CR17" s="204">
        <f t="shared" si="9"/>
        <v>29244.120681443645</v>
      </c>
      <c r="CS17" s="204">
        <f t="shared" si="11"/>
        <v>29244.120681443645</v>
      </c>
      <c r="CT17" s="204">
        <f t="shared" si="11"/>
        <v>29244.120681443645</v>
      </c>
      <c r="CU17" s="204">
        <f t="shared" si="11"/>
        <v>29244.120681443645</v>
      </c>
      <c r="CV17" s="204">
        <f t="shared" si="11"/>
        <v>29244.120681443645</v>
      </c>
      <c r="CW17" s="204">
        <f t="shared" si="11"/>
        <v>29244.120681443645</v>
      </c>
      <c r="CX17" s="204">
        <f t="shared" si="11"/>
        <v>29244.120681443645</v>
      </c>
      <c r="CY17" s="204">
        <f t="shared" si="11"/>
        <v>29244.120681443645</v>
      </c>
      <c r="CZ17" s="204">
        <f t="shared" si="11"/>
        <v>29244.120681443645</v>
      </c>
      <c r="DA17" s="204">
        <f t="shared" si="11"/>
        <v>29244.120681443645</v>
      </c>
    </row>
    <row r="18" spans="1:105">
      <c r="A18" s="201" t="s">
        <v>85</v>
      </c>
      <c r="B18" s="203">
        <f>Income!B90</f>
        <v>40733.387348110315</v>
      </c>
      <c r="C18" s="203">
        <f>Income!C90</f>
        <v>40733.387348110315</v>
      </c>
      <c r="D18" s="203">
        <f>Income!D90</f>
        <v>40733.387348110315</v>
      </c>
      <c r="E18" s="203">
        <f>Income!E90</f>
        <v>40733.387348110307</v>
      </c>
      <c r="F18" s="204">
        <f t="shared" ref="F18:U18" si="12">IF(F$2&lt;=($B$2+$C$2+$D$2),IF(F$2&lt;=($B$2+$C$2),IF(F$2&lt;=$B$2,$B18,$C18),$D18),$E18)</f>
        <v>40733.387348110315</v>
      </c>
      <c r="G18" s="204">
        <f t="shared" si="12"/>
        <v>40733.387348110315</v>
      </c>
      <c r="H18" s="204">
        <f t="shared" si="12"/>
        <v>40733.387348110315</v>
      </c>
      <c r="I18" s="204">
        <f t="shared" si="12"/>
        <v>40733.387348110315</v>
      </c>
      <c r="J18" s="204">
        <f t="shared" si="12"/>
        <v>40733.387348110315</v>
      </c>
      <c r="K18" s="204">
        <f t="shared" si="12"/>
        <v>40733.387348110315</v>
      </c>
      <c r="L18" s="204">
        <f t="shared" si="12"/>
        <v>40733.387348110315</v>
      </c>
      <c r="M18" s="204">
        <f t="shared" si="12"/>
        <v>40733.387348110315</v>
      </c>
      <c r="N18" s="204">
        <f t="shared" si="12"/>
        <v>40733.387348110315</v>
      </c>
      <c r="O18" s="204">
        <f t="shared" si="12"/>
        <v>40733.387348110315</v>
      </c>
      <c r="P18" s="204">
        <f t="shared" si="12"/>
        <v>40733.387348110315</v>
      </c>
      <c r="Q18" s="204">
        <f t="shared" si="12"/>
        <v>40733.387348110315</v>
      </c>
      <c r="R18" s="204">
        <f t="shared" si="12"/>
        <v>40733.387348110315</v>
      </c>
      <c r="S18" s="204">
        <f t="shared" si="12"/>
        <v>40733.387348110315</v>
      </c>
      <c r="T18" s="204">
        <f t="shared" si="12"/>
        <v>40733.387348110315</v>
      </c>
      <c r="U18" s="204">
        <f t="shared" si="12"/>
        <v>40733.387348110315</v>
      </c>
      <c r="V18" s="204">
        <f t="shared" si="6"/>
        <v>40733.387348110315</v>
      </c>
      <c r="W18" s="204">
        <f t="shared" si="6"/>
        <v>40733.387348110315</v>
      </c>
      <c r="X18" s="204">
        <f t="shared" si="6"/>
        <v>40733.387348110315</v>
      </c>
      <c r="Y18" s="204">
        <f t="shared" si="6"/>
        <v>40733.387348110315</v>
      </c>
      <c r="Z18" s="204">
        <f t="shared" si="6"/>
        <v>40733.387348110315</v>
      </c>
      <c r="AA18" s="204">
        <f t="shared" si="6"/>
        <v>40733.387348110315</v>
      </c>
      <c r="AB18" s="204">
        <f t="shared" si="6"/>
        <v>40733.387348110315</v>
      </c>
      <c r="AC18" s="204">
        <f t="shared" si="6"/>
        <v>40733.387348110315</v>
      </c>
      <c r="AD18" s="204">
        <f t="shared" si="6"/>
        <v>40733.387348110315</v>
      </c>
      <c r="AE18" s="204">
        <f t="shared" si="6"/>
        <v>40733.387348110315</v>
      </c>
      <c r="AF18" s="204">
        <f t="shared" si="6"/>
        <v>40733.387348110315</v>
      </c>
      <c r="AG18" s="204">
        <f t="shared" si="6"/>
        <v>40733.387348110315</v>
      </c>
      <c r="AH18" s="204">
        <f t="shared" si="6"/>
        <v>40733.387348110315</v>
      </c>
      <c r="AI18" s="204">
        <f t="shared" si="6"/>
        <v>40733.387348110315</v>
      </c>
      <c r="AJ18" s="204">
        <f t="shared" si="6"/>
        <v>40733.387348110315</v>
      </c>
      <c r="AK18" s="204">
        <f t="shared" si="6"/>
        <v>40733.387348110315</v>
      </c>
      <c r="AL18" s="204">
        <f t="shared" si="7"/>
        <v>40733.387348110315</v>
      </c>
      <c r="AM18" s="204">
        <f t="shared" si="7"/>
        <v>40733.387348110315</v>
      </c>
      <c r="AN18" s="204">
        <f t="shared" si="7"/>
        <v>40733.387348110315</v>
      </c>
      <c r="AO18" s="204">
        <f t="shared" si="7"/>
        <v>40733.387348110315</v>
      </c>
      <c r="AP18" s="204">
        <f t="shared" si="7"/>
        <v>40733.387348110315</v>
      </c>
      <c r="AQ18" s="204">
        <f t="shared" si="7"/>
        <v>40733.387348110315</v>
      </c>
      <c r="AR18" s="204">
        <f t="shared" si="7"/>
        <v>40733.387348110315</v>
      </c>
      <c r="AS18" s="204">
        <f t="shared" si="7"/>
        <v>40733.387348110315</v>
      </c>
      <c r="AT18" s="204">
        <f t="shared" si="7"/>
        <v>40733.387348110315</v>
      </c>
      <c r="AU18" s="204">
        <f t="shared" si="7"/>
        <v>40733.387348110315</v>
      </c>
      <c r="AV18" s="204">
        <f t="shared" si="7"/>
        <v>40733.387348110315</v>
      </c>
      <c r="AW18" s="204">
        <f t="shared" si="7"/>
        <v>40733.387348110315</v>
      </c>
      <c r="AX18" s="204">
        <f t="shared" si="8"/>
        <v>40733.387348110315</v>
      </c>
      <c r="AY18" s="204">
        <f t="shared" si="8"/>
        <v>40733.387348110315</v>
      </c>
      <c r="AZ18" s="204">
        <f t="shared" si="8"/>
        <v>40733.387348110315</v>
      </c>
      <c r="BA18" s="204">
        <f t="shared" si="8"/>
        <v>40733.387348110315</v>
      </c>
      <c r="BB18" s="204">
        <f t="shared" si="8"/>
        <v>40733.387348110315</v>
      </c>
      <c r="BC18" s="204">
        <f t="shared" si="8"/>
        <v>40733.387348110315</v>
      </c>
      <c r="BD18" s="204">
        <f t="shared" si="8"/>
        <v>40733.387348110315</v>
      </c>
      <c r="BE18" s="204">
        <f t="shared" si="8"/>
        <v>40733.387348110315</v>
      </c>
      <c r="BF18" s="204">
        <f t="shared" si="8"/>
        <v>40733.387348110315</v>
      </c>
      <c r="BG18" s="204">
        <f t="shared" si="8"/>
        <v>40733.387348110315</v>
      </c>
      <c r="BH18" s="204">
        <f t="shared" si="8"/>
        <v>40733.387348110315</v>
      </c>
      <c r="BI18" s="204">
        <f t="shared" si="8"/>
        <v>40733.387348110315</v>
      </c>
      <c r="BJ18" s="204">
        <f t="shared" si="8"/>
        <v>40733.387348110315</v>
      </c>
      <c r="BK18" s="204">
        <f t="shared" si="8"/>
        <v>40733.387348110315</v>
      </c>
      <c r="BL18" s="204">
        <f t="shared" ref="BL18:BZ18" si="13">IF(BL$2&lt;=($B$2+$C$2+$D$2),IF(BL$2&lt;=($B$2+$C$2),IF(BL$2&lt;=$B$2,$B18,$C18),$D18),$E18)</f>
        <v>40733.387348110315</v>
      </c>
      <c r="BM18" s="204">
        <f t="shared" si="13"/>
        <v>40733.387348110315</v>
      </c>
      <c r="BN18" s="204">
        <f t="shared" si="13"/>
        <v>40733.387348110315</v>
      </c>
      <c r="BO18" s="204">
        <f t="shared" si="13"/>
        <v>40733.387348110315</v>
      </c>
      <c r="BP18" s="204">
        <f t="shared" si="13"/>
        <v>40733.387348110315</v>
      </c>
      <c r="BQ18" s="204">
        <f t="shared" si="13"/>
        <v>40733.387348110315</v>
      </c>
      <c r="BR18" s="204">
        <f t="shared" si="13"/>
        <v>40733.387348110315</v>
      </c>
      <c r="BS18" s="204">
        <f t="shared" si="13"/>
        <v>40733.387348110315</v>
      </c>
      <c r="BT18" s="204">
        <f t="shared" si="13"/>
        <v>40733.387348110315</v>
      </c>
      <c r="BU18" s="204">
        <f t="shared" si="13"/>
        <v>40733.387348110315</v>
      </c>
      <c r="BV18" s="204">
        <f t="shared" si="13"/>
        <v>40733.387348110315</v>
      </c>
      <c r="BW18" s="204">
        <f t="shared" si="13"/>
        <v>40733.387348110315</v>
      </c>
      <c r="BX18" s="204">
        <f t="shared" si="13"/>
        <v>40733.387348110315</v>
      </c>
      <c r="BY18" s="204">
        <f t="shared" si="13"/>
        <v>40733.387348110315</v>
      </c>
      <c r="BZ18" s="204">
        <f t="shared" si="13"/>
        <v>40733.387348110315</v>
      </c>
      <c r="CA18" s="204">
        <f t="shared" si="10"/>
        <v>40733.387348110315</v>
      </c>
      <c r="CB18" s="204">
        <f t="shared" si="10"/>
        <v>40733.387348110315</v>
      </c>
      <c r="CC18" s="204">
        <f t="shared" si="9"/>
        <v>40733.387348110315</v>
      </c>
      <c r="CD18" s="204">
        <f t="shared" si="9"/>
        <v>40733.387348110315</v>
      </c>
      <c r="CE18" s="204">
        <f t="shared" si="9"/>
        <v>40733.387348110315</v>
      </c>
      <c r="CF18" s="204">
        <f t="shared" si="9"/>
        <v>40733.387348110315</v>
      </c>
      <c r="CG18" s="204">
        <f t="shared" si="9"/>
        <v>40733.387348110315</v>
      </c>
      <c r="CH18" s="204">
        <f t="shared" si="9"/>
        <v>40733.387348110315</v>
      </c>
      <c r="CI18" s="204">
        <f t="shared" si="9"/>
        <v>40733.387348110315</v>
      </c>
      <c r="CJ18" s="204">
        <f t="shared" si="9"/>
        <v>40733.387348110315</v>
      </c>
      <c r="CK18" s="204">
        <f t="shared" si="9"/>
        <v>40733.387348110315</v>
      </c>
      <c r="CL18" s="204">
        <f t="shared" si="9"/>
        <v>40733.387348110315</v>
      </c>
      <c r="CM18" s="204">
        <f t="shared" si="9"/>
        <v>40733.387348110315</v>
      </c>
      <c r="CN18" s="204">
        <f t="shared" si="9"/>
        <v>40733.387348110307</v>
      </c>
      <c r="CO18" s="204">
        <f t="shared" si="9"/>
        <v>40733.387348110307</v>
      </c>
      <c r="CP18" s="204">
        <f t="shared" si="9"/>
        <v>40733.387348110307</v>
      </c>
      <c r="CQ18" s="204">
        <f t="shared" si="9"/>
        <v>40733.387348110307</v>
      </c>
      <c r="CR18" s="204">
        <f t="shared" si="9"/>
        <v>40733.387348110307</v>
      </c>
      <c r="CS18" s="204">
        <f t="shared" si="11"/>
        <v>40733.387348110307</v>
      </c>
      <c r="CT18" s="204">
        <f t="shared" si="11"/>
        <v>40733.387348110307</v>
      </c>
      <c r="CU18" s="204">
        <f t="shared" si="11"/>
        <v>40733.387348110307</v>
      </c>
      <c r="CV18" s="204">
        <f t="shared" si="11"/>
        <v>40733.387348110307</v>
      </c>
      <c r="CW18" s="204">
        <f t="shared" si="11"/>
        <v>40733.387348110307</v>
      </c>
      <c r="CX18" s="204">
        <f t="shared" si="11"/>
        <v>40733.387348110307</v>
      </c>
      <c r="CY18" s="204">
        <f t="shared" si="11"/>
        <v>40733.387348110307</v>
      </c>
      <c r="CZ18" s="204">
        <f t="shared" si="11"/>
        <v>40733.387348110307</v>
      </c>
      <c r="DA18" s="204">
        <f t="shared" si="11"/>
        <v>40733.387348110307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56569.422548854098</v>
      </c>
      <c r="Y19" s="201">
        <f t="shared" si="14"/>
        <v>57131.531228405438</v>
      </c>
      <c r="Z19" s="201">
        <f t="shared" si="14"/>
        <v>57693.639907956778</v>
      </c>
      <c r="AA19" s="201">
        <f t="shared" si="14"/>
        <v>58255.748587508118</v>
      </c>
      <c r="AB19" s="201">
        <f t="shared" si="14"/>
        <v>58817.857267059459</v>
      </c>
      <c r="AC19" s="201">
        <f t="shared" si="14"/>
        <v>59379.965946610799</v>
      </c>
      <c r="AD19" s="201">
        <f t="shared" si="14"/>
        <v>59942.074626162139</v>
      </c>
      <c r="AE19" s="201">
        <f t="shared" si="14"/>
        <v>60504.183305713479</v>
      </c>
      <c r="AF19" s="201">
        <f t="shared" si="14"/>
        <v>61066.291985264819</v>
      </c>
      <c r="AG19" s="201">
        <f t="shared" si="14"/>
        <v>61628.400664816159</v>
      </c>
      <c r="AH19" s="201">
        <f t="shared" si="14"/>
        <v>62190.5093443675</v>
      </c>
      <c r="AI19" s="201">
        <f t="shared" si="14"/>
        <v>62752.61802391884</v>
      </c>
      <c r="AJ19" s="201">
        <f t="shared" si="14"/>
        <v>63314.72670347018</v>
      </c>
      <c r="AK19" s="201">
        <f t="shared" si="14"/>
        <v>63876.83538302152</v>
      </c>
      <c r="AL19" s="201">
        <f t="shared" si="14"/>
        <v>64438.94406257286</v>
      </c>
      <c r="AM19" s="201">
        <f t="shared" si="14"/>
        <v>65001.0527421242</v>
      </c>
      <c r="AN19" s="201">
        <f t="shared" si="14"/>
        <v>65563.161421675541</v>
      </c>
      <c r="AO19" s="201">
        <f t="shared" si="14"/>
        <v>66125.270101226881</v>
      </c>
      <c r="AP19" s="201">
        <f t="shared" si="14"/>
        <v>66687.378780778221</v>
      </c>
      <c r="AQ19" s="201">
        <f t="shared" si="14"/>
        <v>67249.487460329561</v>
      </c>
      <c r="AR19" s="201">
        <f t="shared" si="14"/>
        <v>67811.596139880901</v>
      </c>
      <c r="AS19" s="201">
        <f t="shared" si="14"/>
        <v>68373.704819432241</v>
      </c>
      <c r="AT19" s="201">
        <f t="shared" si="14"/>
        <v>68935.813498983582</v>
      </c>
      <c r="AU19" s="201">
        <f t="shared" si="14"/>
        <v>69497.922178534922</v>
      </c>
      <c r="AV19" s="201">
        <f t="shared" si="14"/>
        <v>70060.030858086262</v>
      </c>
      <c r="AW19" s="201">
        <f t="shared" si="14"/>
        <v>70622.139537637602</v>
      </c>
      <c r="AX19" s="201">
        <f t="shared" si="14"/>
        <v>71184.248217188942</v>
      </c>
      <c r="AY19" s="201">
        <f t="shared" si="14"/>
        <v>71746.356896740283</v>
      </c>
      <c r="AZ19" s="201">
        <f t="shared" si="14"/>
        <v>72308.465576291623</v>
      </c>
      <c r="BA19" s="201">
        <f t="shared" si="14"/>
        <v>72870.574255842963</v>
      </c>
      <c r="BB19" s="201">
        <f t="shared" si="14"/>
        <v>73488.917460242898</v>
      </c>
      <c r="BC19" s="201">
        <f t="shared" si="14"/>
        <v>74163.495189491397</v>
      </c>
      <c r="BD19" s="201">
        <f t="shared" si="14"/>
        <v>74838.072918739927</v>
      </c>
      <c r="BE19" s="201">
        <f t="shared" si="14"/>
        <v>75512.650647988426</v>
      </c>
      <c r="BF19" s="201">
        <f t="shared" si="14"/>
        <v>76187.228377236956</v>
      </c>
      <c r="BG19" s="201">
        <f t="shared" si="14"/>
        <v>76861.806106485456</v>
      </c>
      <c r="BH19" s="201">
        <f t="shared" si="14"/>
        <v>77536.383835733985</v>
      </c>
      <c r="BI19" s="201">
        <f t="shared" si="14"/>
        <v>78210.961564982485</v>
      </c>
      <c r="BJ19" s="201">
        <f t="shared" si="14"/>
        <v>78885.539294231014</v>
      </c>
      <c r="BK19" s="201">
        <f t="shared" si="14"/>
        <v>79560.117023479514</v>
      </c>
      <c r="BL19" s="201">
        <f t="shared" si="14"/>
        <v>80234.694752728043</v>
      </c>
      <c r="BM19" s="201">
        <f t="shared" si="14"/>
        <v>80909.272481976543</v>
      </c>
      <c r="BN19" s="201">
        <f t="shared" si="14"/>
        <v>81583.850211225072</v>
      </c>
      <c r="BO19" s="201">
        <f t="shared" si="14"/>
        <v>82258.427940473572</v>
      </c>
      <c r="BP19" s="201">
        <f t="shared" si="14"/>
        <v>82933.005669722101</v>
      </c>
      <c r="BQ19" s="201">
        <f t="shared" si="14"/>
        <v>83607.583398970601</v>
      </c>
      <c r="BR19" s="201">
        <f t="shared" si="14"/>
        <v>84282.16112821913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84956.73885746763</v>
      </c>
      <c r="BT19" s="201">
        <f t="shared" si="15"/>
        <v>85631.316586716159</v>
      </c>
      <c r="BU19" s="201">
        <f t="shared" si="15"/>
        <v>86305.894315964659</v>
      </c>
      <c r="BV19" s="201">
        <f t="shared" si="15"/>
        <v>86980.472045213188</v>
      </c>
      <c r="BW19" s="201">
        <f t="shared" si="15"/>
        <v>87655.049774461688</v>
      </c>
      <c r="BX19" s="201">
        <f t="shared" si="15"/>
        <v>88329.627503710217</v>
      </c>
      <c r="BY19" s="201">
        <f t="shared" si="15"/>
        <v>89004.205232958717</v>
      </c>
      <c r="BZ19" s="201">
        <f t="shared" si="15"/>
        <v>89678.782962207246</v>
      </c>
      <c r="CA19" s="201">
        <f t="shared" si="15"/>
        <v>92511.976182454906</v>
      </c>
      <c r="CB19" s="201">
        <f t="shared" si="15"/>
        <v>97503.784893701712</v>
      </c>
      <c r="CC19" s="201">
        <f t="shared" si="15"/>
        <v>102495.59360494852</v>
      </c>
      <c r="CD19" s="201">
        <f t="shared" si="15"/>
        <v>107487.40231619532</v>
      </c>
      <c r="CE19" s="201">
        <f t="shared" si="15"/>
        <v>112479.21102744213</v>
      </c>
      <c r="CF19" s="201">
        <f t="shared" si="15"/>
        <v>117471.01973868893</v>
      </c>
      <c r="CG19" s="201">
        <f t="shared" si="15"/>
        <v>122462.82844993574</v>
      </c>
      <c r="CH19" s="201">
        <f t="shared" si="15"/>
        <v>127454.63716118256</v>
      </c>
      <c r="CI19" s="201">
        <f t="shared" si="15"/>
        <v>132446.44587242935</v>
      </c>
      <c r="CJ19" s="201">
        <f t="shared" si="15"/>
        <v>137438.25458367617</v>
      </c>
      <c r="CK19" s="201">
        <f t="shared" si="15"/>
        <v>142430.06329492299</v>
      </c>
      <c r="CL19" s="201">
        <f t="shared" si="15"/>
        <v>147421.87200616978</v>
      </c>
      <c r="CM19" s="201">
        <f t="shared" si="15"/>
        <v>152413.68071741657</v>
      </c>
      <c r="CN19" s="201">
        <f t="shared" si="15"/>
        <v>157405.48942866339</v>
      </c>
      <c r="CO19" s="201">
        <f t="shared" si="15"/>
        <v>162397.29813991021</v>
      </c>
      <c r="CP19" s="201">
        <f t="shared" si="15"/>
        <v>167389.106851157</v>
      </c>
      <c r="CQ19" s="201">
        <f t="shared" si="15"/>
        <v>172380.91556240382</v>
      </c>
      <c r="CR19" s="201">
        <f t="shared" si="15"/>
        <v>177372.72427365062</v>
      </c>
      <c r="CS19" s="201">
        <f t="shared" si="15"/>
        <v>182364.53298489744</v>
      </c>
      <c r="CT19" s="201">
        <f t="shared" si="15"/>
        <v>187356.34169614426</v>
      </c>
      <c r="CU19" s="201" t="str">
        <f t="shared" si="15"/>
        <v/>
      </c>
      <c r="CV19" s="201" t="str">
        <f t="shared" si="15"/>
        <v/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36</v>
      </c>
      <c r="C22" s="205">
        <f>C2*100</f>
        <v>23</v>
      </c>
      <c r="D22" s="205">
        <f>D2*100</f>
        <v>27</v>
      </c>
      <c r="E22" s="205">
        <f>E2*100</f>
        <v>14.000000000000002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36</v>
      </c>
      <c r="C23" s="206">
        <f>SUM($B22:C22)</f>
        <v>59</v>
      </c>
      <c r="D23" s="206">
        <f>SUM($B22:D22)</f>
        <v>86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</v>
      </c>
      <c r="C24" s="208">
        <f>B23+(C23-B23)/2</f>
        <v>47.5</v>
      </c>
      <c r="D24" s="208">
        <f>C23+(D23-C23)/2</f>
        <v>72.5</v>
      </c>
      <c r="E24" s="208">
        <f>D23+(E23-D23)/2</f>
        <v>93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3344.15816647667</v>
      </c>
      <c r="C25" s="203">
        <f>Income!C72</f>
        <v>2601.7421940384984</v>
      </c>
      <c r="D25" s="203">
        <f>Income!D72</f>
        <v>3492.2635476178102</v>
      </c>
      <c r="E25" s="203">
        <f>Income!E72</f>
        <v>4415.5763539350655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3344.15816647667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3344.15816647667</v>
      </c>
      <c r="H25" s="210">
        <f t="shared" si="16"/>
        <v>3344.15816647667</v>
      </c>
      <c r="I25" s="210">
        <f t="shared" si="16"/>
        <v>3344.15816647667</v>
      </c>
      <c r="J25" s="210">
        <f t="shared" si="16"/>
        <v>3344.15816647667</v>
      </c>
      <c r="K25" s="210">
        <f t="shared" si="16"/>
        <v>3344.15816647667</v>
      </c>
      <c r="L25" s="210">
        <f t="shared" si="16"/>
        <v>3344.15816647667</v>
      </c>
      <c r="M25" s="210">
        <f t="shared" si="16"/>
        <v>3344.15816647667</v>
      </c>
      <c r="N25" s="210">
        <f t="shared" si="16"/>
        <v>3344.15816647667</v>
      </c>
      <c r="O25" s="210">
        <f t="shared" si="16"/>
        <v>3344.15816647667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3344.15816647667</v>
      </c>
      <c r="Q25" s="210">
        <f t="shared" si="17"/>
        <v>3344.15816647667</v>
      </c>
      <c r="R25" s="210">
        <f t="shared" si="17"/>
        <v>3344.15816647667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3344.15816647667</v>
      </c>
      <c r="T25" s="210">
        <f t="shared" si="17"/>
        <v>3344.15816647667</v>
      </c>
      <c r="U25" s="210">
        <f t="shared" si="17"/>
        <v>3344.15816647667</v>
      </c>
      <c r="V25" s="210">
        <f t="shared" si="17"/>
        <v>3344.15816647667</v>
      </c>
      <c r="W25" s="210">
        <f t="shared" si="17"/>
        <v>3344.15816647667</v>
      </c>
      <c r="X25" s="210">
        <f t="shared" si="17"/>
        <v>3344.15816647667</v>
      </c>
      <c r="Y25" s="210">
        <f t="shared" si="17"/>
        <v>3318.9915233431725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3293.8248802096755</v>
      </c>
      <c r="AA25" s="210">
        <f t="shared" si="18"/>
        <v>3268.658237076178</v>
      </c>
      <c r="AB25" s="210">
        <f t="shared" si="18"/>
        <v>3243.4915939426805</v>
      </c>
      <c r="AC25" s="210">
        <f t="shared" si="18"/>
        <v>3218.3249508091831</v>
      </c>
      <c r="AD25" s="210">
        <f t="shared" si="18"/>
        <v>3193.158307675686</v>
      </c>
      <c r="AE25" s="210">
        <f t="shared" si="18"/>
        <v>3167.9916645421886</v>
      </c>
      <c r="AF25" s="210">
        <f t="shared" si="18"/>
        <v>3142.8250214086911</v>
      </c>
      <c r="AG25" s="210">
        <f t="shared" si="18"/>
        <v>3117.6583782751941</v>
      </c>
      <c r="AH25" s="210">
        <f t="shared" si="18"/>
        <v>3092.4917351416966</v>
      </c>
      <c r="AI25" s="210">
        <f t="shared" si="18"/>
        <v>3067.3250920081991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3042.1584488747021</v>
      </c>
      <c r="AK25" s="210">
        <f t="shared" si="19"/>
        <v>3016.9918057412046</v>
      </c>
      <c r="AL25" s="210">
        <f t="shared" si="19"/>
        <v>2991.8251626077072</v>
      </c>
      <c r="AM25" s="210">
        <f t="shared" si="19"/>
        <v>2966.6585194742097</v>
      </c>
      <c r="AN25" s="210">
        <f t="shared" si="19"/>
        <v>2941.4918763407127</v>
      </c>
      <c r="AO25" s="210">
        <f t="shared" si="19"/>
        <v>2916.3252332072152</v>
      </c>
      <c r="AP25" s="210">
        <f t="shared" si="19"/>
        <v>2891.1585900737177</v>
      </c>
      <c r="AQ25" s="210">
        <f t="shared" si="19"/>
        <v>2865.9919469402203</v>
      </c>
      <c r="AR25" s="210">
        <f t="shared" si="19"/>
        <v>2840.8253038067232</v>
      </c>
      <c r="AS25" s="210">
        <f t="shared" si="19"/>
        <v>2815.6586606732258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2790.4920175397283</v>
      </c>
      <c r="AU25" s="210">
        <f t="shared" si="20"/>
        <v>2765.3253744062313</v>
      </c>
      <c r="AV25" s="210">
        <f t="shared" si="20"/>
        <v>2740.1587312727338</v>
      </c>
      <c r="AW25" s="210">
        <f t="shared" si="20"/>
        <v>2714.9920881392363</v>
      </c>
      <c r="AX25" s="210">
        <f t="shared" si="20"/>
        <v>2689.8254450057393</v>
      </c>
      <c r="AY25" s="210">
        <f t="shared" si="20"/>
        <v>2664.6588018722418</v>
      </c>
      <c r="AZ25" s="210">
        <f t="shared" si="20"/>
        <v>2639.4921587387444</v>
      </c>
      <c r="BA25" s="210">
        <f t="shared" si="20"/>
        <v>2614.3255156052469</v>
      </c>
      <c r="BB25" s="210">
        <f t="shared" si="20"/>
        <v>2619.5526211100846</v>
      </c>
      <c r="BC25" s="210">
        <f t="shared" si="20"/>
        <v>2655.173475253257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2690.7943293964295</v>
      </c>
      <c r="BE25" s="210">
        <f t="shared" si="21"/>
        <v>2726.4151835396019</v>
      </c>
      <c r="BF25" s="210">
        <f t="shared" si="21"/>
        <v>2762.0360376827743</v>
      </c>
      <c r="BG25" s="210">
        <f t="shared" si="21"/>
        <v>2797.6568918259468</v>
      </c>
      <c r="BH25" s="210">
        <f t="shared" si="21"/>
        <v>2833.2777459691197</v>
      </c>
      <c r="BI25" s="210">
        <f t="shared" si="21"/>
        <v>2868.8986001122921</v>
      </c>
      <c r="BJ25" s="210">
        <f t="shared" si="21"/>
        <v>2904.5194542554646</v>
      </c>
      <c r="BK25" s="210">
        <f t="shared" si="21"/>
        <v>2940.140308398637</v>
      </c>
      <c r="BL25" s="210">
        <f t="shared" si="21"/>
        <v>2975.7611625418094</v>
      </c>
      <c r="BM25" s="210">
        <f t="shared" si="21"/>
        <v>3011.3820166849819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3047.0028708281543</v>
      </c>
      <c r="BO25" s="210">
        <f t="shared" si="22"/>
        <v>3082.6237249713267</v>
      </c>
      <c r="BP25" s="210">
        <f t="shared" si="22"/>
        <v>3118.2445791144992</v>
      </c>
      <c r="BQ25" s="210">
        <f t="shared" si="22"/>
        <v>3153.8654332576716</v>
      </c>
      <c r="BR25" s="210">
        <f t="shared" si="22"/>
        <v>3189.486287400844</v>
      </c>
      <c r="BS25" s="210">
        <f t="shared" si="22"/>
        <v>3225.1071415440165</v>
      </c>
      <c r="BT25" s="210">
        <f t="shared" si="22"/>
        <v>3260.7279956871894</v>
      </c>
      <c r="BU25" s="210">
        <f t="shared" si="22"/>
        <v>3296.3488498303614</v>
      </c>
      <c r="BV25" s="210">
        <f t="shared" si="22"/>
        <v>3331.9697039735343</v>
      </c>
      <c r="BW25" s="210">
        <f t="shared" si="22"/>
        <v>3367.5905581167062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3403.2114122598791</v>
      </c>
      <c r="BY25" s="210">
        <f t="shared" si="23"/>
        <v>3438.8322664030516</v>
      </c>
      <c r="BZ25" s="210">
        <f t="shared" si="23"/>
        <v>3474.453120546224</v>
      </c>
      <c r="CA25" s="210">
        <f t="shared" si="23"/>
        <v>3514.7833721621337</v>
      </c>
      <c r="CB25" s="210">
        <f t="shared" si="23"/>
        <v>3559.8230212507801</v>
      </c>
      <c r="CC25" s="210">
        <f t="shared" si="23"/>
        <v>3604.8626703394266</v>
      </c>
      <c r="CD25" s="210">
        <f t="shared" si="23"/>
        <v>3649.9023194280735</v>
      </c>
      <c r="CE25" s="210">
        <f t="shared" si="23"/>
        <v>3694.94196851672</v>
      </c>
      <c r="CF25" s="210">
        <f t="shared" si="23"/>
        <v>3739.9816176053664</v>
      </c>
      <c r="CG25" s="210">
        <f t="shared" si="23"/>
        <v>3785.0212666940133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3830.0609157826598</v>
      </c>
      <c r="CI25" s="210">
        <f t="shared" si="24"/>
        <v>3875.1005648713062</v>
      </c>
      <c r="CJ25" s="210">
        <f t="shared" si="24"/>
        <v>3920.1402139599531</v>
      </c>
      <c r="CK25" s="210">
        <f t="shared" si="24"/>
        <v>3965.1798630485996</v>
      </c>
      <c r="CL25" s="210">
        <f t="shared" si="24"/>
        <v>4010.2195121372461</v>
      </c>
      <c r="CM25" s="210">
        <f t="shared" si="24"/>
        <v>4055.259161225893</v>
      </c>
      <c r="CN25" s="210">
        <f t="shared" si="24"/>
        <v>4100.298810314539</v>
      </c>
      <c r="CO25" s="210">
        <f t="shared" si="24"/>
        <v>4145.3384594031859</v>
      </c>
      <c r="CP25" s="210">
        <f t="shared" si="24"/>
        <v>4190.3781084918328</v>
      </c>
      <c r="CQ25" s="210">
        <f t="shared" si="24"/>
        <v>4235.4177575804788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4280.4574066691257</v>
      </c>
      <c r="CS25" s="210">
        <f t="shared" si="25"/>
        <v>4325.4970557577726</v>
      </c>
      <c r="CT25" s="210">
        <f t="shared" si="25"/>
        <v>4370.5367048464186</v>
      </c>
      <c r="CU25" s="210">
        <f t="shared" si="25"/>
        <v>4415.5763539350655</v>
      </c>
      <c r="CV25" s="210">
        <f t="shared" si="25"/>
        <v>4415.5763539350655</v>
      </c>
      <c r="CW25" s="210">
        <f t="shared" si="25"/>
        <v>4415.5763539350655</v>
      </c>
      <c r="CX25" s="210">
        <f t="shared" si="25"/>
        <v>4415.5763539350655</v>
      </c>
      <c r="CY25" s="210">
        <f t="shared" si="25"/>
        <v>4415.5763539350655</v>
      </c>
      <c r="CZ25" s="210">
        <f t="shared" si="25"/>
        <v>4415.5763539350655</v>
      </c>
      <c r="DA25" s="210">
        <f t="shared" si="25"/>
        <v>4415.5763539350655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53.097607195362443</v>
      </c>
      <c r="D26" s="203">
        <f>Income!D73</f>
        <v>1900.8943375939757</v>
      </c>
      <c r="E26" s="203">
        <f>Income!E73</f>
        <v>29064.776824340057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1.7999188879783878</v>
      </c>
      <c r="Z26" s="210">
        <f t="shared" si="18"/>
        <v>3.5998377759567757</v>
      </c>
      <c r="AA26" s="210">
        <f t="shared" si="18"/>
        <v>5.3997566639351628</v>
      </c>
      <c r="AB26" s="210">
        <f t="shared" si="18"/>
        <v>7.1996755519135514</v>
      </c>
      <c r="AC26" s="210">
        <f t="shared" si="18"/>
        <v>8.9995944398919399</v>
      </c>
      <c r="AD26" s="210">
        <f t="shared" si="18"/>
        <v>10.799513327870326</v>
      </c>
      <c r="AE26" s="210">
        <f t="shared" si="18"/>
        <v>12.599432215848715</v>
      </c>
      <c r="AF26" s="210">
        <f t="shared" si="18"/>
        <v>14.399351103827103</v>
      </c>
      <c r="AG26" s="210">
        <f t="shared" si="18"/>
        <v>16.19926999180549</v>
      </c>
      <c r="AH26" s="210">
        <f t="shared" si="18"/>
        <v>17.99918887978388</v>
      </c>
      <c r="AI26" s="210">
        <f t="shared" si="18"/>
        <v>19.799107767762269</v>
      </c>
      <c r="AJ26" s="210">
        <f t="shared" si="19"/>
        <v>21.599026655740651</v>
      </c>
      <c r="AK26" s="210">
        <f t="shared" si="19"/>
        <v>23.398945543719041</v>
      </c>
      <c r="AL26" s="210">
        <f t="shared" si="19"/>
        <v>25.19886443169743</v>
      </c>
      <c r="AM26" s="210">
        <f t="shared" si="19"/>
        <v>26.99878331967582</v>
      </c>
      <c r="AN26" s="210">
        <f t="shared" si="19"/>
        <v>28.798702207654205</v>
      </c>
      <c r="AO26" s="210">
        <f t="shared" si="19"/>
        <v>30.598621095632595</v>
      </c>
      <c r="AP26" s="210">
        <f t="shared" si="19"/>
        <v>32.398539983610981</v>
      </c>
      <c r="AQ26" s="210">
        <f t="shared" si="19"/>
        <v>34.198458871589374</v>
      </c>
      <c r="AR26" s="210">
        <f t="shared" si="19"/>
        <v>35.998377759567759</v>
      </c>
      <c r="AS26" s="210">
        <f t="shared" si="19"/>
        <v>37.798296647546145</v>
      </c>
      <c r="AT26" s="210">
        <f t="shared" si="20"/>
        <v>39.598215535524538</v>
      </c>
      <c r="AU26" s="210">
        <f t="shared" si="20"/>
        <v>41.398134423502924</v>
      </c>
      <c r="AV26" s="210">
        <f t="shared" si="20"/>
        <v>43.198053311481303</v>
      </c>
      <c r="AW26" s="210">
        <f t="shared" si="20"/>
        <v>44.997972199459696</v>
      </c>
      <c r="AX26" s="210">
        <f t="shared" si="20"/>
        <v>46.797891087438082</v>
      </c>
      <c r="AY26" s="210">
        <f t="shared" si="20"/>
        <v>48.597809975416475</v>
      </c>
      <c r="AZ26" s="210">
        <f t="shared" si="20"/>
        <v>50.39772886339486</v>
      </c>
      <c r="BA26" s="210">
        <f t="shared" si="20"/>
        <v>52.197647751373253</v>
      </c>
      <c r="BB26" s="210">
        <f t="shared" si="20"/>
        <v>90.05354180333471</v>
      </c>
      <c r="BC26" s="210">
        <f t="shared" si="20"/>
        <v>163.96541101927926</v>
      </c>
      <c r="BD26" s="210">
        <f t="shared" si="21"/>
        <v>237.87728023522379</v>
      </c>
      <c r="BE26" s="210">
        <f t="shared" si="21"/>
        <v>311.78914945116833</v>
      </c>
      <c r="BF26" s="210">
        <f t="shared" si="21"/>
        <v>385.70101866711292</v>
      </c>
      <c r="BG26" s="210">
        <f t="shared" si="21"/>
        <v>459.61288788305734</v>
      </c>
      <c r="BH26" s="210">
        <f t="shared" si="21"/>
        <v>533.52475709900193</v>
      </c>
      <c r="BI26" s="210">
        <f t="shared" si="21"/>
        <v>607.43662631494647</v>
      </c>
      <c r="BJ26" s="210">
        <f t="shared" si="21"/>
        <v>681.348495530891</v>
      </c>
      <c r="BK26" s="210">
        <f t="shared" si="21"/>
        <v>755.26036474683553</v>
      </c>
      <c r="BL26" s="210">
        <f t="shared" si="21"/>
        <v>829.17223396278007</v>
      </c>
      <c r="BM26" s="210">
        <f t="shared" si="21"/>
        <v>903.0841031787246</v>
      </c>
      <c r="BN26" s="210">
        <f t="shared" si="22"/>
        <v>976.99597239466914</v>
      </c>
      <c r="BO26" s="210">
        <f t="shared" si="22"/>
        <v>1050.9078416106136</v>
      </c>
      <c r="BP26" s="210">
        <f t="shared" si="22"/>
        <v>1124.8197108265581</v>
      </c>
      <c r="BQ26" s="210">
        <f t="shared" si="22"/>
        <v>1198.7315800425026</v>
      </c>
      <c r="BR26" s="210">
        <f t="shared" si="22"/>
        <v>1272.6434492584472</v>
      </c>
      <c r="BS26" s="210">
        <f t="shared" si="22"/>
        <v>1346.5553184743917</v>
      </c>
      <c r="BT26" s="210">
        <f t="shared" si="22"/>
        <v>1420.4671876903362</v>
      </c>
      <c r="BU26" s="210">
        <f t="shared" si="22"/>
        <v>1494.3790569062808</v>
      </c>
      <c r="BV26" s="210">
        <f t="shared" si="22"/>
        <v>1568.2909261222253</v>
      </c>
      <c r="BW26" s="210">
        <f t="shared" si="22"/>
        <v>1642.2027953381698</v>
      </c>
      <c r="BX26" s="210">
        <f t="shared" si="23"/>
        <v>1716.1146645541144</v>
      </c>
      <c r="BY26" s="210">
        <f t="shared" si="23"/>
        <v>1790.0265337700589</v>
      </c>
      <c r="BZ26" s="210">
        <f t="shared" si="23"/>
        <v>1863.9384029860034</v>
      </c>
      <c r="CA26" s="210">
        <f t="shared" si="23"/>
        <v>2563.4280567829046</v>
      </c>
      <c r="CB26" s="210">
        <f t="shared" si="23"/>
        <v>3888.4954951607624</v>
      </c>
      <c r="CC26" s="210">
        <f t="shared" si="23"/>
        <v>5213.5629335386202</v>
      </c>
      <c r="CD26" s="210">
        <f t="shared" si="23"/>
        <v>6538.6303719164771</v>
      </c>
      <c r="CE26" s="210">
        <f t="shared" si="23"/>
        <v>7863.6978102943358</v>
      </c>
      <c r="CF26" s="210">
        <f t="shared" si="23"/>
        <v>9188.7652486721927</v>
      </c>
      <c r="CG26" s="210">
        <f t="shared" si="23"/>
        <v>10513.832687050051</v>
      </c>
      <c r="CH26" s="210">
        <f t="shared" si="24"/>
        <v>11838.90012542791</v>
      </c>
      <c r="CI26" s="210">
        <f t="shared" si="24"/>
        <v>13163.967563805765</v>
      </c>
      <c r="CJ26" s="210">
        <f t="shared" si="24"/>
        <v>14489.035002183624</v>
      </c>
      <c r="CK26" s="210">
        <f t="shared" si="24"/>
        <v>15814.102440561481</v>
      </c>
      <c r="CL26" s="210">
        <f t="shared" si="24"/>
        <v>17139.169878939341</v>
      </c>
      <c r="CM26" s="210">
        <f t="shared" si="24"/>
        <v>18464.237317317195</v>
      </c>
      <c r="CN26" s="210">
        <f t="shared" si="24"/>
        <v>19789.304755695051</v>
      </c>
      <c r="CO26" s="210">
        <f t="shared" si="24"/>
        <v>21114.372194072912</v>
      </c>
      <c r="CP26" s="210">
        <f t="shared" si="24"/>
        <v>22439.439632450769</v>
      </c>
      <c r="CQ26" s="210">
        <f t="shared" si="24"/>
        <v>23764.507070828626</v>
      </c>
      <c r="CR26" s="210">
        <f t="shared" si="25"/>
        <v>25089.574509206483</v>
      </c>
      <c r="CS26" s="210">
        <f t="shared" si="25"/>
        <v>26414.641947584343</v>
      </c>
      <c r="CT26" s="210">
        <f t="shared" si="25"/>
        <v>27739.7093859622</v>
      </c>
      <c r="CU26" s="210">
        <f t="shared" si="25"/>
        <v>29064.776824340057</v>
      </c>
      <c r="CV26" s="210">
        <f t="shared" si="25"/>
        <v>29064.776824340057</v>
      </c>
      <c r="CW26" s="210">
        <f t="shared" si="25"/>
        <v>29064.776824340057</v>
      </c>
      <c r="CX26" s="210">
        <f t="shared" si="25"/>
        <v>29064.776824340057</v>
      </c>
      <c r="CY26" s="210">
        <f t="shared" si="25"/>
        <v>29064.776824340057</v>
      </c>
      <c r="CZ26" s="210">
        <f t="shared" si="25"/>
        <v>29064.776824340057</v>
      </c>
      <c r="DA26" s="210">
        <f t="shared" si="25"/>
        <v>29064.776824340057</v>
      </c>
    </row>
    <row r="27" spans="1:105">
      <c r="A27" s="201" t="str">
        <f>Income!A74</f>
        <v>Animal products consumed</v>
      </c>
      <c r="B27" s="203">
        <f>Income!B74</f>
        <v>1021.5314605432648</v>
      </c>
      <c r="C27" s="203">
        <f>Income!C74</f>
        <v>2971.466259973326</v>
      </c>
      <c r="D27" s="203">
        <f>Income!D74</f>
        <v>3660.7985444025776</v>
      </c>
      <c r="E27" s="203">
        <f>Income!E74</f>
        <v>3487.9877456007357</v>
      </c>
      <c r="F27" s="210">
        <f t="shared" si="16"/>
        <v>1021.5314605432648</v>
      </c>
      <c r="G27" s="210">
        <f t="shared" si="16"/>
        <v>1021.5314605432648</v>
      </c>
      <c r="H27" s="210">
        <f t="shared" si="16"/>
        <v>1021.5314605432648</v>
      </c>
      <c r="I27" s="210">
        <f t="shared" si="16"/>
        <v>1021.5314605432648</v>
      </c>
      <c r="J27" s="210">
        <f t="shared" si="16"/>
        <v>1021.5314605432648</v>
      </c>
      <c r="K27" s="210">
        <f t="shared" si="16"/>
        <v>1021.5314605432648</v>
      </c>
      <c r="L27" s="210">
        <f t="shared" si="16"/>
        <v>1021.5314605432648</v>
      </c>
      <c r="M27" s="210">
        <f t="shared" si="16"/>
        <v>1021.5314605432648</v>
      </c>
      <c r="N27" s="210">
        <f t="shared" si="16"/>
        <v>1021.5314605432648</v>
      </c>
      <c r="O27" s="210">
        <f t="shared" si="16"/>
        <v>1021.5314605432648</v>
      </c>
      <c r="P27" s="210">
        <f t="shared" si="17"/>
        <v>1021.5314605432648</v>
      </c>
      <c r="Q27" s="210">
        <f t="shared" si="17"/>
        <v>1021.5314605432648</v>
      </c>
      <c r="R27" s="210">
        <f t="shared" si="17"/>
        <v>1021.5314605432648</v>
      </c>
      <c r="S27" s="210">
        <f t="shared" si="17"/>
        <v>1021.5314605432648</v>
      </c>
      <c r="T27" s="210">
        <f t="shared" si="17"/>
        <v>1021.5314605432648</v>
      </c>
      <c r="U27" s="210">
        <f t="shared" si="17"/>
        <v>1021.5314605432648</v>
      </c>
      <c r="V27" s="210">
        <f t="shared" si="17"/>
        <v>1021.5314605432648</v>
      </c>
      <c r="W27" s="210">
        <f t="shared" si="17"/>
        <v>1021.5314605432648</v>
      </c>
      <c r="X27" s="210">
        <f t="shared" si="17"/>
        <v>1021.5314605432648</v>
      </c>
      <c r="Y27" s="210">
        <f t="shared" si="17"/>
        <v>1087.6309452697076</v>
      </c>
      <c r="Z27" s="210">
        <f t="shared" si="18"/>
        <v>1153.7304299961502</v>
      </c>
      <c r="AA27" s="210">
        <f t="shared" si="18"/>
        <v>1219.829914722593</v>
      </c>
      <c r="AB27" s="210">
        <f t="shared" si="18"/>
        <v>1285.9293994490358</v>
      </c>
      <c r="AC27" s="210">
        <f t="shared" si="18"/>
        <v>1352.0288841754787</v>
      </c>
      <c r="AD27" s="210">
        <f t="shared" si="18"/>
        <v>1418.1283689019212</v>
      </c>
      <c r="AE27" s="210">
        <f t="shared" si="18"/>
        <v>1484.2278536283641</v>
      </c>
      <c r="AF27" s="210">
        <f t="shared" si="18"/>
        <v>1550.3273383548067</v>
      </c>
      <c r="AG27" s="210">
        <f t="shared" si="18"/>
        <v>1616.4268230812495</v>
      </c>
      <c r="AH27" s="210">
        <f t="shared" si="18"/>
        <v>1682.5263078076923</v>
      </c>
      <c r="AI27" s="210">
        <f t="shared" si="18"/>
        <v>1748.6257925341351</v>
      </c>
      <c r="AJ27" s="210">
        <f t="shared" si="19"/>
        <v>1814.7252772605777</v>
      </c>
      <c r="AK27" s="210">
        <f t="shared" si="19"/>
        <v>1880.8247619870206</v>
      </c>
      <c r="AL27" s="210">
        <f t="shared" si="19"/>
        <v>1946.9242467134634</v>
      </c>
      <c r="AM27" s="210">
        <f t="shared" si="19"/>
        <v>2013.023731439906</v>
      </c>
      <c r="AN27" s="210">
        <f t="shared" si="19"/>
        <v>2079.1232161663488</v>
      </c>
      <c r="AO27" s="210">
        <f t="shared" si="19"/>
        <v>2145.2227008927912</v>
      </c>
      <c r="AP27" s="210">
        <f t="shared" si="19"/>
        <v>2211.322185619234</v>
      </c>
      <c r="AQ27" s="210">
        <f t="shared" si="19"/>
        <v>2277.4216703456768</v>
      </c>
      <c r="AR27" s="210">
        <f t="shared" si="19"/>
        <v>2343.5211550721197</v>
      </c>
      <c r="AS27" s="210">
        <f t="shared" si="19"/>
        <v>2409.6206397985625</v>
      </c>
      <c r="AT27" s="210">
        <f t="shared" si="20"/>
        <v>2475.7201245250053</v>
      </c>
      <c r="AU27" s="210">
        <f t="shared" si="20"/>
        <v>2541.8196092514481</v>
      </c>
      <c r="AV27" s="210">
        <f t="shared" si="20"/>
        <v>2607.919093977891</v>
      </c>
      <c r="AW27" s="210">
        <f t="shared" si="20"/>
        <v>2674.0185787043338</v>
      </c>
      <c r="AX27" s="210">
        <f t="shared" si="20"/>
        <v>2740.1180634307766</v>
      </c>
      <c r="AY27" s="210">
        <f t="shared" si="20"/>
        <v>2806.2175481572194</v>
      </c>
      <c r="AZ27" s="210">
        <f t="shared" si="20"/>
        <v>2872.3170328836623</v>
      </c>
      <c r="BA27" s="210">
        <f t="shared" si="20"/>
        <v>2938.4165176101046</v>
      </c>
      <c r="BB27" s="210">
        <f t="shared" si="20"/>
        <v>2985.252905661911</v>
      </c>
      <c r="BC27" s="210">
        <f t="shared" si="20"/>
        <v>3012.8261970390813</v>
      </c>
      <c r="BD27" s="210">
        <f t="shared" si="21"/>
        <v>3040.3994884162512</v>
      </c>
      <c r="BE27" s="210">
        <f t="shared" si="21"/>
        <v>3067.9727797934211</v>
      </c>
      <c r="BF27" s="210">
        <f t="shared" si="21"/>
        <v>3095.5460711705914</v>
      </c>
      <c r="BG27" s="210">
        <f t="shared" si="21"/>
        <v>3123.1193625477613</v>
      </c>
      <c r="BH27" s="210">
        <f t="shared" si="21"/>
        <v>3150.6926539249316</v>
      </c>
      <c r="BI27" s="210">
        <f t="shared" si="21"/>
        <v>3178.2659453021015</v>
      </c>
      <c r="BJ27" s="210">
        <f t="shared" si="21"/>
        <v>3205.8392366792714</v>
      </c>
      <c r="BK27" s="210">
        <f t="shared" si="21"/>
        <v>3233.4125280564417</v>
      </c>
      <c r="BL27" s="210">
        <f t="shared" si="21"/>
        <v>3260.9858194336116</v>
      </c>
      <c r="BM27" s="210">
        <f t="shared" si="21"/>
        <v>3288.5591108107819</v>
      </c>
      <c r="BN27" s="210">
        <f t="shared" si="22"/>
        <v>3316.1324021879518</v>
      </c>
      <c r="BO27" s="210">
        <f t="shared" si="22"/>
        <v>3343.7056935651217</v>
      </c>
      <c r="BP27" s="210">
        <f t="shared" si="22"/>
        <v>3371.278984942292</v>
      </c>
      <c r="BQ27" s="210">
        <f t="shared" si="22"/>
        <v>3398.8522763194619</v>
      </c>
      <c r="BR27" s="210">
        <f t="shared" si="22"/>
        <v>3426.4255676966322</v>
      </c>
      <c r="BS27" s="210">
        <f t="shared" si="22"/>
        <v>3453.9988590738021</v>
      </c>
      <c r="BT27" s="210">
        <f t="shared" si="22"/>
        <v>3481.572150450972</v>
      </c>
      <c r="BU27" s="210">
        <f t="shared" si="22"/>
        <v>3509.1454418281423</v>
      </c>
      <c r="BV27" s="210">
        <f t="shared" si="22"/>
        <v>3536.7187332053122</v>
      </c>
      <c r="BW27" s="210">
        <f t="shared" si="22"/>
        <v>3564.2920245824826</v>
      </c>
      <c r="BX27" s="210">
        <f t="shared" si="23"/>
        <v>3591.8653159596524</v>
      </c>
      <c r="BY27" s="210">
        <f t="shared" si="23"/>
        <v>3619.4386073368223</v>
      </c>
      <c r="BZ27" s="210">
        <f t="shared" si="23"/>
        <v>3647.0118987139927</v>
      </c>
      <c r="CA27" s="210">
        <f t="shared" si="23"/>
        <v>3656.5836468708253</v>
      </c>
      <c r="CB27" s="210">
        <f t="shared" si="23"/>
        <v>3648.1538518073207</v>
      </c>
      <c r="CC27" s="210">
        <f t="shared" si="23"/>
        <v>3639.7240567438162</v>
      </c>
      <c r="CD27" s="210">
        <f t="shared" si="23"/>
        <v>3631.294261680312</v>
      </c>
      <c r="CE27" s="210">
        <f t="shared" si="23"/>
        <v>3622.8644666168075</v>
      </c>
      <c r="CF27" s="210">
        <f t="shared" si="23"/>
        <v>3614.4346715533029</v>
      </c>
      <c r="CG27" s="210">
        <f t="shared" si="23"/>
        <v>3606.0048764897983</v>
      </c>
      <c r="CH27" s="210">
        <f t="shared" si="24"/>
        <v>3597.5750814262938</v>
      </c>
      <c r="CI27" s="210">
        <f t="shared" si="24"/>
        <v>3589.1452863627896</v>
      </c>
      <c r="CJ27" s="210">
        <f t="shared" si="24"/>
        <v>3580.7154912992851</v>
      </c>
      <c r="CK27" s="210">
        <f t="shared" si="24"/>
        <v>3572.2856962357805</v>
      </c>
      <c r="CL27" s="210">
        <f t="shared" si="24"/>
        <v>3563.8559011722759</v>
      </c>
      <c r="CM27" s="210">
        <f t="shared" si="24"/>
        <v>3555.4261061087714</v>
      </c>
      <c r="CN27" s="210">
        <f t="shared" si="24"/>
        <v>3546.9963110452672</v>
      </c>
      <c r="CO27" s="210">
        <f t="shared" si="24"/>
        <v>3538.5665159817627</v>
      </c>
      <c r="CP27" s="210">
        <f t="shared" si="24"/>
        <v>3530.1367209182581</v>
      </c>
      <c r="CQ27" s="210">
        <f t="shared" si="24"/>
        <v>3521.7069258547535</v>
      </c>
      <c r="CR27" s="210">
        <f t="shared" si="25"/>
        <v>3513.277130791249</v>
      </c>
      <c r="CS27" s="210">
        <f t="shared" si="25"/>
        <v>3504.8473357277448</v>
      </c>
      <c r="CT27" s="210">
        <f t="shared" si="25"/>
        <v>3496.4175406642403</v>
      </c>
      <c r="CU27" s="210">
        <f t="shared" si="25"/>
        <v>3487.9877456007357</v>
      </c>
      <c r="CV27" s="210">
        <f t="shared" si="25"/>
        <v>3487.9877456007357</v>
      </c>
      <c r="CW27" s="210">
        <f t="shared" si="25"/>
        <v>3487.9877456007357</v>
      </c>
      <c r="CX27" s="210">
        <f t="shared" si="25"/>
        <v>3487.9877456007357</v>
      </c>
      <c r="CY27" s="210">
        <f t="shared" si="25"/>
        <v>3487.9877456007357</v>
      </c>
      <c r="CZ27" s="210">
        <f t="shared" si="25"/>
        <v>3487.9877456007357</v>
      </c>
      <c r="DA27" s="210">
        <f t="shared" si="25"/>
        <v>3487.9877456007357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15.170744912960696</v>
      </c>
      <c r="D28" s="203">
        <f>Income!D75</f>
        <v>68.268352108323157</v>
      </c>
      <c r="E28" s="203">
        <f>Income!E75</f>
        <v>123.2623024178057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0.51426253942239653</v>
      </c>
      <c r="Z28" s="210">
        <f t="shared" si="18"/>
        <v>1.0285250788447931</v>
      </c>
      <c r="AA28" s="210">
        <f t="shared" si="18"/>
        <v>1.5427876182671894</v>
      </c>
      <c r="AB28" s="210">
        <f t="shared" si="18"/>
        <v>2.0570501576895861</v>
      </c>
      <c r="AC28" s="210">
        <f t="shared" si="18"/>
        <v>2.5713126971119826</v>
      </c>
      <c r="AD28" s="210">
        <f t="shared" si="18"/>
        <v>3.0855752365343787</v>
      </c>
      <c r="AE28" s="210">
        <f t="shared" si="18"/>
        <v>3.5998377759567752</v>
      </c>
      <c r="AF28" s="210">
        <f t="shared" si="18"/>
        <v>4.1141003153791722</v>
      </c>
      <c r="AG28" s="210">
        <f t="shared" si="18"/>
        <v>4.6283628548015683</v>
      </c>
      <c r="AH28" s="210">
        <f t="shared" si="18"/>
        <v>5.1426253942239653</v>
      </c>
      <c r="AI28" s="210">
        <f t="shared" si="18"/>
        <v>5.6568879336463613</v>
      </c>
      <c r="AJ28" s="210">
        <f t="shared" si="19"/>
        <v>6.1711504730687574</v>
      </c>
      <c r="AK28" s="210">
        <f t="shared" si="19"/>
        <v>6.6854130124911544</v>
      </c>
      <c r="AL28" s="210">
        <f t="shared" si="19"/>
        <v>7.1996755519135505</v>
      </c>
      <c r="AM28" s="210">
        <f t="shared" si="19"/>
        <v>7.7139380913359474</v>
      </c>
      <c r="AN28" s="210">
        <f t="shared" si="19"/>
        <v>8.2282006307583444</v>
      </c>
      <c r="AO28" s="210">
        <f t="shared" si="19"/>
        <v>8.7424631701807396</v>
      </c>
      <c r="AP28" s="210">
        <f t="shared" si="19"/>
        <v>9.2567257096031366</v>
      </c>
      <c r="AQ28" s="210">
        <f t="shared" si="19"/>
        <v>9.7709882490255335</v>
      </c>
      <c r="AR28" s="210">
        <f t="shared" si="19"/>
        <v>10.285250788447931</v>
      </c>
      <c r="AS28" s="210">
        <f t="shared" si="19"/>
        <v>10.799513327870326</v>
      </c>
      <c r="AT28" s="210">
        <f t="shared" si="20"/>
        <v>11.313775867292723</v>
      </c>
      <c r="AU28" s="210">
        <f t="shared" si="20"/>
        <v>11.828038406715118</v>
      </c>
      <c r="AV28" s="210">
        <f t="shared" si="20"/>
        <v>12.342300946137515</v>
      </c>
      <c r="AW28" s="210">
        <f t="shared" si="20"/>
        <v>12.856563485559914</v>
      </c>
      <c r="AX28" s="210">
        <f t="shared" si="20"/>
        <v>13.370826024982309</v>
      </c>
      <c r="AY28" s="210">
        <f t="shared" si="20"/>
        <v>13.885088564404706</v>
      </c>
      <c r="AZ28" s="210">
        <f t="shared" si="20"/>
        <v>14.399351103827101</v>
      </c>
      <c r="BA28" s="210">
        <f t="shared" si="20"/>
        <v>14.913613643249498</v>
      </c>
      <c r="BB28" s="210">
        <f t="shared" si="20"/>
        <v>16.232697056867945</v>
      </c>
      <c r="BC28" s="210">
        <f t="shared" si="20"/>
        <v>18.356601344682446</v>
      </c>
      <c r="BD28" s="210">
        <f t="shared" si="21"/>
        <v>20.480505632496943</v>
      </c>
      <c r="BE28" s="210">
        <f t="shared" si="21"/>
        <v>22.60440992031144</v>
      </c>
      <c r="BF28" s="210">
        <f t="shared" si="21"/>
        <v>24.728314208125937</v>
      </c>
      <c r="BG28" s="210">
        <f t="shared" si="21"/>
        <v>26.852218495940438</v>
      </c>
      <c r="BH28" s="210">
        <f t="shared" si="21"/>
        <v>28.976122783754935</v>
      </c>
      <c r="BI28" s="210">
        <f t="shared" si="21"/>
        <v>31.100027071569436</v>
      </c>
      <c r="BJ28" s="210">
        <f t="shared" si="21"/>
        <v>33.223931359383933</v>
      </c>
      <c r="BK28" s="210">
        <f t="shared" si="21"/>
        <v>35.34783564719843</v>
      </c>
      <c r="BL28" s="210">
        <f t="shared" si="21"/>
        <v>37.471739935012927</v>
      </c>
      <c r="BM28" s="210">
        <f t="shared" si="21"/>
        <v>39.595644222827431</v>
      </c>
      <c r="BN28" s="210">
        <f t="shared" si="22"/>
        <v>41.719548510641921</v>
      </c>
      <c r="BO28" s="210">
        <f t="shared" si="22"/>
        <v>43.843452798456426</v>
      </c>
      <c r="BP28" s="210">
        <f t="shared" si="22"/>
        <v>45.967357086270923</v>
      </c>
      <c r="BQ28" s="210">
        <f t="shared" si="22"/>
        <v>48.09126137408542</v>
      </c>
      <c r="BR28" s="210">
        <f t="shared" si="22"/>
        <v>50.215165661899917</v>
      </c>
      <c r="BS28" s="210">
        <f t="shared" si="22"/>
        <v>52.339069949714414</v>
      </c>
      <c r="BT28" s="210">
        <f t="shared" si="22"/>
        <v>54.462974237528911</v>
      </c>
      <c r="BU28" s="210">
        <f t="shared" si="22"/>
        <v>56.586878525343408</v>
      </c>
      <c r="BV28" s="210">
        <f t="shared" si="22"/>
        <v>58.710782813157905</v>
      </c>
      <c r="BW28" s="210">
        <f t="shared" si="22"/>
        <v>60.834687100972417</v>
      </c>
      <c r="BX28" s="210">
        <f t="shared" si="23"/>
        <v>62.9585913887869</v>
      </c>
      <c r="BY28" s="210">
        <f t="shared" si="23"/>
        <v>65.082495676601411</v>
      </c>
      <c r="BZ28" s="210">
        <f t="shared" si="23"/>
        <v>67.206399964415908</v>
      </c>
      <c r="CA28" s="210">
        <f t="shared" si="23"/>
        <v>69.609667969530051</v>
      </c>
      <c r="CB28" s="210">
        <f t="shared" si="23"/>
        <v>72.292299691943825</v>
      </c>
      <c r="CC28" s="210">
        <f t="shared" si="23"/>
        <v>74.974931414357613</v>
      </c>
      <c r="CD28" s="210">
        <f t="shared" si="23"/>
        <v>77.657563136771401</v>
      </c>
      <c r="CE28" s="210">
        <f t="shared" si="23"/>
        <v>80.340194859185175</v>
      </c>
      <c r="CF28" s="210">
        <f t="shared" si="23"/>
        <v>83.022826581598963</v>
      </c>
      <c r="CG28" s="210">
        <f t="shared" si="23"/>
        <v>85.705458304012751</v>
      </c>
      <c r="CH28" s="210">
        <f t="shared" si="24"/>
        <v>88.388090026426525</v>
      </c>
      <c r="CI28" s="210">
        <f t="shared" si="24"/>
        <v>91.070721748840313</v>
      </c>
      <c r="CJ28" s="210">
        <f t="shared" si="24"/>
        <v>93.753353471254087</v>
      </c>
      <c r="CK28" s="210">
        <f t="shared" si="24"/>
        <v>96.435985193667875</v>
      </c>
      <c r="CL28" s="210">
        <f t="shared" si="24"/>
        <v>99.118616916081663</v>
      </c>
      <c r="CM28" s="210">
        <f t="shared" si="24"/>
        <v>101.80124863849544</v>
      </c>
      <c r="CN28" s="210">
        <f t="shared" si="24"/>
        <v>104.48388036090923</v>
      </c>
      <c r="CO28" s="210">
        <f t="shared" si="24"/>
        <v>107.166512083323</v>
      </c>
      <c r="CP28" s="210">
        <f t="shared" si="24"/>
        <v>109.84914380573679</v>
      </c>
      <c r="CQ28" s="210">
        <f t="shared" si="24"/>
        <v>112.53177552815058</v>
      </c>
      <c r="CR28" s="210">
        <f t="shared" si="25"/>
        <v>115.21440725056435</v>
      </c>
      <c r="CS28" s="210">
        <f t="shared" si="25"/>
        <v>117.89703897297812</v>
      </c>
      <c r="CT28" s="210">
        <f t="shared" si="25"/>
        <v>120.57967069539193</v>
      </c>
      <c r="CU28" s="210">
        <f t="shared" si="25"/>
        <v>123.2623024178057</v>
      </c>
      <c r="CV28" s="210">
        <f t="shared" si="25"/>
        <v>123.2623024178057</v>
      </c>
      <c r="CW28" s="210">
        <f t="shared" si="25"/>
        <v>123.2623024178057</v>
      </c>
      <c r="CX28" s="210">
        <f t="shared" si="25"/>
        <v>123.2623024178057</v>
      </c>
      <c r="CY28" s="210">
        <f t="shared" si="25"/>
        <v>123.2623024178057</v>
      </c>
      <c r="CZ28" s="210">
        <f t="shared" si="25"/>
        <v>123.2623024178057</v>
      </c>
      <c r="DA28" s="210">
        <f t="shared" si="25"/>
        <v>123.2623024178057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3034.1489825921394</v>
      </c>
      <c r="D29" s="203">
        <f>Income!D76</f>
        <v>10240.252816248472</v>
      </c>
      <c r="E29" s="203">
        <f>Income!E76</f>
        <v>52149.435638302399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102.85250788447931</v>
      </c>
      <c r="Z29" s="210">
        <f t="shared" si="18"/>
        <v>205.70501576895862</v>
      </c>
      <c r="AA29" s="210">
        <f t="shared" si="18"/>
        <v>308.5575236534379</v>
      </c>
      <c r="AB29" s="210">
        <f t="shared" si="18"/>
        <v>411.41003153791723</v>
      </c>
      <c r="AC29" s="210">
        <f t="shared" si="18"/>
        <v>514.26253942239657</v>
      </c>
      <c r="AD29" s="210">
        <f t="shared" si="18"/>
        <v>617.11504730687579</v>
      </c>
      <c r="AE29" s="210">
        <f t="shared" si="18"/>
        <v>719.96755519135513</v>
      </c>
      <c r="AF29" s="210">
        <f t="shared" si="18"/>
        <v>822.82006307583447</v>
      </c>
      <c r="AG29" s="210">
        <f t="shared" si="18"/>
        <v>925.67257096031369</v>
      </c>
      <c r="AH29" s="210">
        <f t="shared" si="18"/>
        <v>1028.5250788447931</v>
      </c>
      <c r="AI29" s="210">
        <f t="shared" si="18"/>
        <v>1131.3775867292723</v>
      </c>
      <c r="AJ29" s="210">
        <f t="shared" si="19"/>
        <v>1234.2300946137516</v>
      </c>
      <c r="AK29" s="210">
        <f t="shared" si="19"/>
        <v>1337.0826024982309</v>
      </c>
      <c r="AL29" s="210">
        <f t="shared" si="19"/>
        <v>1439.9351103827103</v>
      </c>
      <c r="AM29" s="210">
        <f t="shared" si="19"/>
        <v>1542.7876182671896</v>
      </c>
      <c r="AN29" s="210">
        <f t="shared" si="19"/>
        <v>1645.6401261516689</v>
      </c>
      <c r="AO29" s="210">
        <f t="shared" si="19"/>
        <v>1748.492634036148</v>
      </c>
      <c r="AP29" s="210">
        <f t="shared" si="19"/>
        <v>1851.3451419206274</v>
      </c>
      <c r="AQ29" s="210">
        <f t="shared" si="19"/>
        <v>1954.1976498051069</v>
      </c>
      <c r="AR29" s="210">
        <f t="shared" si="19"/>
        <v>2057.0501576895863</v>
      </c>
      <c r="AS29" s="210">
        <f t="shared" si="19"/>
        <v>2159.9026655740654</v>
      </c>
      <c r="AT29" s="210">
        <f t="shared" si="20"/>
        <v>2262.7551734585445</v>
      </c>
      <c r="AU29" s="210">
        <f t="shared" si="20"/>
        <v>2365.6076813430241</v>
      </c>
      <c r="AV29" s="210">
        <f t="shared" si="20"/>
        <v>2468.4601892275032</v>
      </c>
      <c r="AW29" s="210">
        <f t="shared" si="20"/>
        <v>2571.3126971119827</v>
      </c>
      <c r="AX29" s="210">
        <f t="shared" si="20"/>
        <v>2674.1652049964619</v>
      </c>
      <c r="AY29" s="210">
        <f t="shared" si="20"/>
        <v>2777.017712880941</v>
      </c>
      <c r="AZ29" s="210">
        <f t="shared" si="20"/>
        <v>2879.8702207654205</v>
      </c>
      <c r="BA29" s="210">
        <f t="shared" si="20"/>
        <v>2982.7227286498996</v>
      </c>
      <c r="BB29" s="210">
        <f t="shared" si="20"/>
        <v>3178.2710592652661</v>
      </c>
      <c r="BC29" s="210">
        <f t="shared" si="20"/>
        <v>3466.5152126115195</v>
      </c>
      <c r="BD29" s="210">
        <f t="shared" si="21"/>
        <v>3754.7593659577728</v>
      </c>
      <c r="BE29" s="210">
        <f t="shared" si="21"/>
        <v>4043.0035193040258</v>
      </c>
      <c r="BF29" s="210">
        <f t="shared" si="21"/>
        <v>4331.2476726502791</v>
      </c>
      <c r="BG29" s="210">
        <f t="shared" si="21"/>
        <v>4619.4918259965325</v>
      </c>
      <c r="BH29" s="210">
        <f t="shared" si="21"/>
        <v>4907.7359793427859</v>
      </c>
      <c r="BI29" s="210">
        <f t="shared" si="21"/>
        <v>5195.9801326890392</v>
      </c>
      <c r="BJ29" s="210">
        <f t="shared" si="21"/>
        <v>5484.2242860352926</v>
      </c>
      <c r="BK29" s="210">
        <f t="shared" si="21"/>
        <v>5772.468439381546</v>
      </c>
      <c r="BL29" s="210">
        <f t="shared" si="21"/>
        <v>6060.7125927277993</v>
      </c>
      <c r="BM29" s="210">
        <f t="shared" si="21"/>
        <v>6348.9567460740527</v>
      </c>
      <c r="BN29" s="210">
        <f t="shared" si="22"/>
        <v>6637.2008994203061</v>
      </c>
      <c r="BO29" s="210">
        <f t="shared" si="22"/>
        <v>6925.4450527665595</v>
      </c>
      <c r="BP29" s="210">
        <f t="shared" si="22"/>
        <v>7213.6892061128128</v>
      </c>
      <c r="BQ29" s="210">
        <f t="shared" si="22"/>
        <v>7501.9333594590662</v>
      </c>
      <c r="BR29" s="210">
        <f t="shared" si="22"/>
        <v>7790.1775128053177</v>
      </c>
      <c r="BS29" s="210">
        <f t="shared" si="22"/>
        <v>8078.4216661515729</v>
      </c>
      <c r="BT29" s="210">
        <f t="shared" si="22"/>
        <v>8366.6658194978245</v>
      </c>
      <c r="BU29" s="210">
        <f t="shared" si="22"/>
        <v>8654.9099728440797</v>
      </c>
      <c r="BV29" s="210">
        <f t="shared" si="22"/>
        <v>8943.1541261903312</v>
      </c>
      <c r="BW29" s="210">
        <f t="shared" si="22"/>
        <v>9231.3982795365864</v>
      </c>
      <c r="BX29" s="210">
        <f t="shared" si="23"/>
        <v>9519.642432882838</v>
      </c>
      <c r="BY29" s="210">
        <f t="shared" si="23"/>
        <v>9807.8865862290913</v>
      </c>
      <c r="BZ29" s="210">
        <f t="shared" si="23"/>
        <v>10096.130739575345</v>
      </c>
      <c r="CA29" s="210">
        <f t="shared" si="23"/>
        <v>11262.428007030276</v>
      </c>
      <c r="CB29" s="210">
        <f t="shared" si="23"/>
        <v>13306.778388593881</v>
      </c>
      <c r="CC29" s="210">
        <f t="shared" si="23"/>
        <v>15351.128770157487</v>
      </c>
      <c r="CD29" s="210">
        <f t="shared" si="23"/>
        <v>17395.479151721094</v>
      </c>
      <c r="CE29" s="210">
        <f t="shared" si="23"/>
        <v>19439.829533284697</v>
      </c>
      <c r="CF29" s="210">
        <f t="shared" si="23"/>
        <v>21484.179914848304</v>
      </c>
      <c r="CG29" s="210">
        <f t="shared" si="23"/>
        <v>23528.530296411911</v>
      </c>
      <c r="CH29" s="210">
        <f t="shared" si="24"/>
        <v>25572.880677975518</v>
      </c>
      <c r="CI29" s="210">
        <f t="shared" si="24"/>
        <v>27617.231059539125</v>
      </c>
      <c r="CJ29" s="210">
        <f t="shared" si="24"/>
        <v>29661.581441102731</v>
      </c>
      <c r="CK29" s="210">
        <f t="shared" si="24"/>
        <v>31705.931822666338</v>
      </c>
      <c r="CL29" s="210">
        <f t="shared" si="24"/>
        <v>33750.282204229945</v>
      </c>
      <c r="CM29" s="210">
        <f t="shared" si="24"/>
        <v>35794.632585793552</v>
      </c>
      <c r="CN29" s="210">
        <f t="shared" si="24"/>
        <v>37838.982967357151</v>
      </c>
      <c r="CO29" s="210">
        <f t="shared" si="24"/>
        <v>39883.333348920758</v>
      </c>
      <c r="CP29" s="210">
        <f t="shared" si="24"/>
        <v>41927.683730484365</v>
      </c>
      <c r="CQ29" s="210">
        <f t="shared" si="24"/>
        <v>43972.034112047979</v>
      </c>
      <c r="CR29" s="210">
        <f t="shared" si="25"/>
        <v>46016.384493611578</v>
      </c>
      <c r="CS29" s="210">
        <f t="shared" si="25"/>
        <v>48060.734875175185</v>
      </c>
      <c r="CT29" s="210">
        <f t="shared" si="25"/>
        <v>50105.085256738792</v>
      </c>
      <c r="CU29" s="210">
        <f t="shared" si="25"/>
        <v>52149.435638302399</v>
      </c>
      <c r="CV29" s="210">
        <f t="shared" si="25"/>
        <v>52149.435638302399</v>
      </c>
      <c r="CW29" s="210">
        <f t="shared" si="25"/>
        <v>52149.435638302399</v>
      </c>
      <c r="CX29" s="210">
        <f t="shared" si="25"/>
        <v>52149.435638302399</v>
      </c>
      <c r="CY29" s="210">
        <f t="shared" si="25"/>
        <v>52149.435638302399</v>
      </c>
      <c r="CZ29" s="210">
        <f t="shared" si="25"/>
        <v>52149.435638302399</v>
      </c>
      <c r="DA29" s="210">
        <f t="shared" si="25"/>
        <v>52149.435638302399</v>
      </c>
    </row>
    <row r="30" spans="1:105">
      <c r="A30" s="201" t="str">
        <f>Income!A77</f>
        <v>Wild foods consumed and sold</v>
      </c>
      <c r="B30" s="203">
        <f>Income!B77</f>
        <v>176.62640873941967</v>
      </c>
      <c r="C30" s="203">
        <f>Income!C77</f>
        <v>615.71526170226105</v>
      </c>
      <c r="D30" s="203">
        <f>Income!D77</f>
        <v>521.03690787289827</v>
      </c>
      <c r="E30" s="203">
        <f>Income!E77</f>
        <v>176.62640873941965</v>
      </c>
      <c r="F30" s="210">
        <f t="shared" si="16"/>
        <v>176.62640873941967</v>
      </c>
      <c r="G30" s="210">
        <f t="shared" si="16"/>
        <v>176.62640873941967</v>
      </c>
      <c r="H30" s="210">
        <f t="shared" si="16"/>
        <v>176.62640873941967</v>
      </c>
      <c r="I30" s="210">
        <f t="shared" si="16"/>
        <v>176.62640873941967</v>
      </c>
      <c r="J30" s="210">
        <f t="shared" si="16"/>
        <v>176.62640873941967</v>
      </c>
      <c r="K30" s="210">
        <f t="shared" si="16"/>
        <v>176.62640873941967</v>
      </c>
      <c r="L30" s="210">
        <f t="shared" si="16"/>
        <v>176.62640873941967</v>
      </c>
      <c r="M30" s="210">
        <f t="shared" si="16"/>
        <v>176.62640873941967</v>
      </c>
      <c r="N30" s="210">
        <f t="shared" si="16"/>
        <v>176.62640873941967</v>
      </c>
      <c r="O30" s="210">
        <f t="shared" si="16"/>
        <v>176.62640873941967</v>
      </c>
      <c r="P30" s="210">
        <f t="shared" si="17"/>
        <v>176.62640873941967</v>
      </c>
      <c r="Q30" s="210">
        <f t="shared" si="17"/>
        <v>176.62640873941967</v>
      </c>
      <c r="R30" s="210">
        <f t="shared" si="17"/>
        <v>176.62640873941967</v>
      </c>
      <c r="S30" s="210">
        <f t="shared" si="17"/>
        <v>176.62640873941967</v>
      </c>
      <c r="T30" s="210">
        <f t="shared" si="17"/>
        <v>176.62640873941967</v>
      </c>
      <c r="U30" s="210">
        <f t="shared" si="17"/>
        <v>176.62640873941967</v>
      </c>
      <c r="V30" s="210">
        <f t="shared" si="17"/>
        <v>176.62640873941967</v>
      </c>
      <c r="W30" s="210">
        <f t="shared" si="17"/>
        <v>176.62640873941967</v>
      </c>
      <c r="X30" s="210">
        <f t="shared" si="17"/>
        <v>176.62640873941967</v>
      </c>
      <c r="Y30" s="210">
        <f t="shared" si="17"/>
        <v>191.51077663646515</v>
      </c>
      <c r="Z30" s="210">
        <f t="shared" si="18"/>
        <v>206.3951445335106</v>
      </c>
      <c r="AA30" s="210">
        <f t="shared" si="18"/>
        <v>221.27951243055608</v>
      </c>
      <c r="AB30" s="210">
        <f t="shared" si="18"/>
        <v>236.16388032760156</v>
      </c>
      <c r="AC30" s="210">
        <f t="shared" si="18"/>
        <v>251.04824822464701</v>
      </c>
      <c r="AD30" s="210">
        <f t="shared" si="18"/>
        <v>265.93261612169249</v>
      </c>
      <c r="AE30" s="210">
        <f t="shared" si="18"/>
        <v>280.81698401873797</v>
      </c>
      <c r="AF30" s="210">
        <f t="shared" si="18"/>
        <v>295.70135191578345</v>
      </c>
      <c r="AG30" s="210">
        <f t="shared" si="18"/>
        <v>310.58571981282887</v>
      </c>
      <c r="AH30" s="210">
        <f t="shared" si="18"/>
        <v>325.47008770987441</v>
      </c>
      <c r="AI30" s="210">
        <f t="shared" si="18"/>
        <v>340.35445560691983</v>
      </c>
      <c r="AJ30" s="210">
        <f t="shared" si="19"/>
        <v>355.23882350396531</v>
      </c>
      <c r="AK30" s="210">
        <f t="shared" si="19"/>
        <v>370.12319140101079</v>
      </c>
      <c r="AL30" s="210">
        <f t="shared" si="19"/>
        <v>385.00755929805626</v>
      </c>
      <c r="AM30" s="210">
        <f t="shared" si="19"/>
        <v>399.89192719510174</v>
      </c>
      <c r="AN30" s="210">
        <f t="shared" si="19"/>
        <v>414.77629509214717</v>
      </c>
      <c r="AO30" s="210">
        <f t="shared" si="19"/>
        <v>429.66066298919264</v>
      </c>
      <c r="AP30" s="210">
        <f t="shared" si="19"/>
        <v>444.54503088623812</v>
      </c>
      <c r="AQ30" s="210">
        <f t="shared" si="19"/>
        <v>459.4293987832836</v>
      </c>
      <c r="AR30" s="210">
        <f t="shared" si="19"/>
        <v>474.31376668032908</v>
      </c>
      <c r="AS30" s="210">
        <f t="shared" si="19"/>
        <v>489.19813457737456</v>
      </c>
      <c r="AT30" s="210">
        <f t="shared" si="20"/>
        <v>504.08250247442004</v>
      </c>
      <c r="AU30" s="210">
        <f t="shared" si="20"/>
        <v>518.96687037146546</v>
      </c>
      <c r="AV30" s="210">
        <f t="shared" si="20"/>
        <v>533.851238268511</v>
      </c>
      <c r="AW30" s="210">
        <f t="shared" si="20"/>
        <v>548.73560616555642</v>
      </c>
      <c r="AX30" s="210">
        <f t="shared" si="20"/>
        <v>563.61997406260184</v>
      </c>
      <c r="AY30" s="210">
        <f t="shared" si="20"/>
        <v>578.50434195964738</v>
      </c>
      <c r="AZ30" s="210">
        <f t="shared" si="20"/>
        <v>593.38870985669291</v>
      </c>
      <c r="BA30" s="210">
        <f t="shared" si="20"/>
        <v>608.27307775373833</v>
      </c>
      <c r="BB30" s="210">
        <f t="shared" si="20"/>
        <v>613.82169462567379</v>
      </c>
      <c r="BC30" s="210">
        <f t="shared" si="20"/>
        <v>610.03456047249927</v>
      </c>
      <c r="BD30" s="210">
        <f t="shared" si="21"/>
        <v>606.24742631932475</v>
      </c>
      <c r="BE30" s="210">
        <f t="shared" si="21"/>
        <v>602.46029216615023</v>
      </c>
      <c r="BF30" s="210">
        <f t="shared" si="21"/>
        <v>598.6731580129757</v>
      </c>
      <c r="BG30" s="210">
        <f t="shared" si="21"/>
        <v>594.88602385980118</v>
      </c>
      <c r="BH30" s="210">
        <f t="shared" si="21"/>
        <v>591.09888970662678</v>
      </c>
      <c r="BI30" s="210">
        <f t="shared" si="21"/>
        <v>587.31175555345226</v>
      </c>
      <c r="BJ30" s="210">
        <f t="shared" si="21"/>
        <v>583.52462140027774</v>
      </c>
      <c r="BK30" s="210">
        <f t="shared" si="21"/>
        <v>579.73748724710322</v>
      </c>
      <c r="BL30" s="210">
        <f t="shared" si="21"/>
        <v>575.9503530939287</v>
      </c>
      <c r="BM30" s="210">
        <f t="shared" si="21"/>
        <v>572.16321894075418</v>
      </c>
      <c r="BN30" s="210">
        <f t="shared" si="22"/>
        <v>568.37608478757966</v>
      </c>
      <c r="BO30" s="210">
        <f t="shared" si="22"/>
        <v>564.58895063440514</v>
      </c>
      <c r="BP30" s="210">
        <f t="shared" si="22"/>
        <v>560.80181648123062</v>
      </c>
      <c r="BQ30" s="210">
        <f t="shared" si="22"/>
        <v>557.0146823280561</v>
      </c>
      <c r="BR30" s="210">
        <f t="shared" si="22"/>
        <v>553.22754817488158</v>
      </c>
      <c r="BS30" s="210">
        <f t="shared" si="22"/>
        <v>549.44041402170706</v>
      </c>
      <c r="BT30" s="210">
        <f t="shared" si="22"/>
        <v>545.65327986853254</v>
      </c>
      <c r="BU30" s="210">
        <f t="shared" si="22"/>
        <v>541.86614571535813</v>
      </c>
      <c r="BV30" s="210">
        <f t="shared" si="22"/>
        <v>538.07901156218361</v>
      </c>
      <c r="BW30" s="210">
        <f t="shared" si="22"/>
        <v>534.29187740900909</v>
      </c>
      <c r="BX30" s="210">
        <f t="shared" si="23"/>
        <v>530.50474325583457</v>
      </c>
      <c r="BY30" s="210">
        <f t="shared" si="23"/>
        <v>526.71760910266005</v>
      </c>
      <c r="BZ30" s="210">
        <f t="shared" si="23"/>
        <v>522.93047494948553</v>
      </c>
      <c r="CA30" s="210">
        <f t="shared" si="23"/>
        <v>512.63665179647194</v>
      </c>
      <c r="CB30" s="210">
        <f t="shared" si="23"/>
        <v>495.83613964361933</v>
      </c>
      <c r="CC30" s="210">
        <f t="shared" si="23"/>
        <v>479.03562749076673</v>
      </c>
      <c r="CD30" s="210">
        <f t="shared" si="23"/>
        <v>462.23511533791412</v>
      </c>
      <c r="CE30" s="210">
        <f t="shared" si="23"/>
        <v>445.43460318506152</v>
      </c>
      <c r="CF30" s="210">
        <f t="shared" si="23"/>
        <v>428.63409103220886</v>
      </c>
      <c r="CG30" s="210">
        <f t="shared" si="23"/>
        <v>411.83357887935625</v>
      </c>
      <c r="CH30" s="210">
        <f t="shared" si="24"/>
        <v>395.03306672650365</v>
      </c>
      <c r="CI30" s="210">
        <f t="shared" si="24"/>
        <v>378.23255457365099</v>
      </c>
      <c r="CJ30" s="210">
        <f t="shared" si="24"/>
        <v>361.43204242079844</v>
      </c>
      <c r="CK30" s="210">
        <f t="shared" si="24"/>
        <v>344.63153026794578</v>
      </c>
      <c r="CL30" s="210">
        <f t="shared" si="24"/>
        <v>327.83101811509317</v>
      </c>
      <c r="CM30" s="210">
        <f t="shared" si="24"/>
        <v>311.03050596224057</v>
      </c>
      <c r="CN30" s="210">
        <f t="shared" si="24"/>
        <v>294.22999380938791</v>
      </c>
      <c r="CO30" s="210">
        <f t="shared" si="24"/>
        <v>277.42948165653536</v>
      </c>
      <c r="CP30" s="210">
        <f t="shared" si="24"/>
        <v>260.6289695036827</v>
      </c>
      <c r="CQ30" s="210">
        <f t="shared" si="24"/>
        <v>243.82845735083009</v>
      </c>
      <c r="CR30" s="210">
        <f t="shared" si="25"/>
        <v>227.02794519797743</v>
      </c>
      <c r="CS30" s="210">
        <f t="shared" si="25"/>
        <v>210.22743304512488</v>
      </c>
      <c r="CT30" s="210">
        <f t="shared" si="25"/>
        <v>193.42692089227222</v>
      </c>
      <c r="CU30" s="210">
        <f t="shared" si="25"/>
        <v>176.62640873941962</v>
      </c>
      <c r="CV30" s="210">
        <f t="shared" si="25"/>
        <v>176.62640873941965</v>
      </c>
      <c r="CW30" s="210">
        <f t="shared" si="25"/>
        <v>176.62640873941965</v>
      </c>
      <c r="CX30" s="210">
        <f t="shared" si="25"/>
        <v>176.62640873941965</v>
      </c>
      <c r="CY30" s="210">
        <f t="shared" si="25"/>
        <v>176.62640873941965</v>
      </c>
      <c r="CZ30" s="210">
        <f t="shared" si="25"/>
        <v>176.62640873941965</v>
      </c>
      <c r="DA30" s="210">
        <f t="shared" si="25"/>
        <v>176.62640873941965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0</v>
      </c>
      <c r="CV32" s="210">
        <f t="shared" si="25"/>
        <v>0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5461.4681686658523</v>
      </c>
      <c r="C34" s="203">
        <f>Income!C82</f>
        <v>14563.915116442271</v>
      </c>
      <c r="D34" s="203">
        <f>Income!D82</f>
        <v>32768.809011995116</v>
      </c>
      <c r="E34" s="203">
        <f>Income!E82</f>
        <v>60690.565024299285</v>
      </c>
      <c r="F34" s="210">
        <f t="shared" si="16"/>
        <v>5461.4681686658523</v>
      </c>
      <c r="G34" s="210">
        <f t="shared" si="16"/>
        <v>5461.4681686658523</v>
      </c>
      <c r="H34" s="210">
        <f t="shared" si="16"/>
        <v>5461.4681686658523</v>
      </c>
      <c r="I34" s="210">
        <f t="shared" si="16"/>
        <v>5461.4681686658523</v>
      </c>
      <c r="J34" s="210">
        <f t="shared" si="16"/>
        <v>5461.4681686658523</v>
      </c>
      <c r="K34" s="210">
        <f t="shared" si="16"/>
        <v>5461.4681686658523</v>
      </c>
      <c r="L34" s="210">
        <f t="shared" si="16"/>
        <v>5461.4681686658523</v>
      </c>
      <c r="M34" s="210">
        <f t="shared" si="16"/>
        <v>5461.4681686658523</v>
      </c>
      <c r="N34" s="210">
        <f t="shared" si="16"/>
        <v>5461.4681686658523</v>
      </c>
      <c r="O34" s="210">
        <f t="shared" si="16"/>
        <v>5461.4681686658523</v>
      </c>
      <c r="P34" s="210">
        <f t="shared" si="17"/>
        <v>5461.4681686658523</v>
      </c>
      <c r="Q34" s="210">
        <f t="shared" si="17"/>
        <v>5461.4681686658523</v>
      </c>
      <c r="R34" s="210">
        <f t="shared" si="17"/>
        <v>5461.4681686658523</v>
      </c>
      <c r="S34" s="210">
        <f t="shared" si="17"/>
        <v>5461.4681686658523</v>
      </c>
      <c r="T34" s="210">
        <f t="shared" si="17"/>
        <v>5461.4681686658523</v>
      </c>
      <c r="U34" s="210">
        <f t="shared" si="17"/>
        <v>5461.4681686658523</v>
      </c>
      <c r="V34" s="210">
        <f t="shared" si="17"/>
        <v>5461.4681686658523</v>
      </c>
      <c r="W34" s="210">
        <f t="shared" si="17"/>
        <v>5461.4681686658523</v>
      </c>
      <c r="X34" s="210">
        <f t="shared" si="17"/>
        <v>5461.4681686658523</v>
      </c>
      <c r="Y34" s="210">
        <f t="shared" si="17"/>
        <v>5770.0256923192901</v>
      </c>
      <c r="Z34" s="210">
        <f t="shared" si="18"/>
        <v>6078.5832159727279</v>
      </c>
      <c r="AA34" s="210">
        <f t="shared" si="18"/>
        <v>6387.1407396261657</v>
      </c>
      <c r="AB34" s="210">
        <f t="shared" si="18"/>
        <v>6695.6982632796044</v>
      </c>
      <c r="AC34" s="210">
        <f t="shared" si="18"/>
        <v>7004.2557869330421</v>
      </c>
      <c r="AD34" s="210">
        <f t="shared" si="18"/>
        <v>7312.8133105864799</v>
      </c>
      <c r="AE34" s="210">
        <f t="shared" si="18"/>
        <v>7621.3708342399168</v>
      </c>
      <c r="AF34" s="210">
        <f t="shared" si="18"/>
        <v>7929.9283578933555</v>
      </c>
      <c r="AG34" s="210">
        <f t="shared" si="18"/>
        <v>8238.4858815467924</v>
      </c>
      <c r="AH34" s="210">
        <f t="shared" si="18"/>
        <v>8547.0434052002311</v>
      </c>
      <c r="AI34" s="210">
        <f t="shared" si="18"/>
        <v>8855.6009288536698</v>
      </c>
      <c r="AJ34" s="210">
        <f t="shared" si="19"/>
        <v>9164.1584525071066</v>
      </c>
      <c r="AK34" s="210">
        <f t="shared" si="19"/>
        <v>9472.7159761605453</v>
      </c>
      <c r="AL34" s="210">
        <f t="shared" si="19"/>
        <v>9781.2734998139822</v>
      </c>
      <c r="AM34" s="210">
        <f t="shared" si="19"/>
        <v>10089.831023467421</v>
      </c>
      <c r="AN34" s="210">
        <f t="shared" si="19"/>
        <v>10398.38854712086</v>
      </c>
      <c r="AO34" s="210">
        <f t="shared" si="19"/>
        <v>10706.946070774296</v>
      </c>
      <c r="AP34" s="210">
        <f t="shared" si="19"/>
        <v>11015.503594427733</v>
      </c>
      <c r="AQ34" s="210">
        <f t="shared" si="19"/>
        <v>11324.061118081172</v>
      </c>
      <c r="AR34" s="210">
        <f t="shared" si="19"/>
        <v>11632.618641734611</v>
      </c>
      <c r="AS34" s="210">
        <f t="shared" si="19"/>
        <v>11941.176165388048</v>
      </c>
      <c r="AT34" s="210">
        <f t="shared" si="20"/>
        <v>12249.733689041484</v>
      </c>
      <c r="AU34" s="210">
        <f t="shared" si="20"/>
        <v>12558.291212694923</v>
      </c>
      <c r="AV34" s="210">
        <f t="shared" si="20"/>
        <v>12866.848736348362</v>
      </c>
      <c r="AW34" s="210">
        <f t="shared" si="20"/>
        <v>13175.406260001801</v>
      </c>
      <c r="AX34" s="210">
        <f t="shared" si="20"/>
        <v>13483.963783655237</v>
      </c>
      <c r="AY34" s="210">
        <f t="shared" si="20"/>
        <v>13792.521307308674</v>
      </c>
      <c r="AZ34" s="210">
        <f t="shared" si="20"/>
        <v>14101.078830962113</v>
      </c>
      <c r="BA34" s="210">
        <f t="shared" si="20"/>
        <v>14409.636354615552</v>
      </c>
      <c r="BB34" s="210">
        <f t="shared" si="20"/>
        <v>14928.012994353328</v>
      </c>
      <c r="BC34" s="210">
        <f t="shared" si="20"/>
        <v>15656.208750175441</v>
      </c>
      <c r="BD34" s="210">
        <f t="shared" si="21"/>
        <v>16384.404505997554</v>
      </c>
      <c r="BE34" s="210">
        <f t="shared" si="21"/>
        <v>17112.600261819669</v>
      </c>
      <c r="BF34" s="210">
        <f t="shared" si="21"/>
        <v>17840.796017641784</v>
      </c>
      <c r="BG34" s="210">
        <f t="shared" si="21"/>
        <v>18568.991773463895</v>
      </c>
      <c r="BH34" s="210">
        <f t="shared" si="21"/>
        <v>19297.18752928601</v>
      </c>
      <c r="BI34" s="210">
        <f t="shared" si="21"/>
        <v>20025.383285108124</v>
      </c>
      <c r="BJ34" s="210">
        <f t="shared" si="21"/>
        <v>20753.579040930235</v>
      </c>
      <c r="BK34" s="210">
        <f t="shared" si="21"/>
        <v>21481.77479675235</v>
      </c>
      <c r="BL34" s="210">
        <f t="shared" si="21"/>
        <v>22209.970552574465</v>
      </c>
      <c r="BM34" s="210">
        <f t="shared" si="21"/>
        <v>22938.16630839658</v>
      </c>
      <c r="BN34" s="210">
        <f t="shared" si="22"/>
        <v>23666.362064218694</v>
      </c>
      <c r="BO34" s="210">
        <f t="shared" si="22"/>
        <v>24394.557820040805</v>
      </c>
      <c r="BP34" s="210">
        <f t="shared" si="22"/>
        <v>25122.75357586292</v>
      </c>
      <c r="BQ34" s="210">
        <f t="shared" si="22"/>
        <v>25850.949331685035</v>
      </c>
      <c r="BR34" s="210">
        <f t="shared" si="22"/>
        <v>26579.145087507146</v>
      </c>
      <c r="BS34" s="210">
        <f t="shared" si="22"/>
        <v>27307.340843329261</v>
      </c>
      <c r="BT34" s="210">
        <f t="shared" si="22"/>
        <v>28035.536599151375</v>
      </c>
      <c r="BU34" s="210">
        <f t="shared" si="22"/>
        <v>28763.732354973487</v>
      </c>
      <c r="BV34" s="210">
        <f t="shared" si="22"/>
        <v>29491.928110795605</v>
      </c>
      <c r="BW34" s="210">
        <f t="shared" si="22"/>
        <v>30220.123866617716</v>
      </c>
      <c r="BX34" s="210">
        <f t="shared" si="23"/>
        <v>30948.319622439827</v>
      </c>
      <c r="BY34" s="210">
        <f t="shared" si="23"/>
        <v>31676.515378261945</v>
      </c>
      <c r="BZ34" s="210">
        <f t="shared" si="23"/>
        <v>32404.711134084057</v>
      </c>
      <c r="CA34" s="210">
        <f t="shared" si="23"/>
        <v>33449.827451319608</v>
      </c>
      <c r="CB34" s="210">
        <f t="shared" si="23"/>
        <v>34811.864329968594</v>
      </c>
      <c r="CC34" s="210">
        <f t="shared" si="23"/>
        <v>36173.901208617579</v>
      </c>
      <c r="CD34" s="210">
        <f t="shared" si="23"/>
        <v>37535.938087266557</v>
      </c>
      <c r="CE34" s="210">
        <f t="shared" si="23"/>
        <v>38897.974965915542</v>
      </c>
      <c r="CF34" s="210">
        <f t="shared" si="23"/>
        <v>40260.011844564528</v>
      </c>
      <c r="CG34" s="210">
        <f t="shared" si="23"/>
        <v>41622.048723213513</v>
      </c>
      <c r="CH34" s="210">
        <f t="shared" si="24"/>
        <v>42984.085601862491</v>
      </c>
      <c r="CI34" s="210">
        <f t="shared" si="24"/>
        <v>44346.122480511476</v>
      </c>
      <c r="CJ34" s="210">
        <f t="shared" si="24"/>
        <v>45708.159359160461</v>
      </c>
      <c r="CK34" s="210">
        <f t="shared" si="24"/>
        <v>47070.196237809447</v>
      </c>
      <c r="CL34" s="210">
        <f t="shared" si="24"/>
        <v>48432.233116458432</v>
      </c>
      <c r="CM34" s="210">
        <f t="shared" si="24"/>
        <v>49794.269995107417</v>
      </c>
      <c r="CN34" s="210">
        <f t="shared" si="24"/>
        <v>51156.306873756403</v>
      </c>
      <c r="CO34" s="210">
        <f t="shared" si="24"/>
        <v>52518.343752405381</v>
      </c>
      <c r="CP34" s="210">
        <f t="shared" si="24"/>
        <v>53880.380631054366</v>
      </c>
      <c r="CQ34" s="210">
        <f t="shared" si="24"/>
        <v>55242.417509703351</v>
      </c>
      <c r="CR34" s="210">
        <f t="shared" si="25"/>
        <v>56604.454388352329</v>
      </c>
      <c r="CS34" s="210">
        <f t="shared" si="25"/>
        <v>57966.491267001315</v>
      </c>
      <c r="CT34" s="210">
        <f t="shared" si="25"/>
        <v>59328.5281456503</v>
      </c>
      <c r="CU34" s="210">
        <f t="shared" si="25"/>
        <v>60690.565024299285</v>
      </c>
      <c r="CV34" s="210">
        <f t="shared" si="25"/>
        <v>60690.565024299285</v>
      </c>
      <c r="CW34" s="210">
        <f t="shared" si="25"/>
        <v>60690.565024299285</v>
      </c>
      <c r="CX34" s="210">
        <f t="shared" si="25"/>
        <v>60690.565024299285</v>
      </c>
      <c r="CY34" s="210">
        <f t="shared" si="25"/>
        <v>60690.565024299285</v>
      </c>
      <c r="CZ34" s="210">
        <f t="shared" si="25"/>
        <v>60690.565024299285</v>
      </c>
      <c r="DA34" s="210">
        <f t="shared" si="25"/>
        <v>60690.565024299285</v>
      </c>
    </row>
    <row r="35" spans="1:105">
      <c r="A35" s="201" t="str">
        <f>Income!A83</f>
        <v>Food transfer - official</v>
      </c>
      <c r="B35" s="203">
        <f>Income!B83</f>
        <v>1682.1562737087584</v>
      </c>
      <c r="C35" s="203">
        <f>Income!C83</f>
        <v>1682.1562737087584</v>
      </c>
      <c r="D35" s="203">
        <f>Income!D83</f>
        <v>1682.1562737087584</v>
      </c>
      <c r="E35" s="203">
        <f>Income!E83</f>
        <v>1051.347671067974</v>
      </c>
      <c r="F35" s="210">
        <f t="shared" si="16"/>
        <v>1682.1562737087584</v>
      </c>
      <c r="G35" s="210">
        <f t="shared" si="16"/>
        <v>1682.1562737087584</v>
      </c>
      <c r="H35" s="210">
        <f t="shared" si="16"/>
        <v>1682.1562737087584</v>
      </c>
      <c r="I35" s="210">
        <f t="shared" si="16"/>
        <v>1682.1562737087584</v>
      </c>
      <c r="J35" s="210">
        <f t="shared" si="16"/>
        <v>1682.1562737087584</v>
      </c>
      <c r="K35" s="210">
        <f t="shared" si="16"/>
        <v>1682.1562737087584</v>
      </c>
      <c r="L35" s="210">
        <f t="shared" si="16"/>
        <v>1682.1562737087584</v>
      </c>
      <c r="M35" s="210">
        <f t="shared" si="16"/>
        <v>1682.1562737087584</v>
      </c>
      <c r="N35" s="210">
        <f t="shared" si="16"/>
        <v>1682.1562737087584</v>
      </c>
      <c r="O35" s="210">
        <f t="shared" si="16"/>
        <v>1682.1562737087584</v>
      </c>
      <c r="P35" s="210">
        <f t="shared" si="17"/>
        <v>1682.1562737087584</v>
      </c>
      <c r="Q35" s="210">
        <f t="shared" si="17"/>
        <v>1682.1562737087584</v>
      </c>
      <c r="R35" s="210">
        <f t="shared" si="17"/>
        <v>1682.1562737087584</v>
      </c>
      <c r="S35" s="210">
        <f t="shared" si="17"/>
        <v>1682.1562737087584</v>
      </c>
      <c r="T35" s="210">
        <f t="shared" si="17"/>
        <v>1682.1562737087584</v>
      </c>
      <c r="U35" s="210">
        <f t="shared" si="17"/>
        <v>1682.1562737087584</v>
      </c>
      <c r="V35" s="210">
        <f t="shared" si="17"/>
        <v>1682.1562737087584</v>
      </c>
      <c r="W35" s="210">
        <f t="shared" si="17"/>
        <v>1682.1562737087584</v>
      </c>
      <c r="X35" s="210">
        <f t="shared" si="17"/>
        <v>1682.1562737087584</v>
      </c>
      <c r="Y35" s="210">
        <f t="shared" si="17"/>
        <v>1682.1562737087584</v>
      </c>
      <c r="Z35" s="210">
        <f t="shared" si="18"/>
        <v>1682.1562737087584</v>
      </c>
      <c r="AA35" s="210">
        <f t="shared" si="18"/>
        <v>1682.1562737087584</v>
      </c>
      <c r="AB35" s="210">
        <f t="shared" si="18"/>
        <v>1682.1562737087584</v>
      </c>
      <c r="AC35" s="210">
        <f t="shared" si="18"/>
        <v>1682.1562737087584</v>
      </c>
      <c r="AD35" s="210">
        <f t="shared" si="18"/>
        <v>1682.1562737087584</v>
      </c>
      <c r="AE35" s="210">
        <f t="shared" si="18"/>
        <v>1682.1562737087584</v>
      </c>
      <c r="AF35" s="210">
        <f t="shared" si="18"/>
        <v>1682.1562737087584</v>
      </c>
      <c r="AG35" s="210">
        <f t="shared" si="18"/>
        <v>1682.1562737087584</v>
      </c>
      <c r="AH35" s="210">
        <f t="shared" si="18"/>
        <v>1682.1562737087584</v>
      </c>
      <c r="AI35" s="210">
        <f t="shared" si="18"/>
        <v>1682.1562737087584</v>
      </c>
      <c r="AJ35" s="210">
        <f t="shared" si="19"/>
        <v>1682.1562737087584</v>
      </c>
      <c r="AK35" s="210">
        <f t="shared" si="19"/>
        <v>1682.1562737087584</v>
      </c>
      <c r="AL35" s="210">
        <f t="shared" si="19"/>
        <v>1682.1562737087584</v>
      </c>
      <c r="AM35" s="210">
        <f t="shared" si="19"/>
        <v>1682.1562737087584</v>
      </c>
      <c r="AN35" s="210">
        <f t="shared" si="19"/>
        <v>1682.1562737087584</v>
      </c>
      <c r="AO35" s="210">
        <f t="shared" si="19"/>
        <v>1682.1562737087584</v>
      </c>
      <c r="AP35" s="210">
        <f t="shared" si="19"/>
        <v>1682.1562737087584</v>
      </c>
      <c r="AQ35" s="210">
        <f t="shared" si="19"/>
        <v>1682.1562737087584</v>
      </c>
      <c r="AR35" s="210">
        <f t="shared" si="19"/>
        <v>1682.1562737087584</v>
      </c>
      <c r="AS35" s="210">
        <f t="shared" si="19"/>
        <v>1682.1562737087584</v>
      </c>
      <c r="AT35" s="210">
        <f t="shared" si="20"/>
        <v>1682.1562737087584</v>
      </c>
      <c r="AU35" s="210">
        <f t="shared" si="20"/>
        <v>1682.1562737087584</v>
      </c>
      <c r="AV35" s="210">
        <f t="shared" si="20"/>
        <v>1682.1562737087584</v>
      </c>
      <c r="AW35" s="210">
        <f t="shared" si="20"/>
        <v>1682.1562737087584</v>
      </c>
      <c r="AX35" s="210">
        <f t="shared" si="20"/>
        <v>1682.1562737087584</v>
      </c>
      <c r="AY35" s="210">
        <f t="shared" si="20"/>
        <v>1682.1562737087584</v>
      </c>
      <c r="AZ35" s="210">
        <f t="shared" si="20"/>
        <v>1682.1562737087584</v>
      </c>
      <c r="BA35" s="210">
        <f t="shared" si="20"/>
        <v>1682.1562737087584</v>
      </c>
      <c r="BB35" s="210">
        <f t="shared" si="20"/>
        <v>1682.1562737087584</v>
      </c>
      <c r="BC35" s="210">
        <f t="shared" si="20"/>
        <v>1682.1562737087584</v>
      </c>
      <c r="BD35" s="210">
        <f t="shared" si="21"/>
        <v>1682.1562737087584</v>
      </c>
      <c r="BE35" s="210">
        <f t="shared" si="21"/>
        <v>1682.1562737087584</v>
      </c>
      <c r="BF35" s="210">
        <f t="shared" si="21"/>
        <v>1682.1562737087584</v>
      </c>
      <c r="BG35" s="210">
        <f t="shared" si="21"/>
        <v>1682.1562737087584</v>
      </c>
      <c r="BH35" s="210">
        <f t="shared" si="21"/>
        <v>1682.1562737087584</v>
      </c>
      <c r="BI35" s="210">
        <f t="shared" si="21"/>
        <v>1682.1562737087584</v>
      </c>
      <c r="BJ35" s="210">
        <f t="shared" si="21"/>
        <v>1682.1562737087584</v>
      </c>
      <c r="BK35" s="210">
        <f t="shared" si="21"/>
        <v>1682.1562737087584</v>
      </c>
      <c r="BL35" s="210">
        <f t="shared" si="21"/>
        <v>1682.1562737087584</v>
      </c>
      <c r="BM35" s="210">
        <f t="shared" si="21"/>
        <v>1682.1562737087584</v>
      </c>
      <c r="BN35" s="210">
        <f t="shared" si="22"/>
        <v>1682.1562737087584</v>
      </c>
      <c r="BO35" s="210">
        <f t="shared" si="22"/>
        <v>1682.1562737087584</v>
      </c>
      <c r="BP35" s="210">
        <f t="shared" si="22"/>
        <v>1682.1562737087584</v>
      </c>
      <c r="BQ35" s="210">
        <f t="shared" si="22"/>
        <v>1682.1562737087584</v>
      </c>
      <c r="BR35" s="210">
        <f t="shared" si="22"/>
        <v>1682.1562737087584</v>
      </c>
      <c r="BS35" s="210">
        <f t="shared" si="22"/>
        <v>1682.1562737087584</v>
      </c>
      <c r="BT35" s="210">
        <f t="shared" si="22"/>
        <v>1682.1562737087584</v>
      </c>
      <c r="BU35" s="210">
        <f t="shared" si="22"/>
        <v>1682.1562737087584</v>
      </c>
      <c r="BV35" s="210">
        <f t="shared" si="22"/>
        <v>1682.1562737087584</v>
      </c>
      <c r="BW35" s="210">
        <f t="shared" si="22"/>
        <v>1682.1562737087584</v>
      </c>
      <c r="BX35" s="210">
        <f t="shared" si="23"/>
        <v>1682.1562737087584</v>
      </c>
      <c r="BY35" s="210">
        <f t="shared" si="23"/>
        <v>1682.1562737087584</v>
      </c>
      <c r="BZ35" s="210">
        <f t="shared" si="23"/>
        <v>1682.1562737087584</v>
      </c>
      <c r="CA35" s="210">
        <f t="shared" si="23"/>
        <v>1666.7706980345929</v>
      </c>
      <c r="CB35" s="210">
        <f t="shared" si="23"/>
        <v>1635.999546686262</v>
      </c>
      <c r="CC35" s="210">
        <f t="shared" si="23"/>
        <v>1605.228395337931</v>
      </c>
      <c r="CD35" s="210">
        <f t="shared" si="23"/>
        <v>1574.4572439896001</v>
      </c>
      <c r="CE35" s="210">
        <f t="shared" si="23"/>
        <v>1543.6860926412692</v>
      </c>
      <c r="CF35" s="210">
        <f t="shared" si="23"/>
        <v>1512.9149412929382</v>
      </c>
      <c r="CG35" s="210">
        <f t="shared" si="23"/>
        <v>1482.1437899446073</v>
      </c>
      <c r="CH35" s="210">
        <f t="shared" si="24"/>
        <v>1451.3726385962764</v>
      </c>
      <c r="CI35" s="210">
        <f t="shared" si="24"/>
        <v>1420.6014872479454</v>
      </c>
      <c r="CJ35" s="210">
        <f t="shared" si="24"/>
        <v>1389.8303358996145</v>
      </c>
      <c r="CK35" s="210">
        <f t="shared" si="24"/>
        <v>1359.0591845512836</v>
      </c>
      <c r="CL35" s="210">
        <f t="shared" si="24"/>
        <v>1328.2880332029524</v>
      </c>
      <c r="CM35" s="210">
        <f t="shared" si="24"/>
        <v>1297.5168818546217</v>
      </c>
      <c r="CN35" s="210">
        <f t="shared" si="24"/>
        <v>1266.7457305062906</v>
      </c>
      <c r="CO35" s="210">
        <f t="shared" si="24"/>
        <v>1235.9745791579599</v>
      </c>
      <c r="CP35" s="210">
        <f t="shared" si="24"/>
        <v>1205.2034278096287</v>
      </c>
      <c r="CQ35" s="210">
        <f t="shared" si="24"/>
        <v>1174.4322764612978</v>
      </c>
      <c r="CR35" s="210">
        <f t="shared" si="25"/>
        <v>1143.6611251129668</v>
      </c>
      <c r="CS35" s="210">
        <f t="shared" si="25"/>
        <v>1112.8899737646359</v>
      </c>
      <c r="CT35" s="210">
        <f t="shared" si="25"/>
        <v>1082.118822416305</v>
      </c>
      <c r="CU35" s="210">
        <f t="shared" si="25"/>
        <v>1051.347671067974</v>
      </c>
      <c r="CV35" s="210">
        <f t="shared" si="25"/>
        <v>1051.347671067974</v>
      </c>
      <c r="CW35" s="210">
        <f t="shared" si="25"/>
        <v>1051.347671067974</v>
      </c>
      <c r="CX35" s="210">
        <f t="shared" si="25"/>
        <v>1051.347671067974</v>
      </c>
      <c r="CY35" s="210">
        <f t="shared" si="25"/>
        <v>1051.347671067974</v>
      </c>
      <c r="CZ35" s="210">
        <f t="shared" si="25"/>
        <v>1051.347671067974</v>
      </c>
      <c r="DA35" s="210">
        <f t="shared" si="25"/>
        <v>1051.347671067974</v>
      </c>
    </row>
    <row r="36" spans="1:105">
      <c r="A36" s="201" t="str">
        <f>Income!A85</f>
        <v>Cash transfer - official</v>
      </c>
      <c r="B36" s="203">
        <f>Income!B85</f>
        <v>23848.411003174224</v>
      </c>
      <c r="C36" s="203">
        <f>Income!C85</f>
        <v>23848.41100317422</v>
      </c>
      <c r="D36" s="203">
        <f>Income!D85</f>
        <v>23848.411003174224</v>
      </c>
      <c r="E36" s="203">
        <f>Income!E85</f>
        <v>26397.096148551616</v>
      </c>
      <c r="F36" s="210">
        <f t="shared" si="16"/>
        <v>23848.411003174224</v>
      </c>
      <c r="G36" s="210">
        <f t="shared" si="16"/>
        <v>23848.411003174224</v>
      </c>
      <c r="H36" s="210">
        <f t="shared" si="16"/>
        <v>23848.411003174224</v>
      </c>
      <c r="I36" s="210">
        <f t="shared" si="16"/>
        <v>23848.411003174224</v>
      </c>
      <c r="J36" s="210">
        <f t="shared" si="16"/>
        <v>23848.411003174224</v>
      </c>
      <c r="K36" s="210">
        <f t="shared" si="16"/>
        <v>23848.411003174224</v>
      </c>
      <c r="L36" s="210">
        <f t="shared" si="16"/>
        <v>23848.411003174224</v>
      </c>
      <c r="M36" s="210">
        <f t="shared" si="16"/>
        <v>23848.411003174224</v>
      </c>
      <c r="N36" s="210">
        <f t="shared" si="16"/>
        <v>23848.411003174224</v>
      </c>
      <c r="O36" s="210">
        <f t="shared" si="16"/>
        <v>23848.411003174224</v>
      </c>
      <c r="P36" s="210">
        <f t="shared" si="16"/>
        <v>23848.411003174224</v>
      </c>
      <c r="Q36" s="210">
        <f t="shared" si="16"/>
        <v>23848.411003174224</v>
      </c>
      <c r="R36" s="210">
        <f t="shared" si="16"/>
        <v>23848.411003174224</v>
      </c>
      <c r="S36" s="210">
        <f t="shared" si="16"/>
        <v>23848.411003174224</v>
      </c>
      <c r="T36" s="210">
        <f t="shared" si="16"/>
        <v>23848.411003174224</v>
      </c>
      <c r="U36" s="210">
        <f t="shared" si="16"/>
        <v>23848.411003174224</v>
      </c>
      <c r="V36" s="210">
        <f t="shared" si="17"/>
        <v>23848.411003174224</v>
      </c>
      <c r="W36" s="210">
        <f t="shared" si="17"/>
        <v>23848.411003174224</v>
      </c>
      <c r="X36" s="210">
        <f t="shared" si="17"/>
        <v>23848.411003174224</v>
      </c>
      <c r="Y36" s="210">
        <f t="shared" si="17"/>
        <v>23848.411003174224</v>
      </c>
      <c r="Z36" s="210">
        <f t="shared" si="17"/>
        <v>23848.411003174224</v>
      </c>
      <c r="AA36" s="210">
        <f t="shared" si="17"/>
        <v>23848.411003174224</v>
      </c>
      <c r="AB36" s="210">
        <f t="shared" si="17"/>
        <v>23848.411003174224</v>
      </c>
      <c r="AC36" s="210">
        <f t="shared" si="17"/>
        <v>23848.411003174224</v>
      </c>
      <c r="AD36" s="210">
        <f t="shared" si="17"/>
        <v>23848.411003174224</v>
      </c>
      <c r="AE36" s="210">
        <f t="shared" si="17"/>
        <v>23848.411003174224</v>
      </c>
      <c r="AF36" s="210">
        <f t="shared" si="18"/>
        <v>23848.411003174224</v>
      </c>
      <c r="AG36" s="210">
        <f t="shared" si="18"/>
        <v>23848.411003174224</v>
      </c>
      <c r="AH36" s="210">
        <f t="shared" si="18"/>
        <v>23848.411003174224</v>
      </c>
      <c r="AI36" s="210">
        <f t="shared" si="18"/>
        <v>23848.411003174224</v>
      </c>
      <c r="AJ36" s="210">
        <f t="shared" si="18"/>
        <v>23848.411003174224</v>
      </c>
      <c r="AK36" s="210">
        <f t="shared" si="18"/>
        <v>23848.411003174224</v>
      </c>
      <c r="AL36" s="210">
        <f t="shared" si="18"/>
        <v>23848.411003174224</v>
      </c>
      <c r="AM36" s="210">
        <f t="shared" si="18"/>
        <v>23848.41100317422</v>
      </c>
      <c r="AN36" s="210">
        <f t="shared" si="18"/>
        <v>23848.41100317422</v>
      </c>
      <c r="AO36" s="210">
        <f t="shared" si="18"/>
        <v>23848.41100317422</v>
      </c>
      <c r="AP36" s="210">
        <f t="shared" si="19"/>
        <v>23848.41100317422</v>
      </c>
      <c r="AQ36" s="210">
        <f t="shared" si="19"/>
        <v>23848.41100317422</v>
      </c>
      <c r="AR36" s="210">
        <f t="shared" si="19"/>
        <v>23848.41100317422</v>
      </c>
      <c r="AS36" s="210">
        <f t="shared" si="19"/>
        <v>23848.41100317422</v>
      </c>
      <c r="AT36" s="210">
        <f t="shared" si="19"/>
        <v>23848.41100317422</v>
      </c>
      <c r="AU36" s="210">
        <f t="shared" si="19"/>
        <v>23848.41100317422</v>
      </c>
      <c r="AV36" s="210">
        <f t="shared" si="19"/>
        <v>23848.41100317422</v>
      </c>
      <c r="AW36" s="210">
        <f t="shared" si="19"/>
        <v>23848.41100317422</v>
      </c>
      <c r="AX36" s="210">
        <f t="shared" si="19"/>
        <v>23848.41100317422</v>
      </c>
      <c r="AY36" s="210">
        <f t="shared" si="19"/>
        <v>23848.41100317422</v>
      </c>
      <c r="AZ36" s="210">
        <f t="shared" si="20"/>
        <v>23848.41100317422</v>
      </c>
      <c r="BA36" s="210">
        <f t="shared" si="20"/>
        <v>23848.41100317422</v>
      </c>
      <c r="BB36" s="210">
        <f t="shared" si="20"/>
        <v>23848.41100317422</v>
      </c>
      <c r="BC36" s="210">
        <f t="shared" si="20"/>
        <v>23848.41100317422</v>
      </c>
      <c r="BD36" s="210">
        <f t="shared" si="20"/>
        <v>23848.41100317422</v>
      </c>
      <c r="BE36" s="210">
        <f t="shared" si="20"/>
        <v>23848.41100317422</v>
      </c>
      <c r="BF36" s="210">
        <f t="shared" si="20"/>
        <v>23848.41100317422</v>
      </c>
      <c r="BG36" s="210">
        <f t="shared" si="20"/>
        <v>23848.41100317422</v>
      </c>
      <c r="BH36" s="210">
        <f t="shared" si="20"/>
        <v>23848.41100317422</v>
      </c>
      <c r="BI36" s="210">
        <f t="shared" si="20"/>
        <v>23848.41100317422</v>
      </c>
      <c r="BJ36" s="210">
        <f t="shared" si="21"/>
        <v>23848.41100317422</v>
      </c>
      <c r="BK36" s="210">
        <f t="shared" si="21"/>
        <v>23848.41100317422</v>
      </c>
      <c r="BL36" s="210">
        <f t="shared" si="21"/>
        <v>23848.41100317422</v>
      </c>
      <c r="BM36" s="210">
        <f t="shared" si="21"/>
        <v>23848.41100317422</v>
      </c>
      <c r="BN36" s="210">
        <f t="shared" si="21"/>
        <v>23848.411003174224</v>
      </c>
      <c r="BO36" s="210">
        <f t="shared" si="21"/>
        <v>23848.411003174224</v>
      </c>
      <c r="BP36" s="210">
        <f t="shared" si="21"/>
        <v>23848.411003174224</v>
      </c>
      <c r="BQ36" s="210">
        <f t="shared" si="21"/>
        <v>23848.411003174224</v>
      </c>
      <c r="BR36" s="210">
        <f t="shared" si="21"/>
        <v>23848.411003174224</v>
      </c>
      <c r="BS36" s="210">
        <f t="shared" si="21"/>
        <v>23848.411003174224</v>
      </c>
      <c r="BT36" s="210">
        <f t="shared" si="22"/>
        <v>23848.411003174224</v>
      </c>
      <c r="BU36" s="210">
        <f t="shared" si="22"/>
        <v>23848.411003174224</v>
      </c>
      <c r="BV36" s="210">
        <f t="shared" si="22"/>
        <v>23848.411003174224</v>
      </c>
      <c r="BW36" s="210">
        <f t="shared" si="22"/>
        <v>23848.411003174224</v>
      </c>
      <c r="BX36" s="210">
        <f t="shared" si="22"/>
        <v>23848.411003174224</v>
      </c>
      <c r="BY36" s="210">
        <f t="shared" si="22"/>
        <v>23848.411003174224</v>
      </c>
      <c r="BZ36" s="210">
        <f t="shared" si="22"/>
        <v>23848.411003174224</v>
      </c>
      <c r="CA36" s="210">
        <f t="shared" si="22"/>
        <v>23910.574055500503</v>
      </c>
      <c r="CB36" s="210">
        <f t="shared" si="22"/>
        <v>24034.900160153058</v>
      </c>
      <c r="CC36" s="210">
        <f t="shared" si="22"/>
        <v>24159.226264805613</v>
      </c>
      <c r="CD36" s="210">
        <f t="shared" si="23"/>
        <v>24283.552369458168</v>
      </c>
      <c r="CE36" s="210">
        <f t="shared" si="23"/>
        <v>24407.878474110723</v>
      </c>
      <c r="CF36" s="210">
        <f t="shared" si="23"/>
        <v>24532.204578763281</v>
      </c>
      <c r="CG36" s="210">
        <f t="shared" si="23"/>
        <v>24656.530683415836</v>
      </c>
      <c r="CH36" s="210">
        <f t="shared" si="23"/>
        <v>24780.856788068391</v>
      </c>
      <c r="CI36" s="210">
        <f t="shared" si="23"/>
        <v>24905.182892720946</v>
      </c>
      <c r="CJ36" s="210">
        <f t="shared" si="23"/>
        <v>25029.508997373505</v>
      </c>
      <c r="CK36" s="210">
        <f t="shared" si="23"/>
        <v>25153.83510202606</v>
      </c>
      <c r="CL36" s="210">
        <f t="shared" si="23"/>
        <v>25278.161206678615</v>
      </c>
      <c r="CM36" s="210">
        <f t="shared" si="23"/>
        <v>25402.48731133117</v>
      </c>
      <c r="CN36" s="210">
        <f t="shared" si="24"/>
        <v>25526.813415983728</v>
      </c>
      <c r="CO36" s="210">
        <f t="shared" si="24"/>
        <v>25651.139520636283</v>
      </c>
      <c r="CP36" s="210">
        <f t="shared" si="24"/>
        <v>25775.465625288838</v>
      </c>
      <c r="CQ36" s="210">
        <f t="shared" si="24"/>
        <v>25899.791729941393</v>
      </c>
      <c r="CR36" s="210">
        <f t="shared" si="24"/>
        <v>26024.117834593948</v>
      </c>
      <c r="CS36" s="210">
        <f t="shared" si="24"/>
        <v>26148.443939246506</v>
      </c>
      <c r="CT36" s="210">
        <f t="shared" si="24"/>
        <v>26272.770043899061</v>
      </c>
      <c r="CU36" s="210">
        <f t="shared" si="24"/>
        <v>26397.096148551616</v>
      </c>
      <c r="CV36" s="210">
        <f t="shared" si="24"/>
        <v>26397.096148551616</v>
      </c>
      <c r="CW36" s="210">
        <f t="shared" si="24"/>
        <v>26397.096148551616</v>
      </c>
      <c r="CX36" s="210">
        <f t="shared" si="25"/>
        <v>26397.096148551616</v>
      </c>
      <c r="CY36" s="210">
        <f t="shared" si="25"/>
        <v>26397.096148551616</v>
      </c>
      <c r="CZ36" s="210">
        <f t="shared" si="25"/>
        <v>26397.096148551616</v>
      </c>
      <c r="DA36" s="210">
        <f t="shared" si="25"/>
        <v>26397.096148551616</v>
      </c>
    </row>
    <row r="37" spans="1:105">
      <c r="A37" s="201" t="str">
        <f>Income!A86</f>
        <v>Cash transfer - gifts</v>
      </c>
      <c r="B37" s="203">
        <f>Income!B86</f>
        <v>9102.4469477764196</v>
      </c>
      <c r="C37" s="203">
        <f>Income!C86</f>
        <v>11833.181032109345</v>
      </c>
      <c r="D37" s="203">
        <f>Income!D86</f>
        <v>0</v>
      </c>
      <c r="E37" s="203">
        <f>Income!E86</f>
        <v>0</v>
      </c>
      <c r="F37" s="210">
        <f t="shared" si="16"/>
        <v>9102.4469477764196</v>
      </c>
      <c r="G37" s="210">
        <f t="shared" si="16"/>
        <v>9102.4469477764196</v>
      </c>
      <c r="H37" s="210">
        <f t="shared" si="16"/>
        <v>9102.4469477764196</v>
      </c>
      <c r="I37" s="210">
        <f t="shared" si="16"/>
        <v>9102.4469477764196</v>
      </c>
      <c r="J37" s="210">
        <f t="shared" si="16"/>
        <v>9102.4469477764196</v>
      </c>
      <c r="K37" s="210">
        <f t="shared" si="16"/>
        <v>9102.4469477764196</v>
      </c>
      <c r="L37" s="210">
        <f t="shared" si="16"/>
        <v>9102.4469477764196</v>
      </c>
      <c r="M37" s="210">
        <f t="shared" si="16"/>
        <v>9102.4469477764196</v>
      </c>
      <c r="N37" s="210">
        <f t="shared" si="16"/>
        <v>9102.4469477764196</v>
      </c>
      <c r="O37" s="210">
        <f t="shared" si="16"/>
        <v>9102.4469477764196</v>
      </c>
      <c r="P37" s="210">
        <f t="shared" si="17"/>
        <v>9102.4469477764196</v>
      </c>
      <c r="Q37" s="210">
        <f t="shared" si="17"/>
        <v>9102.4469477764196</v>
      </c>
      <c r="R37" s="210">
        <f t="shared" si="17"/>
        <v>9102.4469477764196</v>
      </c>
      <c r="S37" s="210">
        <f t="shared" si="17"/>
        <v>9102.4469477764196</v>
      </c>
      <c r="T37" s="210">
        <f t="shared" si="17"/>
        <v>9102.4469477764196</v>
      </c>
      <c r="U37" s="210">
        <f t="shared" si="17"/>
        <v>9102.4469477764196</v>
      </c>
      <c r="V37" s="210">
        <f t="shared" si="17"/>
        <v>9102.4469477764196</v>
      </c>
      <c r="W37" s="210">
        <f t="shared" si="17"/>
        <v>9102.4469477764196</v>
      </c>
      <c r="X37" s="210">
        <f t="shared" si="17"/>
        <v>9102.4469477764196</v>
      </c>
      <c r="Y37" s="210">
        <f t="shared" si="17"/>
        <v>9195.0142048724501</v>
      </c>
      <c r="Z37" s="210">
        <f t="shared" si="18"/>
        <v>9287.5814619684825</v>
      </c>
      <c r="AA37" s="210">
        <f t="shared" si="18"/>
        <v>9380.148719064513</v>
      </c>
      <c r="AB37" s="210">
        <f t="shared" si="18"/>
        <v>9472.7159761605453</v>
      </c>
      <c r="AC37" s="210">
        <f t="shared" si="18"/>
        <v>9565.2832332565758</v>
      </c>
      <c r="AD37" s="210">
        <f t="shared" si="18"/>
        <v>9657.8504903526082</v>
      </c>
      <c r="AE37" s="210">
        <f t="shared" si="18"/>
        <v>9750.4177474486387</v>
      </c>
      <c r="AF37" s="210">
        <f t="shared" si="18"/>
        <v>9842.985004544671</v>
      </c>
      <c r="AG37" s="210">
        <f t="shared" si="18"/>
        <v>9935.5522616407015</v>
      </c>
      <c r="AH37" s="210">
        <f t="shared" si="18"/>
        <v>10028.119518736734</v>
      </c>
      <c r="AI37" s="210">
        <f t="shared" si="18"/>
        <v>10120.686775832764</v>
      </c>
      <c r="AJ37" s="210">
        <f t="shared" si="19"/>
        <v>10213.254032928797</v>
      </c>
      <c r="AK37" s="210">
        <f t="shared" si="19"/>
        <v>10305.821290024827</v>
      </c>
      <c r="AL37" s="210">
        <f t="shared" si="19"/>
        <v>10398.38854712086</v>
      </c>
      <c r="AM37" s="210">
        <f t="shared" si="19"/>
        <v>10490.95580421689</v>
      </c>
      <c r="AN37" s="210">
        <f t="shared" si="19"/>
        <v>10583.523061312922</v>
      </c>
      <c r="AO37" s="210">
        <f t="shared" si="19"/>
        <v>10676.090318408953</v>
      </c>
      <c r="AP37" s="210">
        <f t="shared" si="19"/>
        <v>10768.657575504985</v>
      </c>
      <c r="AQ37" s="210">
        <f t="shared" si="19"/>
        <v>10861.224832601016</v>
      </c>
      <c r="AR37" s="210">
        <f t="shared" si="19"/>
        <v>10953.792089697046</v>
      </c>
      <c r="AS37" s="210">
        <f t="shared" si="19"/>
        <v>11046.359346793079</v>
      </c>
      <c r="AT37" s="210">
        <f t="shared" si="20"/>
        <v>11138.926603889111</v>
      </c>
      <c r="AU37" s="210">
        <f t="shared" si="20"/>
        <v>11231.493860985142</v>
      </c>
      <c r="AV37" s="210">
        <f t="shared" si="20"/>
        <v>11324.061118081172</v>
      </c>
      <c r="AW37" s="210">
        <f t="shared" si="20"/>
        <v>11416.628375177204</v>
      </c>
      <c r="AX37" s="210">
        <f t="shared" si="20"/>
        <v>11509.195632273237</v>
      </c>
      <c r="AY37" s="210">
        <f t="shared" si="20"/>
        <v>11601.762889369267</v>
      </c>
      <c r="AZ37" s="210">
        <f t="shared" si="20"/>
        <v>11694.330146465298</v>
      </c>
      <c r="BA37" s="210">
        <f t="shared" si="20"/>
        <v>11786.89740356133</v>
      </c>
      <c r="BB37" s="210">
        <f t="shared" si="20"/>
        <v>11596.517411467159</v>
      </c>
      <c r="BC37" s="210">
        <f t="shared" si="20"/>
        <v>11123.190170182785</v>
      </c>
      <c r="BD37" s="210">
        <f t="shared" si="21"/>
        <v>10649.86292889841</v>
      </c>
      <c r="BE37" s="210">
        <f t="shared" si="21"/>
        <v>10176.535687614038</v>
      </c>
      <c r="BF37" s="210">
        <f t="shared" si="21"/>
        <v>9703.2084463296633</v>
      </c>
      <c r="BG37" s="210">
        <f t="shared" si="21"/>
        <v>9229.8812050452889</v>
      </c>
      <c r="BH37" s="210">
        <f t="shared" si="21"/>
        <v>8756.5539637609145</v>
      </c>
      <c r="BI37" s="210">
        <f t="shared" si="21"/>
        <v>8283.2267224765419</v>
      </c>
      <c r="BJ37" s="210">
        <f t="shared" si="21"/>
        <v>7809.8994811921675</v>
      </c>
      <c r="BK37" s="210">
        <f t="shared" si="21"/>
        <v>7336.572239907794</v>
      </c>
      <c r="BL37" s="210">
        <f t="shared" si="21"/>
        <v>6863.2449986234196</v>
      </c>
      <c r="BM37" s="210">
        <f t="shared" si="21"/>
        <v>6389.9177573390461</v>
      </c>
      <c r="BN37" s="210">
        <f t="shared" si="22"/>
        <v>5916.5905160546736</v>
      </c>
      <c r="BO37" s="210">
        <f t="shared" si="22"/>
        <v>5443.2632747702983</v>
      </c>
      <c r="BP37" s="210">
        <f t="shared" si="22"/>
        <v>4969.9360334859248</v>
      </c>
      <c r="BQ37" s="210">
        <f t="shared" si="22"/>
        <v>4496.6087922015513</v>
      </c>
      <c r="BR37" s="210">
        <f t="shared" si="22"/>
        <v>4023.2815509171769</v>
      </c>
      <c r="BS37" s="210">
        <f t="shared" si="22"/>
        <v>3549.9543096328034</v>
      </c>
      <c r="BT37" s="210">
        <f t="shared" si="22"/>
        <v>3076.6270683484308</v>
      </c>
      <c r="BU37" s="210">
        <f t="shared" si="22"/>
        <v>2603.2998270640546</v>
      </c>
      <c r="BV37" s="210">
        <f t="shared" si="22"/>
        <v>2129.972585779682</v>
      </c>
      <c r="BW37" s="210">
        <f t="shared" si="22"/>
        <v>1656.6453444953095</v>
      </c>
      <c r="BX37" s="210">
        <f t="shared" si="23"/>
        <v>1183.3181032109333</v>
      </c>
      <c r="BY37" s="210">
        <f t="shared" si="23"/>
        <v>709.9908619265625</v>
      </c>
      <c r="BZ37" s="210">
        <f t="shared" si="23"/>
        <v>236.66362064218629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56569.422548854098</v>
      </c>
      <c r="C38" s="203">
        <f>Income!C88</f>
        <v>73151.628595618633</v>
      </c>
      <c r="D38" s="203">
        <f>Income!D88</f>
        <v>90016.071826831496</v>
      </c>
      <c r="E38" s="203">
        <f>Income!E88</f>
        <v>192348.15040739105</v>
      </c>
      <c r="F38" s="204">
        <f t="shared" ref="F38:AK38" si="26">SUM(F25:F37)</f>
        <v>44636.798429084607</v>
      </c>
      <c r="G38" s="204">
        <f t="shared" si="26"/>
        <v>44636.798429084607</v>
      </c>
      <c r="H38" s="204">
        <f t="shared" si="26"/>
        <v>44636.798429084607</v>
      </c>
      <c r="I38" s="204">
        <f t="shared" si="26"/>
        <v>44636.798429084607</v>
      </c>
      <c r="J38" s="204">
        <f t="shared" si="26"/>
        <v>44636.798429084607</v>
      </c>
      <c r="K38" s="204">
        <f t="shared" si="26"/>
        <v>44636.798429084607</v>
      </c>
      <c r="L38" s="204">
        <f t="shared" si="26"/>
        <v>44636.798429084607</v>
      </c>
      <c r="M38" s="204">
        <f t="shared" si="26"/>
        <v>44636.798429084607</v>
      </c>
      <c r="N38" s="204">
        <f t="shared" si="26"/>
        <v>44636.798429084607</v>
      </c>
      <c r="O38" s="204">
        <f t="shared" si="26"/>
        <v>44636.798429084607</v>
      </c>
      <c r="P38" s="204">
        <f t="shared" si="26"/>
        <v>44636.798429084607</v>
      </c>
      <c r="Q38" s="204">
        <f t="shared" si="26"/>
        <v>44636.798429084607</v>
      </c>
      <c r="R38" s="204">
        <f t="shared" si="26"/>
        <v>44636.798429084607</v>
      </c>
      <c r="S38" s="204">
        <f t="shared" si="26"/>
        <v>44636.798429084607</v>
      </c>
      <c r="T38" s="204">
        <f t="shared" si="26"/>
        <v>44636.798429084607</v>
      </c>
      <c r="U38" s="204">
        <f t="shared" si="26"/>
        <v>44636.798429084607</v>
      </c>
      <c r="V38" s="204">
        <f t="shared" si="26"/>
        <v>44636.798429084607</v>
      </c>
      <c r="W38" s="204">
        <f t="shared" si="26"/>
        <v>44636.798429084607</v>
      </c>
      <c r="X38" s="204">
        <f t="shared" si="26"/>
        <v>44636.798429084607</v>
      </c>
      <c r="Y38" s="204">
        <f t="shared" si="26"/>
        <v>45198.907108635947</v>
      </c>
      <c r="Z38" s="204">
        <f t="shared" si="26"/>
        <v>45761.015788187287</v>
      </c>
      <c r="AA38" s="204">
        <f t="shared" si="26"/>
        <v>46323.124467738628</v>
      </c>
      <c r="AB38" s="204">
        <f t="shared" si="26"/>
        <v>46885.233147289968</v>
      </c>
      <c r="AC38" s="204">
        <f t="shared" si="26"/>
        <v>47447.341826841308</v>
      </c>
      <c r="AD38" s="204">
        <f t="shared" si="26"/>
        <v>48009.450506392648</v>
      </c>
      <c r="AE38" s="204">
        <f t="shared" si="26"/>
        <v>48571.559185943988</v>
      </c>
      <c r="AF38" s="204">
        <f t="shared" si="26"/>
        <v>49133.667865495336</v>
      </c>
      <c r="AG38" s="204">
        <f t="shared" si="26"/>
        <v>49695.776545046676</v>
      </c>
      <c r="AH38" s="204">
        <f t="shared" si="26"/>
        <v>50257.885224598016</v>
      </c>
      <c r="AI38" s="204">
        <f t="shared" si="26"/>
        <v>50819.993904149356</v>
      </c>
      <c r="AJ38" s="204">
        <f t="shared" si="26"/>
        <v>51382.102583700689</v>
      </c>
      <c r="AK38" s="204">
        <f t="shared" si="26"/>
        <v>51944.211263252029</v>
      </c>
      <c r="AL38" s="204">
        <f t="shared" ref="AL38:BQ38" si="27">SUM(AL25:AL37)</f>
        <v>52506.319942803369</v>
      </c>
      <c r="AM38" s="204">
        <f t="shared" si="27"/>
        <v>53068.42862235471</v>
      </c>
      <c r="AN38" s="204">
        <f t="shared" si="27"/>
        <v>53630.53730190605</v>
      </c>
      <c r="AO38" s="204">
        <f t="shared" si="27"/>
        <v>54192.64598145739</v>
      </c>
      <c r="AP38" s="204">
        <f t="shared" si="27"/>
        <v>54754.75466100873</v>
      </c>
      <c r="AQ38" s="204">
        <f t="shared" si="27"/>
        <v>55316.86334056007</v>
      </c>
      <c r="AR38" s="204">
        <f t="shared" si="27"/>
        <v>55878.972020111411</v>
      </c>
      <c r="AS38" s="204">
        <f t="shared" si="27"/>
        <v>56441.080699662751</v>
      </c>
      <c r="AT38" s="204">
        <f t="shared" si="27"/>
        <v>57003.189379214091</v>
      </c>
      <c r="AU38" s="204">
        <f t="shared" si="27"/>
        <v>57565.298058765431</v>
      </c>
      <c r="AV38" s="204">
        <f t="shared" si="27"/>
        <v>58127.406738316771</v>
      </c>
      <c r="AW38" s="204">
        <f t="shared" si="27"/>
        <v>58689.515417868119</v>
      </c>
      <c r="AX38" s="204">
        <f t="shared" si="27"/>
        <v>59251.624097419459</v>
      </c>
      <c r="AY38" s="204">
        <f t="shared" si="27"/>
        <v>59813.732776970792</v>
      </c>
      <c r="AZ38" s="204">
        <f t="shared" si="27"/>
        <v>60375.841456522132</v>
      </c>
      <c r="BA38" s="204">
        <f t="shared" si="27"/>
        <v>60937.950136073472</v>
      </c>
      <c r="BB38" s="204">
        <f t="shared" si="27"/>
        <v>61558.282202226612</v>
      </c>
      <c r="BC38" s="204">
        <f t="shared" si="27"/>
        <v>62236.837654981529</v>
      </c>
      <c r="BD38" s="204">
        <f t="shared" si="27"/>
        <v>62915.39310773644</v>
      </c>
      <c r="BE38" s="204">
        <f t="shared" si="27"/>
        <v>63593.948560491357</v>
      </c>
      <c r="BF38" s="204">
        <f t="shared" si="27"/>
        <v>64272.504013246289</v>
      </c>
      <c r="BG38" s="204">
        <f t="shared" si="27"/>
        <v>64951.059466001207</v>
      </c>
      <c r="BH38" s="204">
        <f t="shared" si="27"/>
        <v>65629.614918756124</v>
      </c>
      <c r="BI38" s="204">
        <f t="shared" si="27"/>
        <v>66308.170371511034</v>
      </c>
      <c r="BJ38" s="204">
        <f t="shared" si="27"/>
        <v>66986.725824265974</v>
      </c>
      <c r="BK38" s="204">
        <f t="shared" si="27"/>
        <v>67665.281277020884</v>
      </c>
      <c r="BL38" s="204">
        <f t="shared" si="27"/>
        <v>68343.836729775794</v>
      </c>
      <c r="BM38" s="204">
        <f t="shared" si="27"/>
        <v>69022.392182530733</v>
      </c>
      <c r="BN38" s="204">
        <f t="shared" si="27"/>
        <v>69700.947635285658</v>
      </c>
      <c r="BO38" s="204">
        <f t="shared" si="27"/>
        <v>70379.503088040568</v>
      </c>
      <c r="BP38" s="204">
        <f t="shared" si="27"/>
        <v>71058.058540795493</v>
      </c>
      <c r="BQ38" s="204">
        <f t="shared" si="27"/>
        <v>71736.613993550418</v>
      </c>
      <c r="BR38" s="204">
        <f t="shared" ref="BR38:CW38" si="28">SUM(BR25:BR37)</f>
        <v>72415.169446305328</v>
      </c>
      <c r="BS38" s="204">
        <f t="shared" si="28"/>
        <v>73093.724899060238</v>
      </c>
      <c r="BT38" s="204">
        <f t="shared" si="28"/>
        <v>73772.280351815178</v>
      </c>
      <c r="BU38" s="204">
        <f t="shared" si="28"/>
        <v>74450.835804570088</v>
      </c>
      <c r="BV38" s="204">
        <f t="shared" si="28"/>
        <v>75129.391257325013</v>
      </c>
      <c r="BW38" s="204">
        <f t="shared" si="28"/>
        <v>75807.946710079937</v>
      </c>
      <c r="BX38" s="204">
        <f t="shared" si="28"/>
        <v>76486.502162834848</v>
      </c>
      <c r="BY38" s="204">
        <f t="shared" si="28"/>
        <v>77165.057615589772</v>
      </c>
      <c r="BZ38" s="204">
        <f t="shared" si="28"/>
        <v>77843.613068344683</v>
      </c>
      <c r="CA38" s="204">
        <f t="shared" si="28"/>
        <v>80606.641607466852</v>
      </c>
      <c r="CB38" s="204">
        <f t="shared" si="28"/>
        <v>85454.143232956223</v>
      </c>
      <c r="CC38" s="204">
        <f t="shared" si="28"/>
        <v>90301.644858445594</v>
      </c>
      <c r="CD38" s="204">
        <f t="shared" si="28"/>
        <v>95149.146483934965</v>
      </c>
      <c r="CE38" s="204">
        <f t="shared" si="28"/>
        <v>99996.648109424321</v>
      </c>
      <c r="CF38" s="204">
        <f t="shared" si="28"/>
        <v>104844.14973491372</v>
      </c>
      <c r="CG38" s="204">
        <f t="shared" si="28"/>
        <v>109691.65136040309</v>
      </c>
      <c r="CH38" s="204">
        <f t="shared" si="28"/>
        <v>114539.15298589246</v>
      </c>
      <c r="CI38" s="204">
        <f t="shared" si="28"/>
        <v>119386.65461138185</v>
      </c>
      <c r="CJ38" s="204">
        <f t="shared" si="28"/>
        <v>124234.15623687123</v>
      </c>
      <c r="CK38" s="204">
        <f t="shared" si="28"/>
        <v>129081.6578623606</v>
      </c>
      <c r="CL38" s="204">
        <f t="shared" si="28"/>
        <v>133929.15948784997</v>
      </c>
      <c r="CM38" s="204">
        <f t="shared" si="28"/>
        <v>138776.66111333936</v>
      </c>
      <c r="CN38" s="204">
        <f t="shared" si="28"/>
        <v>143624.16273882872</v>
      </c>
      <c r="CO38" s="204">
        <f t="shared" si="28"/>
        <v>148471.6643643181</v>
      </c>
      <c r="CP38" s="204">
        <f t="shared" si="28"/>
        <v>153319.16598980746</v>
      </c>
      <c r="CQ38" s="204">
        <f t="shared" si="28"/>
        <v>158166.66761529684</v>
      </c>
      <c r="CR38" s="204">
        <f t="shared" si="28"/>
        <v>163014.1692407862</v>
      </c>
      <c r="CS38" s="204">
        <f t="shared" si="28"/>
        <v>167861.67086627558</v>
      </c>
      <c r="CT38" s="204">
        <f t="shared" si="28"/>
        <v>172709.172491765</v>
      </c>
      <c r="CU38" s="204">
        <f t="shared" si="28"/>
        <v>177556.67411725438</v>
      </c>
      <c r="CV38" s="204">
        <f t="shared" si="28"/>
        <v>177556.67411725438</v>
      </c>
      <c r="CW38" s="204">
        <f t="shared" si="28"/>
        <v>177556.67411725438</v>
      </c>
      <c r="CX38" s="204">
        <f>SUM(CX25:CX37)</f>
        <v>177556.67411725438</v>
      </c>
      <c r="CY38" s="204">
        <f>SUM(CY25:CY37)</f>
        <v>177556.67411725438</v>
      </c>
      <c r="CZ38" s="204">
        <f>SUM(CZ25:CZ37)</f>
        <v>177556.67411725438</v>
      </c>
      <c r="DA38" s="204">
        <f>SUM(DA25:DA37)</f>
        <v>177556.67411725438</v>
      </c>
    </row>
    <row r="39" spans="1:105">
      <c r="A39" s="201" t="str">
        <f>Income!A89</f>
        <v>Food Poverty line</v>
      </c>
      <c r="B39" s="203">
        <f>Income!B89</f>
        <v>29244.120681443648</v>
      </c>
      <c r="C39" s="203">
        <f>Income!C89</f>
        <v>29244.120681443648</v>
      </c>
      <c r="D39" s="203">
        <f>Income!D89</f>
        <v>29244.120681443648</v>
      </c>
      <c r="E39" s="203">
        <f>Income!E89</f>
        <v>29244.120681443645</v>
      </c>
      <c r="F39" s="204">
        <f t="shared" ref="F39:U39" si="29">IF(F$2&lt;=($B$2+$C$2+$D$2),IF(F$2&lt;=($B$2+$C$2),IF(F$2&lt;=$B$2,$B39,$C39),$D39),$E39)</f>
        <v>29244.120681443648</v>
      </c>
      <c r="G39" s="204">
        <f t="shared" si="29"/>
        <v>29244.120681443648</v>
      </c>
      <c r="H39" s="204">
        <f t="shared" si="29"/>
        <v>29244.120681443648</v>
      </c>
      <c r="I39" s="204">
        <f t="shared" si="29"/>
        <v>29244.120681443648</v>
      </c>
      <c r="J39" s="204">
        <f t="shared" si="29"/>
        <v>29244.120681443648</v>
      </c>
      <c r="K39" s="204">
        <f t="shared" si="29"/>
        <v>29244.120681443648</v>
      </c>
      <c r="L39" s="204">
        <f t="shared" si="29"/>
        <v>29244.120681443648</v>
      </c>
      <c r="M39" s="204">
        <f t="shared" si="29"/>
        <v>29244.120681443648</v>
      </c>
      <c r="N39" s="204">
        <f t="shared" si="29"/>
        <v>29244.120681443648</v>
      </c>
      <c r="O39" s="204">
        <f t="shared" si="29"/>
        <v>29244.120681443648</v>
      </c>
      <c r="P39" s="204">
        <f t="shared" si="29"/>
        <v>29244.120681443648</v>
      </c>
      <c r="Q39" s="204">
        <f t="shared" si="29"/>
        <v>29244.120681443648</v>
      </c>
      <c r="R39" s="204">
        <f t="shared" si="29"/>
        <v>29244.120681443648</v>
      </c>
      <c r="S39" s="204">
        <f t="shared" si="29"/>
        <v>29244.120681443648</v>
      </c>
      <c r="T39" s="204">
        <f t="shared" si="29"/>
        <v>29244.120681443648</v>
      </c>
      <c r="U39" s="204">
        <f t="shared" si="29"/>
        <v>29244.120681443648</v>
      </c>
      <c r="V39" s="204">
        <f t="shared" ref="V39:AK40" si="30">IF(V$2&lt;=($B$2+$C$2+$D$2),IF(V$2&lt;=($B$2+$C$2),IF(V$2&lt;=$B$2,$B39,$C39),$D39),$E39)</f>
        <v>29244.120681443648</v>
      </c>
      <c r="W39" s="204">
        <f t="shared" si="30"/>
        <v>29244.120681443648</v>
      </c>
      <c r="X39" s="204">
        <f t="shared" si="30"/>
        <v>29244.120681443648</v>
      </c>
      <c r="Y39" s="204">
        <f t="shared" si="30"/>
        <v>29244.120681443648</v>
      </c>
      <c r="Z39" s="204">
        <f t="shared" si="30"/>
        <v>29244.120681443648</v>
      </c>
      <c r="AA39" s="204">
        <f t="shared" si="30"/>
        <v>29244.120681443648</v>
      </c>
      <c r="AB39" s="204">
        <f t="shared" si="30"/>
        <v>29244.120681443648</v>
      </c>
      <c r="AC39" s="204">
        <f t="shared" si="30"/>
        <v>29244.120681443648</v>
      </c>
      <c r="AD39" s="204">
        <f t="shared" si="30"/>
        <v>29244.120681443648</v>
      </c>
      <c r="AE39" s="204">
        <f t="shared" si="30"/>
        <v>29244.120681443648</v>
      </c>
      <c r="AF39" s="204">
        <f t="shared" si="30"/>
        <v>29244.120681443648</v>
      </c>
      <c r="AG39" s="204">
        <f t="shared" si="30"/>
        <v>29244.120681443648</v>
      </c>
      <c r="AH39" s="204">
        <f t="shared" si="30"/>
        <v>29244.120681443648</v>
      </c>
      <c r="AI39" s="204">
        <f t="shared" si="30"/>
        <v>29244.120681443648</v>
      </c>
      <c r="AJ39" s="204">
        <f t="shared" si="30"/>
        <v>29244.120681443648</v>
      </c>
      <c r="AK39" s="204">
        <f t="shared" si="30"/>
        <v>29244.120681443648</v>
      </c>
      <c r="AL39" s="204">
        <f t="shared" ref="AL39:BA40" si="31">IF(AL$2&lt;=($B$2+$C$2+$D$2),IF(AL$2&lt;=($B$2+$C$2),IF(AL$2&lt;=$B$2,$B39,$C39),$D39),$E39)</f>
        <v>29244.120681443648</v>
      </c>
      <c r="AM39" s="204">
        <f t="shared" si="31"/>
        <v>29244.120681443648</v>
      </c>
      <c r="AN39" s="204">
        <f t="shared" si="31"/>
        <v>29244.120681443648</v>
      </c>
      <c r="AO39" s="204">
        <f t="shared" si="31"/>
        <v>29244.120681443648</v>
      </c>
      <c r="AP39" s="204">
        <f t="shared" si="31"/>
        <v>29244.120681443648</v>
      </c>
      <c r="AQ39" s="204">
        <f t="shared" si="31"/>
        <v>29244.120681443648</v>
      </c>
      <c r="AR39" s="204">
        <f t="shared" si="31"/>
        <v>29244.120681443648</v>
      </c>
      <c r="AS39" s="204">
        <f t="shared" si="31"/>
        <v>29244.120681443648</v>
      </c>
      <c r="AT39" s="204">
        <f t="shared" si="31"/>
        <v>29244.120681443648</v>
      </c>
      <c r="AU39" s="204">
        <f t="shared" si="31"/>
        <v>29244.120681443648</v>
      </c>
      <c r="AV39" s="204">
        <f t="shared" si="31"/>
        <v>29244.120681443648</v>
      </c>
      <c r="AW39" s="204">
        <f t="shared" si="31"/>
        <v>29244.120681443648</v>
      </c>
      <c r="AX39" s="204">
        <f t="shared" si="31"/>
        <v>29244.120681443648</v>
      </c>
      <c r="AY39" s="204">
        <f t="shared" si="31"/>
        <v>29244.120681443648</v>
      </c>
      <c r="AZ39" s="204">
        <f t="shared" si="31"/>
        <v>29244.120681443648</v>
      </c>
      <c r="BA39" s="204">
        <f t="shared" si="31"/>
        <v>29244.120681443648</v>
      </c>
      <c r="BB39" s="204">
        <f t="shared" ref="BB39:CD40" si="32">IF(BB$2&lt;=($B$2+$C$2+$D$2),IF(BB$2&lt;=($B$2+$C$2),IF(BB$2&lt;=$B$2,$B39,$C39),$D39),$E39)</f>
        <v>29244.120681443648</v>
      </c>
      <c r="BC39" s="204">
        <f t="shared" si="32"/>
        <v>29244.120681443648</v>
      </c>
      <c r="BD39" s="204">
        <f t="shared" si="32"/>
        <v>29244.120681443648</v>
      </c>
      <c r="BE39" s="204">
        <f t="shared" si="32"/>
        <v>29244.120681443648</v>
      </c>
      <c r="BF39" s="204">
        <f t="shared" si="32"/>
        <v>29244.120681443648</v>
      </c>
      <c r="BG39" s="204">
        <f t="shared" si="32"/>
        <v>29244.120681443648</v>
      </c>
      <c r="BH39" s="204">
        <f t="shared" si="32"/>
        <v>29244.120681443648</v>
      </c>
      <c r="BI39" s="204">
        <f t="shared" si="32"/>
        <v>29244.120681443648</v>
      </c>
      <c r="BJ39" s="204">
        <f t="shared" si="32"/>
        <v>29244.120681443648</v>
      </c>
      <c r="BK39" s="204">
        <f t="shared" si="32"/>
        <v>29244.120681443648</v>
      </c>
      <c r="BL39" s="204">
        <f t="shared" si="32"/>
        <v>29244.120681443648</v>
      </c>
      <c r="BM39" s="204">
        <f t="shared" si="32"/>
        <v>29244.120681443648</v>
      </c>
      <c r="BN39" s="204">
        <f t="shared" si="32"/>
        <v>29244.120681443648</v>
      </c>
      <c r="BO39" s="204">
        <f t="shared" si="32"/>
        <v>29244.120681443648</v>
      </c>
      <c r="BP39" s="204">
        <f t="shared" si="32"/>
        <v>29244.120681443648</v>
      </c>
      <c r="BQ39" s="204">
        <f t="shared" si="32"/>
        <v>29244.120681443648</v>
      </c>
      <c r="BR39" s="204">
        <f t="shared" si="32"/>
        <v>29244.120681443648</v>
      </c>
      <c r="BS39" s="204">
        <f t="shared" si="32"/>
        <v>29244.120681443648</v>
      </c>
      <c r="BT39" s="204">
        <f t="shared" si="32"/>
        <v>29244.120681443648</v>
      </c>
      <c r="BU39" s="204">
        <f t="shared" si="32"/>
        <v>29244.120681443648</v>
      </c>
      <c r="BV39" s="204">
        <f t="shared" si="32"/>
        <v>29244.120681443648</v>
      </c>
      <c r="BW39" s="204">
        <f t="shared" si="32"/>
        <v>29244.120681443648</v>
      </c>
      <c r="BX39" s="204">
        <f t="shared" si="32"/>
        <v>29244.120681443648</v>
      </c>
      <c r="BY39" s="204">
        <f t="shared" si="32"/>
        <v>29244.120681443648</v>
      </c>
      <c r="BZ39" s="204">
        <f t="shared" si="32"/>
        <v>29244.120681443648</v>
      </c>
      <c r="CA39" s="204">
        <f t="shared" si="32"/>
        <v>29244.120681443648</v>
      </c>
      <c r="CB39" s="204">
        <f t="shared" si="32"/>
        <v>29244.120681443648</v>
      </c>
      <c r="CC39" s="204">
        <f t="shared" si="32"/>
        <v>29244.120681443648</v>
      </c>
      <c r="CD39" s="204">
        <f t="shared" si="32"/>
        <v>29244.120681443648</v>
      </c>
      <c r="CE39" s="204">
        <f t="shared" ref="CE39:CR40" si="33">IF(CE$2&lt;=($B$2+$C$2+$D$2),IF(CE$2&lt;=($B$2+$C$2),IF(CE$2&lt;=$B$2,$B39,$C39),$D39),$E39)</f>
        <v>29244.120681443648</v>
      </c>
      <c r="CF39" s="204">
        <f t="shared" si="33"/>
        <v>29244.120681443648</v>
      </c>
      <c r="CG39" s="204">
        <f t="shared" si="33"/>
        <v>29244.120681443648</v>
      </c>
      <c r="CH39" s="204">
        <f t="shared" si="33"/>
        <v>29244.120681443648</v>
      </c>
      <c r="CI39" s="204">
        <f t="shared" si="33"/>
        <v>29244.120681443648</v>
      </c>
      <c r="CJ39" s="204">
        <f t="shared" si="33"/>
        <v>29244.120681443648</v>
      </c>
      <c r="CK39" s="204">
        <f t="shared" si="33"/>
        <v>29244.120681443648</v>
      </c>
      <c r="CL39" s="204">
        <f t="shared" si="33"/>
        <v>29244.120681443648</v>
      </c>
      <c r="CM39" s="204">
        <f t="shared" si="33"/>
        <v>29244.120681443648</v>
      </c>
      <c r="CN39" s="204">
        <f t="shared" si="33"/>
        <v>29244.120681443645</v>
      </c>
      <c r="CO39" s="204">
        <f t="shared" si="33"/>
        <v>29244.120681443645</v>
      </c>
      <c r="CP39" s="204">
        <f t="shared" si="33"/>
        <v>29244.120681443645</v>
      </c>
      <c r="CQ39" s="204">
        <f t="shared" si="33"/>
        <v>29244.120681443645</v>
      </c>
      <c r="CR39" s="204">
        <f t="shared" si="33"/>
        <v>29244.120681443645</v>
      </c>
      <c r="CS39" s="204">
        <f t="shared" ref="CS39:DA40" si="34">IF(CS$2&lt;=($B$2+$C$2+$D$2),IF(CS$2&lt;=($B$2+$C$2),IF(CS$2&lt;=$B$2,$B39,$C39),$D39),$E39)</f>
        <v>29244.120681443645</v>
      </c>
      <c r="CT39" s="204">
        <f t="shared" si="34"/>
        <v>29244.120681443645</v>
      </c>
      <c r="CU39" s="204">
        <f t="shared" si="34"/>
        <v>29244.120681443645</v>
      </c>
      <c r="CV39" s="204">
        <f t="shared" si="34"/>
        <v>29244.120681443645</v>
      </c>
      <c r="CW39" s="204">
        <f t="shared" si="34"/>
        <v>29244.120681443645</v>
      </c>
      <c r="CX39" s="204">
        <f t="shared" si="34"/>
        <v>29244.120681443645</v>
      </c>
      <c r="CY39" s="204">
        <f t="shared" si="34"/>
        <v>29244.120681443645</v>
      </c>
      <c r="CZ39" s="204">
        <f t="shared" si="34"/>
        <v>29244.120681443645</v>
      </c>
      <c r="DA39" s="204">
        <f t="shared" si="34"/>
        <v>29244.120681443645</v>
      </c>
    </row>
    <row r="40" spans="1:105">
      <c r="A40" s="201" t="str">
        <f>Income!A90</f>
        <v>Lower Bound Poverty line</v>
      </c>
      <c r="B40" s="203">
        <f>Income!B90</f>
        <v>40733.387348110315</v>
      </c>
      <c r="C40" s="203">
        <f>Income!C90</f>
        <v>40733.387348110315</v>
      </c>
      <c r="D40" s="203">
        <f>Income!D90</f>
        <v>40733.387348110315</v>
      </c>
      <c r="E40" s="203">
        <f>Income!E90</f>
        <v>40733.387348110307</v>
      </c>
      <c r="F40" s="204">
        <f t="shared" ref="F40:U40" si="35">IF(F$2&lt;=($B$2+$C$2+$D$2),IF(F$2&lt;=($B$2+$C$2),IF(F$2&lt;=$B$2,$B40,$C40),$D40),$E40)</f>
        <v>40733.387348110315</v>
      </c>
      <c r="G40" s="204">
        <f t="shared" si="35"/>
        <v>40733.387348110315</v>
      </c>
      <c r="H40" s="204">
        <f t="shared" si="35"/>
        <v>40733.387348110315</v>
      </c>
      <c r="I40" s="204">
        <f t="shared" si="35"/>
        <v>40733.387348110315</v>
      </c>
      <c r="J40" s="204">
        <f t="shared" si="35"/>
        <v>40733.387348110315</v>
      </c>
      <c r="K40" s="204">
        <f t="shared" si="35"/>
        <v>40733.387348110315</v>
      </c>
      <c r="L40" s="204">
        <f t="shared" si="35"/>
        <v>40733.387348110315</v>
      </c>
      <c r="M40" s="204">
        <f t="shared" si="35"/>
        <v>40733.387348110315</v>
      </c>
      <c r="N40" s="204">
        <f t="shared" si="35"/>
        <v>40733.387348110315</v>
      </c>
      <c r="O40" s="204">
        <f t="shared" si="35"/>
        <v>40733.387348110315</v>
      </c>
      <c r="P40" s="204">
        <f t="shared" si="35"/>
        <v>40733.387348110315</v>
      </c>
      <c r="Q40" s="204">
        <f t="shared" si="35"/>
        <v>40733.387348110315</v>
      </c>
      <c r="R40" s="204">
        <f t="shared" si="35"/>
        <v>40733.387348110315</v>
      </c>
      <c r="S40" s="204">
        <f t="shared" si="35"/>
        <v>40733.387348110315</v>
      </c>
      <c r="T40" s="204">
        <f t="shared" si="35"/>
        <v>40733.387348110315</v>
      </c>
      <c r="U40" s="204">
        <f t="shared" si="35"/>
        <v>40733.387348110315</v>
      </c>
      <c r="V40" s="204">
        <f t="shared" si="30"/>
        <v>40733.387348110315</v>
      </c>
      <c r="W40" s="204">
        <f t="shared" si="30"/>
        <v>40733.387348110315</v>
      </c>
      <c r="X40" s="204">
        <f t="shared" si="30"/>
        <v>40733.387348110315</v>
      </c>
      <c r="Y40" s="204">
        <f t="shared" si="30"/>
        <v>40733.387348110315</v>
      </c>
      <c r="Z40" s="204">
        <f t="shared" si="30"/>
        <v>40733.387348110315</v>
      </c>
      <c r="AA40" s="204">
        <f t="shared" si="30"/>
        <v>40733.387348110315</v>
      </c>
      <c r="AB40" s="204">
        <f t="shared" si="30"/>
        <v>40733.387348110315</v>
      </c>
      <c r="AC40" s="204">
        <f t="shared" si="30"/>
        <v>40733.387348110315</v>
      </c>
      <c r="AD40" s="204">
        <f t="shared" si="30"/>
        <v>40733.387348110315</v>
      </c>
      <c r="AE40" s="204">
        <f t="shared" si="30"/>
        <v>40733.387348110315</v>
      </c>
      <c r="AF40" s="204">
        <f t="shared" si="30"/>
        <v>40733.387348110315</v>
      </c>
      <c r="AG40" s="204">
        <f t="shared" si="30"/>
        <v>40733.387348110315</v>
      </c>
      <c r="AH40" s="204">
        <f t="shared" si="30"/>
        <v>40733.387348110315</v>
      </c>
      <c r="AI40" s="204">
        <f t="shared" si="30"/>
        <v>40733.387348110315</v>
      </c>
      <c r="AJ40" s="204">
        <f t="shared" si="30"/>
        <v>40733.387348110315</v>
      </c>
      <c r="AK40" s="204">
        <f t="shared" si="30"/>
        <v>40733.387348110315</v>
      </c>
      <c r="AL40" s="204">
        <f t="shared" si="31"/>
        <v>40733.387348110315</v>
      </c>
      <c r="AM40" s="204">
        <f t="shared" si="31"/>
        <v>40733.387348110315</v>
      </c>
      <c r="AN40" s="204">
        <f t="shared" si="31"/>
        <v>40733.387348110315</v>
      </c>
      <c r="AO40" s="204">
        <f t="shared" si="31"/>
        <v>40733.387348110315</v>
      </c>
      <c r="AP40" s="204">
        <f t="shared" si="31"/>
        <v>40733.387348110315</v>
      </c>
      <c r="AQ40" s="204">
        <f t="shared" si="31"/>
        <v>40733.387348110315</v>
      </c>
      <c r="AR40" s="204">
        <f t="shared" si="31"/>
        <v>40733.387348110315</v>
      </c>
      <c r="AS40" s="204">
        <f t="shared" si="31"/>
        <v>40733.387348110315</v>
      </c>
      <c r="AT40" s="204">
        <f t="shared" si="31"/>
        <v>40733.387348110315</v>
      </c>
      <c r="AU40" s="204">
        <f t="shared" si="31"/>
        <v>40733.387348110315</v>
      </c>
      <c r="AV40" s="204">
        <f t="shared" si="31"/>
        <v>40733.387348110315</v>
      </c>
      <c r="AW40" s="204">
        <f t="shared" si="31"/>
        <v>40733.387348110315</v>
      </c>
      <c r="AX40" s="204">
        <f t="shared" si="31"/>
        <v>40733.387348110315</v>
      </c>
      <c r="AY40" s="204">
        <f t="shared" si="31"/>
        <v>40733.387348110315</v>
      </c>
      <c r="AZ40" s="204">
        <f t="shared" si="31"/>
        <v>40733.387348110315</v>
      </c>
      <c r="BA40" s="204">
        <f t="shared" si="31"/>
        <v>40733.387348110315</v>
      </c>
      <c r="BB40" s="204">
        <f t="shared" si="32"/>
        <v>40733.387348110315</v>
      </c>
      <c r="BC40" s="204">
        <f t="shared" si="32"/>
        <v>40733.387348110315</v>
      </c>
      <c r="BD40" s="204">
        <f t="shared" si="32"/>
        <v>40733.387348110315</v>
      </c>
      <c r="BE40" s="204">
        <f t="shared" si="32"/>
        <v>40733.387348110315</v>
      </c>
      <c r="BF40" s="204">
        <f t="shared" si="32"/>
        <v>40733.387348110315</v>
      </c>
      <c r="BG40" s="204">
        <f t="shared" si="32"/>
        <v>40733.387348110315</v>
      </c>
      <c r="BH40" s="204">
        <f t="shared" si="32"/>
        <v>40733.387348110315</v>
      </c>
      <c r="BI40" s="204">
        <f t="shared" si="32"/>
        <v>40733.387348110315</v>
      </c>
      <c r="BJ40" s="204">
        <f t="shared" si="32"/>
        <v>40733.387348110315</v>
      </c>
      <c r="BK40" s="204">
        <f t="shared" si="32"/>
        <v>40733.387348110315</v>
      </c>
      <c r="BL40" s="204">
        <f t="shared" si="32"/>
        <v>40733.387348110315</v>
      </c>
      <c r="BM40" s="204">
        <f t="shared" si="32"/>
        <v>40733.387348110315</v>
      </c>
      <c r="BN40" s="204">
        <f t="shared" si="32"/>
        <v>40733.387348110315</v>
      </c>
      <c r="BO40" s="204">
        <f t="shared" si="32"/>
        <v>40733.387348110315</v>
      </c>
      <c r="BP40" s="204">
        <f t="shared" si="32"/>
        <v>40733.387348110315</v>
      </c>
      <c r="BQ40" s="204">
        <f t="shared" si="32"/>
        <v>40733.387348110315</v>
      </c>
      <c r="BR40" s="204">
        <f t="shared" si="32"/>
        <v>40733.387348110315</v>
      </c>
      <c r="BS40" s="204">
        <f t="shared" si="32"/>
        <v>40733.387348110315</v>
      </c>
      <c r="BT40" s="204">
        <f t="shared" si="32"/>
        <v>40733.387348110315</v>
      </c>
      <c r="BU40" s="204">
        <f t="shared" si="32"/>
        <v>40733.387348110315</v>
      </c>
      <c r="BV40" s="204">
        <f t="shared" si="32"/>
        <v>40733.387348110315</v>
      </c>
      <c r="BW40" s="204">
        <f t="shared" si="32"/>
        <v>40733.387348110315</v>
      </c>
      <c r="BX40" s="204">
        <f t="shared" si="32"/>
        <v>40733.387348110315</v>
      </c>
      <c r="BY40" s="204">
        <f t="shared" si="32"/>
        <v>40733.387348110315</v>
      </c>
      <c r="BZ40" s="204">
        <f t="shared" si="32"/>
        <v>40733.387348110315</v>
      </c>
      <c r="CA40" s="204">
        <f t="shared" si="32"/>
        <v>40733.387348110315</v>
      </c>
      <c r="CB40" s="204">
        <f t="shared" si="32"/>
        <v>40733.387348110315</v>
      </c>
      <c r="CC40" s="204">
        <f t="shared" si="32"/>
        <v>40733.387348110315</v>
      </c>
      <c r="CD40" s="204">
        <f t="shared" si="32"/>
        <v>40733.387348110315</v>
      </c>
      <c r="CE40" s="204">
        <f t="shared" si="33"/>
        <v>40733.387348110315</v>
      </c>
      <c r="CF40" s="204">
        <f t="shared" si="33"/>
        <v>40733.387348110315</v>
      </c>
      <c r="CG40" s="204">
        <f t="shared" si="33"/>
        <v>40733.387348110315</v>
      </c>
      <c r="CH40" s="204">
        <f t="shared" si="33"/>
        <v>40733.387348110315</v>
      </c>
      <c r="CI40" s="204">
        <f t="shared" si="33"/>
        <v>40733.387348110315</v>
      </c>
      <c r="CJ40" s="204">
        <f t="shared" si="33"/>
        <v>40733.387348110315</v>
      </c>
      <c r="CK40" s="204">
        <f t="shared" si="33"/>
        <v>40733.387348110315</v>
      </c>
      <c r="CL40" s="204">
        <f t="shared" si="33"/>
        <v>40733.387348110315</v>
      </c>
      <c r="CM40" s="204">
        <f t="shared" si="33"/>
        <v>40733.387348110315</v>
      </c>
      <c r="CN40" s="204">
        <f t="shared" si="33"/>
        <v>40733.387348110307</v>
      </c>
      <c r="CO40" s="204">
        <f t="shared" si="33"/>
        <v>40733.387348110307</v>
      </c>
      <c r="CP40" s="204">
        <f t="shared" si="33"/>
        <v>40733.387348110307</v>
      </c>
      <c r="CQ40" s="204">
        <f t="shared" si="33"/>
        <v>40733.387348110307</v>
      </c>
      <c r="CR40" s="204">
        <f t="shared" si="33"/>
        <v>40733.387348110307</v>
      </c>
      <c r="CS40" s="204">
        <f t="shared" si="34"/>
        <v>40733.387348110307</v>
      </c>
      <c r="CT40" s="204">
        <f t="shared" si="34"/>
        <v>40733.387348110307</v>
      </c>
      <c r="CU40" s="204">
        <f t="shared" si="34"/>
        <v>40733.387348110307</v>
      </c>
      <c r="CV40" s="204">
        <f t="shared" si="34"/>
        <v>40733.387348110307</v>
      </c>
      <c r="CW40" s="204">
        <f t="shared" si="34"/>
        <v>40733.387348110307</v>
      </c>
      <c r="CX40" s="204">
        <f t="shared" si="34"/>
        <v>40733.387348110307</v>
      </c>
      <c r="CY40" s="204">
        <f t="shared" si="34"/>
        <v>40733.387348110307</v>
      </c>
      <c r="CZ40" s="204">
        <f t="shared" si="34"/>
        <v>40733.387348110307</v>
      </c>
      <c r="DA40" s="204">
        <f t="shared" si="34"/>
        <v>40733.387348110307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-25.166643133497342</v>
      </c>
      <c r="Z42" s="210">
        <f t="shared" si="36"/>
        <v>-25.166643133497342</v>
      </c>
      <c r="AA42" s="210">
        <f t="shared" si="36"/>
        <v>-25.166643133497342</v>
      </c>
      <c r="AB42" s="210">
        <f t="shared" si="36"/>
        <v>-25.166643133497342</v>
      </c>
      <c r="AC42" s="210">
        <f t="shared" si="36"/>
        <v>-25.166643133497342</v>
      </c>
      <c r="AD42" s="210">
        <f t="shared" si="36"/>
        <v>-25.166643133497342</v>
      </c>
      <c r="AE42" s="210">
        <f t="shared" si="36"/>
        <v>-25.166643133497342</v>
      </c>
      <c r="AF42" s="210">
        <f t="shared" si="36"/>
        <v>-25.166643133497342</v>
      </c>
      <c r="AG42" s="210">
        <f t="shared" si="36"/>
        <v>-25.166643133497342</v>
      </c>
      <c r="AH42" s="210">
        <f t="shared" si="36"/>
        <v>-25.166643133497342</v>
      </c>
      <c r="AI42" s="210">
        <f t="shared" si="36"/>
        <v>-25.166643133497342</v>
      </c>
      <c r="AJ42" s="210">
        <f t="shared" si="36"/>
        <v>-25.166643133497342</v>
      </c>
      <c r="AK42" s="210">
        <f t="shared" si="36"/>
        <v>-25.166643133497342</v>
      </c>
      <c r="AL42" s="210">
        <f t="shared" ref="AL42:BQ42" si="37">IF(AL$22&lt;=$E$24,IF(AL$22&lt;=$D$24,IF(AL$22&lt;=$C$24,IF(AL$22&lt;=$B$24,$B108,($C25-$B25)/($C$24-$B$24)),($D25-$C25)/($D$24-$C$24)),($E25-$D25)/($E$24-$D$24)),$F108)</f>
        <v>-25.166643133497342</v>
      </c>
      <c r="AM42" s="210">
        <f t="shared" si="37"/>
        <v>-25.166643133497342</v>
      </c>
      <c r="AN42" s="210">
        <f t="shared" si="37"/>
        <v>-25.166643133497342</v>
      </c>
      <c r="AO42" s="210">
        <f t="shared" si="37"/>
        <v>-25.166643133497342</v>
      </c>
      <c r="AP42" s="210">
        <f t="shared" si="37"/>
        <v>-25.166643133497342</v>
      </c>
      <c r="AQ42" s="210">
        <f t="shared" si="37"/>
        <v>-25.166643133497342</v>
      </c>
      <c r="AR42" s="210">
        <f t="shared" si="37"/>
        <v>-25.166643133497342</v>
      </c>
      <c r="AS42" s="210">
        <f t="shared" si="37"/>
        <v>-25.166643133497342</v>
      </c>
      <c r="AT42" s="210">
        <f t="shared" si="37"/>
        <v>-25.166643133497342</v>
      </c>
      <c r="AU42" s="210">
        <f t="shared" si="37"/>
        <v>-25.166643133497342</v>
      </c>
      <c r="AV42" s="210">
        <f t="shared" si="37"/>
        <v>-25.166643133497342</v>
      </c>
      <c r="AW42" s="210">
        <f t="shared" si="37"/>
        <v>-25.166643133497342</v>
      </c>
      <c r="AX42" s="210">
        <f t="shared" si="37"/>
        <v>-25.166643133497342</v>
      </c>
      <c r="AY42" s="210">
        <f t="shared" si="37"/>
        <v>-25.166643133497342</v>
      </c>
      <c r="AZ42" s="210">
        <f t="shared" si="37"/>
        <v>-25.166643133497342</v>
      </c>
      <c r="BA42" s="210">
        <f t="shared" si="37"/>
        <v>-25.166643133497342</v>
      </c>
      <c r="BB42" s="210">
        <f t="shared" si="37"/>
        <v>35.620854143172473</v>
      </c>
      <c r="BC42" s="210">
        <f t="shared" si="37"/>
        <v>35.620854143172473</v>
      </c>
      <c r="BD42" s="210">
        <f t="shared" si="37"/>
        <v>35.620854143172473</v>
      </c>
      <c r="BE42" s="210">
        <f t="shared" si="37"/>
        <v>35.620854143172473</v>
      </c>
      <c r="BF42" s="210">
        <f t="shared" si="37"/>
        <v>35.620854143172473</v>
      </c>
      <c r="BG42" s="210">
        <f t="shared" si="37"/>
        <v>35.620854143172473</v>
      </c>
      <c r="BH42" s="210">
        <f t="shared" si="37"/>
        <v>35.620854143172473</v>
      </c>
      <c r="BI42" s="210">
        <f t="shared" si="37"/>
        <v>35.620854143172473</v>
      </c>
      <c r="BJ42" s="210">
        <f t="shared" si="37"/>
        <v>35.620854143172473</v>
      </c>
      <c r="BK42" s="210">
        <f t="shared" si="37"/>
        <v>35.620854143172473</v>
      </c>
      <c r="BL42" s="210">
        <f t="shared" si="37"/>
        <v>35.620854143172473</v>
      </c>
      <c r="BM42" s="210">
        <f t="shared" si="37"/>
        <v>35.620854143172473</v>
      </c>
      <c r="BN42" s="210">
        <f t="shared" si="37"/>
        <v>35.620854143172473</v>
      </c>
      <c r="BO42" s="210">
        <f t="shared" si="37"/>
        <v>35.620854143172473</v>
      </c>
      <c r="BP42" s="210">
        <f t="shared" si="37"/>
        <v>35.620854143172473</v>
      </c>
      <c r="BQ42" s="210">
        <f t="shared" si="37"/>
        <v>35.620854143172473</v>
      </c>
      <c r="BR42" s="210">
        <f t="shared" ref="BR42:DA42" si="38">IF(BR$22&lt;=$E$24,IF(BR$22&lt;=$D$24,IF(BR$22&lt;=$C$24,IF(BR$22&lt;=$B$24,$B108,($C25-$B25)/($C$24-$B$24)),($D25-$C25)/($D$24-$C$24)),($E25-$D25)/($E$24-$D$24)),$F108)</f>
        <v>35.620854143172473</v>
      </c>
      <c r="BS42" s="210">
        <f t="shared" si="38"/>
        <v>35.620854143172473</v>
      </c>
      <c r="BT42" s="210">
        <f t="shared" si="38"/>
        <v>35.620854143172473</v>
      </c>
      <c r="BU42" s="210">
        <f t="shared" si="38"/>
        <v>35.620854143172473</v>
      </c>
      <c r="BV42" s="210">
        <f t="shared" si="38"/>
        <v>35.620854143172473</v>
      </c>
      <c r="BW42" s="210">
        <f t="shared" si="38"/>
        <v>35.620854143172473</v>
      </c>
      <c r="BX42" s="210">
        <f t="shared" si="38"/>
        <v>35.620854143172473</v>
      </c>
      <c r="BY42" s="210">
        <f t="shared" si="38"/>
        <v>35.620854143172473</v>
      </c>
      <c r="BZ42" s="210">
        <f t="shared" si="38"/>
        <v>35.620854143172473</v>
      </c>
      <c r="CA42" s="210">
        <f t="shared" si="38"/>
        <v>45.039649088646598</v>
      </c>
      <c r="CB42" s="210">
        <f t="shared" si="38"/>
        <v>45.039649088646598</v>
      </c>
      <c r="CC42" s="210">
        <f t="shared" si="38"/>
        <v>45.039649088646598</v>
      </c>
      <c r="CD42" s="210">
        <f t="shared" si="38"/>
        <v>45.039649088646598</v>
      </c>
      <c r="CE42" s="210">
        <f t="shared" si="38"/>
        <v>45.039649088646598</v>
      </c>
      <c r="CF42" s="210">
        <f t="shared" si="38"/>
        <v>45.039649088646598</v>
      </c>
      <c r="CG42" s="210">
        <f t="shared" si="38"/>
        <v>45.039649088646598</v>
      </c>
      <c r="CH42" s="210">
        <f t="shared" si="38"/>
        <v>45.039649088646598</v>
      </c>
      <c r="CI42" s="210">
        <f t="shared" si="38"/>
        <v>45.039649088646598</v>
      </c>
      <c r="CJ42" s="210">
        <f t="shared" si="38"/>
        <v>45.039649088646598</v>
      </c>
      <c r="CK42" s="210">
        <f t="shared" si="38"/>
        <v>45.039649088646598</v>
      </c>
      <c r="CL42" s="210">
        <f t="shared" si="38"/>
        <v>45.039649088646598</v>
      </c>
      <c r="CM42" s="210">
        <f t="shared" si="38"/>
        <v>45.039649088646598</v>
      </c>
      <c r="CN42" s="210">
        <f t="shared" si="38"/>
        <v>45.039649088646598</v>
      </c>
      <c r="CO42" s="210">
        <f t="shared" si="38"/>
        <v>45.039649088646598</v>
      </c>
      <c r="CP42" s="210">
        <f t="shared" si="38"/>
        <v>45.039649088646598</v>
      </c>
      <c r="CQ42" s="210">
        <f t="shared" si="38"/>
        <v>45.039649088646598</v>
      </c>
      <c r="CR42" s="210">
        <f t="shared" si="38"/>
        <v>45.039649088646598</v>
      </c>
      <c r="CS42" s="210">
        <f t="shared" si="38"/>
        <v>45.039649088646598</v>
      </c>
      <c r="CT42" s="210">
        <f t="shared" si="38"/>
        <v>45.039649088646598</v>
      </c>
      <c r="CU42" s="210">
        <f t="shared" si="38"/>
        <v>45.039649088646598</v>
      </c>
      <c r="CV42" s="210">
        <f t="shared" si="38"/>
        <v>106.36000000000007</v>
      </c>
      <c r="CW42" s="210">
        <f t="shared" si="38"/>
        <v>106.36000000000007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1.7999188879783878</v>
      </c>
      <c r="Z43" s="210">
        <f t="shared" si="39"/>
        <v>1.7999188879783878</v>
      </c>
      <c r="AA43" s="210">
        <f t="shared" si="39"/>
        <v>1.7999188879783878</v>
      </c>
      <c r="AB43" s="210">
        <f t="shared" si="39"/>
        <v>1.7999188879783878</v>
      </c>
      <c r="AC43" s="210">
        <f t="shared" si="39"/>
        <v>1.7999188879783878</v>
      </c>
      <c r="AD43" s="210">
        <f t="shared" si="39"/>
        <v>1.7999188879783878</v>
      </c>
      <c r="AE43" s="210">
        <f t="shared" si="39"/>
        <v>1.7999188879783878</v>
      </c>
      <c r="AF43" s="210">
        <f t="shared" si="39"/>
        <v>1.7999188879783878</v>
      </c>
      <c r="AG43" s="210">
        <f t="shared" si="39"/>
        <v>1.7999188879783878</v>
      </c>
      <c r="AH43" s="210">
        <f t="shared" si="39"/>
        <v>1.7999188879783878</v>
      </c>
      <c r="AI43" s="210">
        <f t="shared" si="39"/>
        <v>1.7999188879783878</v>
      </c>
      <c r="AJ43" s="210">
        <f t="shared" si="39"/>
        <v>1.7999188879783878</v>
      </c>
      <c r="AK43" s="210">
        <f t="shared" si="39"/>
        <v>1.7999188879783878</v>
      </c>
      <c r="AL43" s="210">
        <f t="shared" ref="AL43:BQ43" si="40">IF(AL$22&lt;=$E$24,IF(AL$22&lt;=$D$24,IF(AL$22&lt;=$C$24,IF(AL$22&lt;=$B$24,$B109,($C26-$B26)/($C$24-$B$24)),($D26-$C26)/($D$24-$C$24)),($E26-$D26)/($E$24-$D$24)),$F109)</f>
        <v>1.7999188879783878</v>
      </c>
      <c r="AM43" s="210">
        <f t="shared" si="40"/>
        <v>1.7999188879783878</v>
      </c>
      <c r="AN43" s="210">
        <f t="shared" si="40"/>
        <v>1.7999188879783878</v>
      </c>
      <c r="AO43" s="210">
        <f t="shared" si="40"/>
        <v>1.7999188879783878</v>
      </c>
      <c r="AP43" s="210">
        <f t="shared" si="40"/>
        <v>1.7999188879783878</v>
      </c>
      <c r="AQ43" s="210">
        <f t="shared" si="40"/>
        <v>1.7999188879783878</v>
      </c>
      <c r="AR43" s="210">
        <f t="shared" si="40"/>
        <v>1.7999188879783878</v>
      </c>
      <c r="AS43" s="210">
        <f t="shared" si="40"/>
        <v>1.7999188879783878</v>
      </c>
      <c r="AT43" s="210">
        <f t="shared" si="40"/>
        <v>1.7999188879783878</v>
      </c>
      <c r="AU43" s="210">
        <f t="shared" si="40"/>
        <v>1.7999188879783878</v>
      </c>
      <c r="AV43" s="210">
        <f t="shared" si="40"/>
        <v>1.7999188879783878</v>
      </c>
      <c r="AW43" s="210">
        <f t="shared" si="40"/>
        <v>1.7999188879783878</v>
      </c>
      <c r="AX43" s="210">
        <f t="shared" si="40"/>
        <v>1.7999188879783878</v>
      </c>
      <c r="AY43" s="210">
        <f t="shared" si="40"/>
        <v>1.7999188879783878</v>
      </c>
      <c r="AZ43" s="210">
        <f t="shared" si="40"/>
        <v>1.7999188879783878</v>
      </c>
      <c r="BA43" s="210">
        <f t="shared" si="40"/>
        <v>1.7999188879783878</v>
      </c>
      <c r="BB43" s="210">
        <f t="shared" si="40"/>
        <v>73.911869215944535</v>
      </c>
      <c r="BC43" s="210">
        <f t="shared" si="40"/>
        <v>73.911869215944535</v>
      </c>
      <c r="BD43" s="210">
        <f t="shared" si="40"/>
        <v>73.911869215944535</v>
      </c>
      <c r="BE43" s="210">
        <f t="shared" si="40"/>
        <v>73.911869215944535</v>
      </c>
      <c r="BF43" s="210">
        <f t="shared" si="40"/>
        <v>73.911869215944535</v>
      </c>
      <c r="BG43" s="210">
        <f t="shared" si="40"/>
        <v>73.911869215944535</v>
      </c>
      <c r="BH43" s="210">
        <f t="shared" si="40"/>
        <v>73.911869215944535</v>
      </c>
      <c r="BI43" s="210">
        <f t="shared" si="40"/>
        <v>73.911869215944535</v>
      </c>
      <c r="BJ43" s="210">
        <f t="shared" si="40"/>
        <v>73.911869215944535</v>
      </c>
      <c r="BK43" s="210">
        <f t="shared" si="40"/>
        <v>73.911869215944535</v>
      </c>
      <c r="BL43" s="210">
        <f t="shared" si="40"/>
        <v>73.911869215944535</v>
      </c>
      <c r="BM43" s="210">
        <f t="shared" si="40"/>
        <v>73.911869215944535</v>
      </c>
      <c r="BN43" s="210">
        <f t="shared" si="40"/>
        <v>73.911869215944535</v>
      </c>
      <c r="BO43" s="210">
        <f t="shared" si="40"/>
        <v>73.911869215944535</v>
      </c>
      <c r="BP43" s="210">
        <f t="shared" si="40"/>
        <v>73.911869215944535</v>
      </c>
      <c r="BQ43" s="210">
        <f t="shared" si="40"/>
        <v>73.911869215944535</v>
      </c>
      <c r="BR43" s="210">
        <f t="shared" ref="BR43:DA43" si="41">IF(BR$22&lt;=$E$24,IF(BR$22&lt;=$D$24,IF(BR$22&lt;=$C$24,IF(BR$22&lt;=$B$24,$B109,($C26-$B26)/($C$24-$B$24)),($D26-$C26)/($D$24-$C$24)),($E26-$D26)/($E$24-$D$24)),$F109)</f>
        <v>73.911869215944535</v>
      </c>
      <c r="BS43" s="210">
        <f t="shared" si="41"/>
        <v>73.911869215944535</v>
      </c>
      <c r="BT43" s="210">
        <f t="shared" si="41"/>
        <v>73.911869215944535</v>
      </c>
      <c r="BU43" s="210">
        <f t="shared" si="41"/>
        <v>73.911869215944535</v>
      </c>
      <c r="BV43" s="210">
        <f t="shared" si="41"/>
        <v>73.911869215944535</v>
      </c>
      <c r="BW43" s="210">
        <f t="shared" si="41"/>
        <v>73.911869215944535</v>
      </c>
      <c r="BX43" s="210">
        <f t="shared" si="41"/>
        <v>73.911869215944535</v>
      </c>
      <c r="BY43" s="210">
        <f t="shared" si="41"/>
        <v>73.911869215944535</v>
      </c>
      <c r="BZ43" s="210">
        <f t="shared" si="41"/>
        <v>73.911869215944535</v>
      </c>
      <c r="CA43" s="210">
        <f t="shared" si="41"/>
        <v>1325.0674383778578</v>
      </c>
      <c r="CB43" s="210">
        <f t="shared" si="41"/>
        <v>1325.0674383778578</v>
      </c>
      <c r="CC43" s="210">
        <f t="shared" si="41"/>
        <v>1325.0674383778578</v>
      </c>
      <c r="CD43" s="210">
        <f t="shared" si="41"/>
        <v>1325.0674383778578</v>
      </c>
      <c r="CE43" s="210">
        <f t="shared" si="41"/>
        <v>1325.0674383778578</v>
      </c>
      <c r="CF43" s="210">
        <f t="shared" si="41"/>
        <v>1325.0674383778578</v>
      </c>
      <c r="CG43" s="210">
        <f t="shared" si="41"/>
        <v>1325.0674383778578</v>
      </c>
      <c r="CH43" s="210">
        <f t="shared" si="41"/>
        <v>1325.0674383778578</v>
      </c>
      <c r="CI43" s="210">
        <f t="shared" si="41"/>
        <v>1325.0674383778578</v>
      </c>
      <c r="CJ43" s="210">
        <f t="shared" si="41"/>
        <v>1325.0674383778578</v>
      </c>
      <c r="CK43" s="210">
        <f t="shared" si="41"/>
        <v>1325.0674383778578</v>
      </c>
      <c r="CL43" s="210">
        <f t="shared" si="41"/>
        <v>1325.0674383778578</v>
      </c>
      <c r="CM43" s="210">
        <f t="shared" si="41"/>
        <v>1325.0674383778578</v>
      </c>
      <c r="CN43" s="210">
        <f t="shared" si="41"/>
        <v>1325.0674383778578</v>
      </c>
      <c r="CO43" s="210">
        <f t="shared" si="41"/>
        <v>1325.0674383778578</v>
      </c>
      <c r="CP43" s="210">
        <f t="shared" si="41"/>
        <v>1325.0674383778578</v>
      </c>
      <c r="CQ43" s="210">
        <f t="shared" si="41"/>
        <v>1325.0674383778578</v>
      </c>
      <c r="CR43" s="210">
        <f t="shared" si="41"/>
        <v>1325.0674383778578</v>
      </c>
      <c r="CS43" s="210">
        <f t="shared" si="41"/>
        <v>1325.0674383778578</v>
      </c>
      <c r="CT43" s="210">
        <f t="shared" si="41"/>
        <v>1325.0674383778578</v>
      </c>
      <c r="CU43" s="210">
        <f t="shared" si="41"/>
        <v>1325.0674383778578</v>
      </c>
      <c r="CV43" s="210">
        <f t="shared" si="41"/>
        <v>724.86000000000013</v>
      </c>
      <c r="CW43" s="210">
        <f t="shared" si="41"/>
        <v>724.86000000000013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66.099484726442753</v>
      </c>
      <c r="Z44" s="210">
        <f t="shared" si="42"/>
        <v>66.099484726442753</v>
      </c>
      <c r="AA44" s="210">
        <f t="shared" si="42"/>
        <v>66.099484726442753</v>
      </c>
      <c r="AB44" s="210">
        <f t="shared" si="42"/>
        <v>66.099484726442753</v>
      </c>
      <c r="AC44" s="210">
        <f t="shared" si="42"/>
        <v>66.099484726442753</v>
      </c>
      <c r="AD44" s="210">
        <f t="shared" si="42"/>
        <v>66.099484726442753</v>
      </c>
      <c r="AE44" s="210">
        <f t="shared" si="42"/>
        <v>66.099484726442753</v>
      </c>
      <c r="AF44" s="210">
        <f t="shared" si="42"/>
        <v>66.099484726442753</v>
      </c>
      <c r="AG44" s="210">
        <f t="shared" si="42"/>
        <v>66.099484726442753</v>
      </c>
      <c r="AH44" s="210">
        <f t="shared" si="42"/>
        <v>66.099484726442753</v>
      </c>
      <c r="AI44" s="210">
        <f t="shared" si="42"/>
        <v>66.099484726442753</v>
      </c>
      <c r="AJ44" s="210">
        <f t="shared" si="42"/>
        <v>66.099484726442753</v>
      </c>
      <c r="AK44" s="210">
        <f t="shared" si="42"/>
        <v>66.099484726442753</v>
      </c>
      <c r="AL44" s="210">
        <f t="shared" ref="AL44:BQ44" si="43">IF(AL$22&lt;=$E$24,IF(AL$22&lt;=$D$24,IF(AL$22&lt;=$C$24,IF(AL$22&lt;=$B$24,$B110,($C27-$B27)/($C$24-$B$24)),($D27-$C27)/($D$24-$C$24)),($E27-$D27)/($E$24-$D$24)),$F110)</f>
        <v>66.099484726442753</v>
      </c>
      <c r="AM44" s="210">
        <f t="shared" si="43"/>
        <v>66.099484726442753</v>
      </c>
      <c r="AN44" s="210">
        <f t="shared" si="43"/>
        <v>66.099484726442753</v>
      </c>
      <c r="AO44" s="210">
        <f t="shared" si="43"/>
        <v>66.099484726442753</v>
      </c>
      <c r="AP44" s="210">
        <f t="shared" si="43"/>
        <v>66.099484726442753</v>
      </c>
      <c r="AQ44" s="210">
        <f t="shared" si="43"/>
        <v>66.099484726442753</v>
      </c>
      <c r="AR44" s="210">
        <f t="shared" si="43"/>
        <v>66.099484726442753</v>
      </c>
      <c r="AS44" s="210">
        <f t="shared" si="43"/>
        <v>66.099484726442753</v>
      </c>
      <c r="AT44" s="210">
        <f t="shared" si="43"/>
        <v>66.099484726442753</v>
      </c>
      <c r="AU44" s="210">
        <f t="shared" si="43"/>
        <v>66.099484726442753</v>
      </c>
      <c r="AV44" s="210">
        <f t="shared" si="43"/>
        <v>66.099484726442753</v>
      </c>
      <c r="AW44" s="210">
        <f t="shared" si="43"/>
        <v>66.099484726442753</v>
      </c>
      <c r="AX44" s="210">
        <f t="shared" si="43"/>
        <v>66.099484726442753</v>
      </c>
      <c r="AY44" s="210">
        <f t="shared" si="43"/>
        <v>66.099484726442753</v>
      </c>
      <c r="AZ44" s="210">
        <f t="shared" si="43"/>
        <v>66.099484726442753</v>
      </c>
      <c r="BA44" s="210">
        <f t="shared" si="43"/>
        <v>66.099484726442753</v>
      </c>
      <c r="BB44" s="210">
        <f t="shared" si="43"/>
        <v>27.573291377170062</v>
      </c>
      <c r="BC44" s="210">
        <f t="shared" si="43"/>
        <v>27.573291377170062</v>
      </c>
      <c r="BD44" s="210">
        <f t="shared" si="43"/>
        <v>27.573291377170062</v>
      </c>
      <c r="BE44" s="210">
        <f t="shared" si="43"/>
        <v>27.573291377170062</v>
      </c>
      <c r="BF44" s="210">
        <f t="shared" si="43"/>
        <v>27.573291377170062</v>
      </c>
      <c r="BG44" s="210">
        <f t="shared" si="43"/>
        <v>27.573291377170062</v>
      </c>
      <c r="BH44" s="210">
        <f t="shared" si="43"/>
        <v>27.573291377170062</v>
      </c>
      <c r="BI44" s="210">
        <f t="shared" si="43"/>
        <v>27.573291377170062</v>
      </c>
      <c r="BJ44" s="210">
        <f t="shared" si="43"/>
        <v>27.573291377170062</v>
      </c>
      <c r="BK44" s="210">
        <f t="shared" si="43"/>
        <v>27.573291377170062</v>
      </c>
      <c r="BL44" s="210">
        <f t="shared" si="43"/>
        <v>27.573291377170062</v>
      </c>
      <c r="BM44" s="210">
        <f t="shared" si="43"/>
        <v>27.573291377170062</v>
      </c>
      <c r="BN44" s="210">
        <f t="shared" si="43"/>
        <v>27.573291377170062</v>
      </c>
      <c r="BO44" s="210">
        <f t="shared" si="43"/>
        <v>27.573291377170062</v>
      </c>
      <c r="BP44" s="210">
        <f t="shared" si="43"/>
        <v>27.573291377170062</v>
      </c>
      <c r="BQ44" s="210">
        <f t="shared" si="43"/>
        <v>27.573291377170062</v>
      </c>
      <c r="BR44" s="210">
        <f t="shared" ref="BR44:DA44" si="44">IF(BR$22&lt;=$E$24,IF(BR$22&lt;=$D$24,IF(BR$22&lt;=$C$24,IF(BR$22&lt;=$B$24,$B110,($C27-$B27)/($C$24-$B$24)),($D27-$C27)/($D$24-$C$24)),($E27-$D27)/($E$24-$D$24)),$F110)</f>
        <v>27.573291377170062</v>
      </c>
      <c r="BS44" s="210">
        <f t="shared" si="44"/>
        <v>27.573291377170062</v>
      </c>
      <c r="BT44" s="210">
        <f t="shared" si="44"/>
        <v>27.573291377170062</v>
      </c>
      <c r="BU44" s="210">
        <f t="shared" si="44"/>
        <v>27.573291377170062</v>
      </c>
      <c r="BV44" s="210">
        <f t="shared" si="44"/>
        <v>27.573291377170062</v>
      </c>
      <c r="BW44" s="210">
        <f t="shared" si="44"/>
        <v>27.573291377170062</v>
      </c>
      <c r="BX44" s="210">
        <f t="shared" si="44"/>
        <v>27.573291377170062</v>
      </c>
      <c r="BY44" s="210">
        <f t="shared" si="44"/>
        <v>27.573291377170062</v>
      </c>
      <c r="BZ44" s="210">
        <f t="shared" si="44"/>
        <v>27.573291377170062</v>
      </c>
      <c r="CA44" s="210">
        <f t="shared" si="44"/>
        <v>-8.429795063504482</v>
      </c>
      <c r="CB44" s="210">
        <f t="shared" si="44"/>
        <v>-8.429795063504482</v>
      </c>
      <c r="CC44" s="210">
        <f t="shared" si="44"/>
        <v>-8.429795063504482</v>
      </c>
      <c r="CD44" s="210">
        <f t="shared" si="44"/>
        <v>-8.429795063504482</v>
      </c>
      <c r="CE44" s="210">
        <f t="shared" si="44"/>
        <v>-8.429795063504482</v>
      </c>
      <c r="CF44" s="210">
        <f t="shared" si="44"/>
        <v>-8.429795063504482</v>
      </c>
      <c r="CG44" s="210">
        <f t="shared" si="44"/>
        <v>-8.429795063504482</v>
      </c>
      <c r="CH44" s="210">
        <f t="shared" si="44"/>
        <v>-8.429795063504482</v>
      </c>
      <c r="CI44" s="210">
        <f t="shared" si="44"/>
        <v>-8.429795063504482</v>
      </c>
      <c r="CJ44" s="210">
        <f t="shared" si="44"/>
        <v>-8.429795063504482</v>
      </c>
      <c r="CK44" s="210">
        <f t="shared" si="44"/>
        <v>-8.429795063504482</v>
      </c>
      <c r="CL44" s="210">
        <f t="shared" si="44"/>
        <v>-8.429795063504482</v>
      </c>
      <c r="CM44" s="210">
        <f t="shared" si="44"/>
        <v>-8.429795063504482</v>
      </c>
      <c r="CN44" s="210">
        <f t="shared" si="44"/>
        <v>-8.429795063504482</v>
      </c>
      <c r="CO44" s="210">
        <f t="shared" si="44"/>
        <v>-8.429795063504482</v>
      </c>
      <c r="CP44" s="210">
        <f t="shared" si="44"/>
        <v>-8.429795063504482</v>
      </c>
      <c r="CQ44" s="210">
        <f t="shared" si="44"/>
        <v>-8.429795063504482</v>
      </c>
      <c r="CR44" s="210">
        <f t="shared" si="44"/>
        <v>-8.429795063504482</v>
      </c>
      <c r="CS44" s="210">
        <f t="shared" si="44"/>
        <v>-8.429795063504482</v>
      </c>
      <c r="CT44" s="210">
        <f t="shared" si="44"/>
        <v>-8.429795063504482</v>
      </c>
      <c r="CU44" s="210">
        <f t="shared" si="44"/>
        <v>-8.429795063504482</v>
      </c>
      <c r="CV44" s="210">
        <f t="shared" si="44"/>
        <v>8.4310000000000009</v>
      </c>
      <c r="CW44" s="210">
        <f t="shared" si="44"/>
        <v>8.4310000000000009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0.51426253942239653</v>
      </c>
      <c r="Z45" s="210">
        <f t="shared" si="45"/>
        <v>0.51426253942239653</v>
      </c>
      <c r="AA45" s="210">
        <f t="shared" si="45"/>
        <v>0.51426253942239653</v>
      </c>
      <c r="AB45" s="210">
        <f t="shared" si="45"/>
        <v>0.51426253942239653</v>
      </c>
      <c r="AC45" s="210">
        <f t="shared" si="45"/>
        <v>0.51426253942239653</v>
      </c>
      <c r="AD45" s="210">
        <f t="shared" si="45"/>
        <v>0.51426253942239653</v>
      </c>
      <c r="AE45" s="210">
        <f t="shared" si="45"/>
        <v>0.51426253942239653</v>
      </c>
      <c r="AF45" s="210">
        <f t="shared" si="45"/>
        <v>0.51426253942239653</v>
      </c>
      <c r="AG45" s="210">
        <f t="shared" si="45"/>
        <v>0.51426253942239653</v>
      </c>
      <c r="AH45" s="210">
        <f t="shared" si="45"/>
        <v>0.51426253942239653</v>
      </c>
      <c r="AI45" s="210">
        <f t="shared" si="45"/>
        <v>0.51426253942239653</v>
      </c>
      <c r="AJ45" s="210">
        <f t="shared" si="45"/>
        <v>0.51426253942239653</v>
      </c>
      <c r="AK45" s="210">
        <f t="shared" si="45"/>
        <v>0.51426253942239653</v>
      </c>
      <c r="AL45" s="210">
        <f t="shared" ref="AL45:BQ45" si="46">IF(AL$22&lt;=$E$24,IF(AL$22&lt;=$D$24,IF(AL$22&lt;=$C$24,IF(AL$22&lt;=$B$24,$B111,($C28-$B28)/($C$24-$B$24)),($D28-$C28)/($D$24-$C$24)),($E28-$D28)/($E$24-$D$24)),$F111)</f>
        <v>0.51426253942239653</v>
      </c>
      <c r="AM45" s="210">
        <f t="shared" si="46"/>
        <v>0.51426253942239653</v>
      </c>
      <c r="AN45" s="210">
        <f t="shared" si="46"/>
        <v>0.51426253942239653</v>
      </c>
      <c r="AO45" s="210">
        <f t="shared" si="46"/>
        <v>0.51426253942239653</v>
      </c>
      <c r="AP45" s="210">
        <f t="shared" si="46"/>
        <v>0.51426253942239653</v>
      </c>
      <c r="AQ45" s="210">
        <f t="shared" si="46"/>
        <v>0.51426253942239653</v>
      </c>
      <c r="AR45" s="210">
        <f t="shared" si="46"/>
        <v>0.51426253942239653</v>
      </c>
      <c r="AS45" s="210">
        <f t="shared" si="46"/>
        <v>0.51426253942239653</v>
      </c>
      <c r="AT45" s="210">
        <f t="shared" si="46"/>
        <v>0.51426253942239653</v>
      </c>
      <c r="AU45" s="210">
        <f t="shared" si="46"/>
        <v>0.51426253942239653</v>
      </c>
      <c r="AV45" s="210">
        <f t="shared" si="46"/>
        <v>0.51426253942239653</v>
      </c>
      <c r="AW45" s="210">
        <f t="shared" si="46"/>
        <v>0.51426253942239653</v>
      </c>
      <c r="AX45" s="210">
        <f t="shared" si="46"/>
        <v>0.51426253942239653</v>
      </c>
      <c r="AY45" s="210">
        <f t="shared" si="46"/>
        <v>0.51426253942239653</v>
      </c>
      <c r="AZ45" s="210">
        <f t="shared" si="46"/>
        <v>0.51426253942239653</v>
      </c>
      <c r="BA45" s="210">
        <f t="shared" si="46"/>
        <v>0.51426253942239653</v>
      </c>
      <c r="BB45" s="210">
        <f t="shared" si="46"/>
        <v>2.1239042878144985</v>
      </c>
      <c r="BC45" s="210">
        <f t="shared" si="46"/>
        <v>2.1239042878144985</v>
      </c>
      <c r="BD45" s="210">
        <f t="shared" si="46"/>
        <v>2.1239042878144985</v>
      </c>
      <c r="BE45" s="210">
        <f t="shared" si="46"/>
        <v>2.1239042878144985</v>
      </c>
      <c r="BF45" s="210">
        <f t="shared" si="46"/>
        <v>2.1239042878144985</v>
      </c>
      <c r="BG45" s="210">
        <f t="shared" si="46"/>
        <v>2.1239042878144985</v>
      </c>
      <c r="BH45" s="210">
        <f t="shared" si="46"/>
        <v>2.1239042878144985</v>
      </c>
      <c r="BI45" s="210">
        <f t="shared" si="46"/>
        <v>2.1239042878144985</v>
      </c>
      <c r="BJ45" s="210">
        <f t="shared" si="46"/>
        <v>2.1239042878144985</v>
      </c>
      <c r="BK45" s="210">
        <f t="shared" si="46"/>
        <v>2.1239042878144985</v>
      </c>
      <c r="BL45" s="210">
        <f t="shared" si="46"/>
        <v>2.1239042878144985</v>
      </c>
      <c r="BM45" s="210">
        <f t="shared" si="46"/>
        <v>2.1239042878144985</v>
      </c>
      <c r="BN45" s="210">
        <f t="shared" si="46"/>
        <v>2.1239042878144985</v>
      </c>
      <c r="BO45" s="210">
        <f t="shared" si="46"/>
        <v>2.1239042878144985</v>
      </c>
      <c r="BP45" s="210">
        <f t="shared" si="46"/>
        <v>2.1239042878144985</v>
      </c>
      <c r="BQ45" s="210">
        <f t="shared" si="46"/>
        <v>2.1239042878144985</v>
      </c>
      <c r="BR45" s="210">
        <f t="shared" ref="BR45:DA45" si="47">IF(BR$22&lt;=$E$24,IF(BR$22&lt;=$D$24,IF(BR$22&lt;=$C$24,IF(BR$22&lt;=$B$24,$B111,($C28-$B28)/($C$24-$B$24)),($D28-$C28)/($D$24-$C$24)),($E28-$D28)/($E$24-$D$24)),$F111)</f>
        <v>2.1239042878144985</v>
      </c>
      <c r="BS45" s="210">
        <f t="shared" si="47"/>
        <v>2.1239042878144985</v>
      </c>
      <c r="BT45" s="210">
        <f t="shared" si="47"/>
        <v>2.1239042878144985</v>
      </c>
      <c r="BU45" s="210">
        <f t="shared" si="47"/>
        <v>2.1239042878144985</v>
      </c>
      <c r="BV45" s="210">
        <f t="shared" si="47"/>
        <v>2.1239042878144985</v>
      </c>
      <c r="BW45" s="210">
        <f t="shared" si="47"/>
        <v>2.1239042878144985</v>
      </c>
      <c r="BX45" s="210">
        <f t="shared" si="47"/>
        <v>2.1239042878144985</v>
      </c>
      <c r="BY45" s="210">
        <f t="shared" si="47"/>
        <v>2.1239042878144985</v>
      </c>
      <c r="BZ45" s="210">
        <f t="shared" si="47"/>
        <v>2.1239042878144985</v>
      </c>
      <c r="CA45" s="210">
        <f t="shared" si="47"/>
        <v>2.6826317224137828</v>
      </c>
      <c r="CB45" s="210">
        <f t="shared" si="47"/>
        <v>2.6826317224137828</v>
      </c>
      <c r="CC45" s="210">
        <f t="shared" si="47"/>
        <v>2.6826317224137828</v>
      </c>
      <c r="CD45" s="210">
        <f t="shared" si="47"/>
        <v>2.6826317224137828</v>
      </c>
      <c r="CE45" s="210">
        <f t="shared" si="47"/>
        <v>2.6826317224137828</v>
      </c>
      <c r="CF45" s="210">
        <f t="shared" si="47"/>
        <v>2.6826317224137828</v>
      </c>
      <c r="CG45" s="210">
        <f t="shared" si="47"/>
        <v>2.6826317224137828</v>
      </c>
      <c r="CH45" s="210">
        <f t="shared" si="47"/>
        <v>2.6826317224137828</v>
      </c>
      <c r="CI45" s="210">
        <f t="shared" si="47"/>
        <v>2.6826317224137828</v>
      </c>
      <c r="CJ45" s="210">
        <f t="shared" si="47"/>
        <v>2.6826317224137828</v>
      </c>
      <c r="CK45" s="210">
        <f t="shared" si="47"/>
        <v>2.6826317224137828</v>
      </c>
      <c r="CL45" s="210">
        <f t="shared" si="47"/>
        <v>2.6826317224137828</v>
      </c>
      <c r="CM45" s="210">
        <f t="shared" si="47"/>
        <v>2.6826317224137828</v>
      </c>
      <c r="CN45" s="210">
        <f t="shared" si="47"/>
        <v>2.6826317224137828</v>
      </c>
      <c r="CO45" s="210">
        <f t="shared" si="47"/>
        <v>2.6826317224137828</v>
      </c>
      <c r="CP45" s="210">
        <f t="shared" si="47"/>
        <v>2.6826317224137828</v>
      </c>
      <c r="CQ45" s="210">
        <f t="shared" si="47"/>
        <v>2.6826317224137828</v>
      </c>
      <c r="CR45" s="210">
        <f t="shared" si="47"/>
        <v>2.6826317224137828</v>
      </c>
      <c r="CS45" s="210">
        <f t="shared" si="47"/>
        <v>2.6826317224137828</v>
      </c>
      <c r="CT45" s="210">
        <f t="shared" si="47"/>
        <v>2.6826317224137828</v>
      </c>
      <c r="CU45" s="210">
        <f t="shared" si="47"/>
        <v>2.6826317224137828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102.85250788447931</v>
      </c>
      <c r="Z46" s="210">
        <f t="shared" si="48"/>
        <v>102.85250788447931</v>
      </c>
      <c r="AA46" s="210">
        <f t="shared" si="48"/>
        <v>102.85250788447931</v>
      </c>
      <c r="AB46" s="210">
        <f t="shared" si="48"/>
        <v>102.85250788447931</v>
      </c>
      <c r="AC46" s="210">
        <f t="shared" si="48"/>
        <v>102.85250788447931</v>
      </c>
      <c r="AD46" s="210">
        <f t="shared" si="48"/>
        <v>102.85250788447931</v>
      </c>
      <c r="AE46" s="210">
        <f t="shared" si="48"/>
        <v>102.85250788447931</v>
      </c>
      <c r="AF46" s="210">
        <f t="shared" si="48"/>
        <v>102.85250788447931</v>
      </c>
      <c r="AG46" s="210">
        <f t="shared" si="48"/>
        <v>102.85250788447931</v>
      </c>
      <c r="AH46" s="210">
        <f t="shared" si="48"/>
        <v>102.85250788447931</v>
      </c>
      <c r="AI46" s="210">
        <f t="shared" si="48"/>
        <v>102.85250788447931</v>
      </c>
      <c r="AJ46" s="210">
        <f t="shared" si="48"/>
        <v>102.85250788447931</v>
      </c>
      <c r="AK46" s="210">
        <f t="shared" si="48"/>
        <v>102.85250788447931</v>
      </c>
      <c r="AL46" s="210">
        <f t="shared" ref="AL46:BQ46" si="49">IF(AL$22&lt;=$E$24,IF(AL$22&lt;=$D$24,IF(AL$22&lt;=$C$24,IF(AL$22&lt;=$B$24,$B112,($C29-$B29)/($C$24-$B$24)),($D29-$C29)/($D$24-$C$24)),($E29-$D29)/($E$24-$D$24)),$F112)</f>
        <v>102.85250788447931</v>
      </c>
      <c r="AM46" s="210">
        <f t="shared" si="49"/>
        <v>102.85250788447931</v>
      </c>
      <c r="AN46" s="210">
        <f t="shared" si="49"/>
        <v>102.85250788447931</v>
      </c>
      <c r="AO46" s="210">
        <f t="shared" si="49"/>
        <v>102.85250788447931</v>
      </c>
      <c r="AP46" s="210">
        <f t="shared" si="49"/>
        <v>102.85250788447931</v>
      </c>
      <c r="AQ46" s="210">
        <f t="shared" si="49"/>
        <v>102.85250788447931</v>
      </c>
      <c r="AR46" s="210">
        <f t="shared" si="49"/>
        <v>102.85250788447931</v>
      </c>
      <c r="AS46" s="210">
        <f t="shared" si="49"/>
        <v>102.85250788447931</v>
      </c>
      <c r="AT46" s="210">
        <f t="shared" si="49"/>
        <v>102.85250788447931</v>
      </c>
      <c r="AU46" s="210">
        <f t="shared" si="49"/>
        <v>102.85250788447931</v>
      </c>
      <c r="AV46" s="210">
        <f t="shared" si="49"/>
        <v>102.85250788447931</v>
      </c>
      <c r="AW46" s="210">
        <f t="shared" si="49"/>
        <v>102.85250788447931</v>
      </c>
      <c r="AX46" s="210">
        <f t="shared" si="49"/>
        <v>102.85250788447931</v>
      </c>
      <c r="AY46" s="210">
        <f t="shared" si="49"/>
        <v>102.85250788447931</v>
      </c>
      <c r="AZ46" s="210">
        <f t="shared" si="49"/>
        <v>102.85250788447931</v>
      </c>
      <c r="BA46" s="210">
        <f t="shared" si="49"/>
        <v>102.85250788447931</v>
      </c>
      <c r="BB46" s="210">
        <f t="shared" si="49"/>
        <v>288.24415334625331</v>
      </c>
      <c r="BC46" s="210">
        <f t="shared" si="49"/>
        <v>288.24415334625331</v>
      </c>
      <c r="BD46" s="210">
        <f t="shared" si="49"/>
        <v>288.24415334625331</v>
      </c>
      <c r="BE46" s="210">
        <f t="shared" si="49"/>
        <v>288.24415334625331</v>
      </c>
      <c r="BF46" s="210">
        <f t="shared" si="49"/>
        <v>288.24415334625331</v>
      </c>
      <c r="BG46" s="210">
        <f t="shared" si="49"/>
        <v>288.24415334625331</v>
      </c>
      <c r="BH46" s="210">
        <f t="shared" si="49"/>
        <v>288.24415334625331</v>
      </c>
      <c r="BI46" s="210">
        <f t="shared" si="49"/>
        <v>288.24415334625331</v>
      </c>
      <c r="BJ46" s="210">
        <f t="shared" si="49"/>
        <v>288.24415334625331</v>
      </c>
      <c r="BK46" s="210">
        <f t="shared" si="49"/>
        <v>288.24415334625331</v>
      </c>
      <c r="BL46" s="210">
        <f t="shared" si="49"/>
        <v>288.24415334625331</v>
      </c>
      <c r="BM46" s="210">
        <f t="shared" si="49"/>
        <v>288.24415334625331</v>
      </c>
      <c r="BN46" s="210">
        <f t="shared" si="49"/>
        <v>288.24415334625331</v>
      </c>
      <c r="BO46" s="210">
        <f t="shared" si="49"/>
        <v>288.24415334625331</v>
      </c>
      <c r="BP46" s="210">
        <f t="shared" si="49"/>
        <v>288.24415334625331</v>
      </c>
      <c r="BQ46" s="210">
        <f t="shared" si="49"/>
        <v>288.24415334625331</v>
      </c>
      <c r="BR46" s="210">
        <f t="shared" ref="BR46:DA46" si="50">IF(BR$22&lt;=$E$24,IF(BR$22&lt;=$D$24,IF(BR$22&lt;=$C$24,IF(BR$22&lt;=$B$24,$B112,($C29-$B29)/($C$24-$B$24)),($D29-$C29)/($D$24-$C$24)),($E29-$D29)/($E$24-$D$24)),$F112)</f>
        <v>288.24415334625331</v>
      </c>
      <c r="BS46" s="210">
        <f t="shared" si="50"/>
        <v>288.24415334625331</v>
      </c>
      <c r="BT46" s="210">
        <f t="shared" si="50"/>
        <v>288.24415334625331</v>
      </c>
      <c r="BU46" s="210">
        <f t="shared" si="50"/>
        <v>288.24415334625331</v>
      </c>
      <c r="BV46" s="210">
        <f t="shared" si="50"/>
        <v>288.24415334625331</v>
      </c>
      <c r="BW46" s="210">
        <f t="shared" si="50"/>
        <v>288.24415334625331</v>
      </c>
      <c r="BX46" s="210">
        <f t="shared" si="50"/>
        <v>288.24415334625331</v>
      </c>
      <c r="BY46" s="210">
        <f t="shared" si="50"/>
        <v>288.24415334625331</v>
      </c>
      <c r="BZ46" s="210">
        <f t="shared" si="50"/>
        <v>288.24415334625331</v>
      </c>
      <c r="CA46" s="210">
        <f t="shared" si="50"/>
        <v>2044.3503815636061</v>
      </c>
      <c r="CB46" s="210">
        <f t="shared" si="50"/>
        <v>2044.3503815636061</v>
      </c>
      <c r="CC46" s="210">
        <f t="shared" si="50"/>
        <v>2044.3503815636061</v>
      </c>
      <c r="CD46" s="210">
        <f t="shared" si="50"/>
        <v>2044.3503815636061</v>
      </c>
      <c r="CE46" s="210">
        <f t="shared" si="50"/>
        <v>2044.3503815636061</v>
      </c>
      <c r="CF46" s="210">
        <f t="shared" si="50"/>
        <v>2044.3503815636061</v>
      </c>
      <c r="CG46" s="210">
        <f t="shared" si="50"/>
        <v>2044.3503815636061</v>
      </c>
      <c r="CH46" s="210">
        <f t="shared" si="50"/>
        <v>2044.3503815636061</v>
      </c>
      <c r="CI46" s="210">
        <f t="shared" si="50"/>
        <v>2044.3503815636061</v>
      </c>
      <c r="CJ46" s="210">
        <f t="shared" si="50"/>
        <v>2044.3503815636061</v>
      </c>
      <c r="CK46" s="210">
        <f t="shared" si="50"/>
        <v>2044.3503815636061</v>
      </c>
      <c r="CL46" s="210">
        <f t="shared" si="50"/>
        <v>2044.3503815636061</v>
      </c>
      <c r="CM46" s="210">
        <f t="shared" si="50"/>
        <v>2044.3503815636061</v>
      </c>
      <c r="CN46" s="210">
        <f t="shared" si="50"/>
        <v>2044.3503815636061</v>
      </c>
      <c r="CO46" s="210">
        <f t="shared" si="50"/>
        <v>2044.3503815636061</v>
      </c>
      <c r="CP46" s="210">
        <f t="shared" si="50"/>
        <v>2044.3503815636061</v>
      </c>
      <c r="CQ46" s="210">
        <f t="shared" si="50"/>
        <v>2044.3503815636061</v>
      </c>
      <c r="CR46" s="210">
        <f t="shared" si="50"/>
        <v>2044.3503815636061</v>
      </c>
      <c r="CS46" s="210">
        <f t="shared" si="50"/>
        <v>2044.3503815636061</v>
      </c>
      <c r="CT46" s="210">
        <f t="shared" si="50"/>
        <v>2044.3503815636061</v>
      </c>
      <c r="CU46" s="210">
        <f t="shared" si="50"/>
        <v>2044.3503815636061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14.88436789704547</v>
      </c>
      <c r="Z47" s="210">
        <f t="shared" si="51"/>
        <v>14.88436789704547</v>
      </c>
      <c r="AA47" s="210">
        <f t="shared" si="51"/>
        <v>14.88436789704547</v>
      </c>
      <c r="AB47" s="210">
        <f t="shared" si="51"/>
        <v>14.88436789704547</v>
      </c>
      <c r="AC47" s="210">
        <f t="shared" si="51"/>
        <v>14.88436789704547</v>
      </c>
      <c r="AD47" s="210">
        <f t="shared" si="51"/>
        <v>14.88436789704547</v>
      </c>
      <c r="AE47" s="210">
        <f t="shared" si="51"/>
        <v>14.88436789704547</v>
      </c>
      <c r="AF47" s="210">
        <f t="shared" si="51"/>
        <v>14.88436789704547</v>
      </c>
      <c r="AG47" s="210">
        <f t="shared" si="51"/>
        <v>14.88436789704547</v>
      </c>
      <c r="AH47" s="210">
        <f t="shared" si="51"/>
        <v>14.88436789704547</v>
      </c>
      <c r="AI47" s="210">
        <f t="shared" si="51"/>
        <v>14.88436789704547</v>
      </c>
      <c r="AJ47" s="210">
        <f t="shared" si="51"/>
        <v>14.88436789704547</v>
      </c>
      <c r="AK47" s="210">
        <f t="shared" si="51"/>
        <v>14.88436789704547</v>
      </c>
      <c r="AL47" s="210">
        <f t="shared" ref="AL47:BQ47" si="52">IF(AL$22&lt;=$E$24,IF(AL$22&lt;=$D$24,IF(AL$22&lt;=$C$24,IF(AL$22&lt;=$B$24,$B113,($C30-$B30)/($C$24-$B$24)),($D30-$C30)/($D$24-$C$24)),($E30-$D30)/($E$24-$D$24)),$F113)</f>
        <v>14.88436789704547</v>
      </c>
      <c r="AM47" s="210">
        <f t="shared" si="52"/>
        <v>14.88436789704547</v>
      </c>
      <c r="AN47" s="210">
        <f t="shared" si="52"/>
        <v>14.88436789704547</v>
      </c>
      <c r="AO47" s="210">
        <f t="shared" si="52"/>
        <v>14.88436789704547</v>
      </c>
      <c r="AP47" s="210">
        <f t="shared" si="52"/>
        <v>14.88436789704547</v>
      </c>
      <c r="AQ47" s="210">
        <f t="shared" si="52"/>
        <v>14.88436789704547</v>
      </c>
      <c r="AR47" s="210">
        <f t="shared" si="52"/>
        <v>14.88436789704547</v>
      </c>
      <c r="AS47" s="210">
        <f t="shared" si="52"/>
        <v>14.88436789704547</v>
      </c>
      <c r="AT47" s="210">
        <f t="shared" si="52"/>
        <v>14.88436789704547</v>
      </c>
      <c r="AU47" s="210">
        <f t="shared" si="52"/>
        <v>14.88436789704547</v>
      </c>
      <c r="AV47" s="210">
        <f t="shared" si="52"/>
        <v>14.88436789704547</v>
      </c>
      <c r="AW47" s="210">
        <f t="shared" si="52"/>
        <v>14.88436789704547</v>
      </c>
      <c r="AX47" s="210">
        <f t="shared" si="52"/>
        <v>14.88436789704547</v>
      </c>
      <c r="AY47" s="210">
        <f t="shared" si="52"/>
        <v>14.88436789704547</v>
      </c>
      <c r="AZ47" s="210">
        <f t="shared" si="52"/>
        <v>14.88436789704547</v>
      </c>
      <c r="BA47" s="210">
        <f t="shared" si="52"/>
        <v>14.88436789704547</v>
      </c>
      <c r="BB47" s="210">
        <f t="shared" si="52"/>
        <v>-3.7871341531745113</v>
      </c>
      <c r="BC47" s="210">
        <f t="shared" si="52"/>
        <v>-3.7871341531745113</v>
      </c>
      <c r="BD47" s="210">
        <f t="shared" si="52"/>
        <v>-3.7871341531745113</v>
      </c>
      <c r="BE47" s="210">
        <f t="shared" si="52"/>
        <v>-3.7871341531745113</v>
      </c>
      <c r="BF47" s="210">
        <f t="shared" si="52"/>
        <v>-3.7871341531745113</v>
      </c>
      <c r="BG47" s="210">
        <f t="shared" si="52"/>
        <v>-3.7871341531745113</v>
      </c>
      <c r="BH47" s="210">
        <f t="shared" si="52"/>
        <v>-3.7871341531745113</v>
      </c>
      <c r="BI47" s="210">
        <f t="shared" si="52"/>
        <v>-3.7871341531745113</v>
      </c>
      <c r="BJ47" s="210">
        <f t="shared" si="52"/>
        <v>-3.7871341531745113</v>
      </c>
      <c r="BK47" s="210">
        <f t="shared" si="52"/>
        <v>-3.7871341531745113</v>
      </c>
      <c r="BL47" s="210">
        <f t="shared" si="52"/>
        <v>-3.7871341531745113</v>
      </c>
      <c r="BM47" s="210">
        <f t="shared" si="52"/>
        <v>-3.7871341531745113</v>
      </c>
      <c r="BN47" s="210">
        <f t="shared" si="52"/>
        <v>-3.7871341531745113</v>
      </c>
      <c r="BO47" s="210">
        <f t="shared" si="52"/>
        <v>-3.7871341531745113</v>
      </c>
      <c r="BP47" s="210">
        <f t="shared" si="52"/>
        <v>-3.7871341531745113</v>
      </c>
      <c r="BQ47" s="210">
        <f t="shared" si="52"/>
        <v>-3.7871341531745113</v>
      </c>
      <c r="BR47" s="210">
        <f t="shared" ref="BR47:DA47" si="53">IF(BR$22&lt;=$E$24,IF(BR$22&lt;=$D$24,IF(BR$22&lt;=$C$24,IF(BR$22&lt;=$B$24,$B113,($C30-$B30)/($C$24-$B$24)),($D30-$C30)/($D$24-$C$24)),($E30-$D30)/($E$24-$D$24)),$F113)</f>
        <v>-3.7871341531745113</v>
      </c>
      <c r="BS47" s="210">
        <f t="shared" si="53"/>
        <v>-3.7871341531745113</v>
      </c>
      <c r="BT47" s="210">
        <f t="shared" si="53"/>
        <v>-3.7871341531745113</v>
      </c>
      <c r="BU47" s="210">
        <f t="shared" si="53"/>
        <v>-3.7871341531745113</v>
      </c>
      <c r="BV47" s="210">
        <f t="shared" si="53"/>
        <v>-3.7871341531745113</v>
      </c>
      <c r="BW47" s="210">
        <f t="shared" si="53"/>
        <v>-3.7871341531745113</v>
      </c>
      <c r="BX47" s="210">
        <f t="shared" si="53"/>
        <v>-3.7871341531745113</v>
      </c>
      <c r="BY47" s="210">
        <f t="shared" si="53"/>
        <v>-3.7871341531745113</v>
      </c>
      <c r="BZ47" s="210">
        <f t="shared" si="53"/>
        <v>-3.7871341531745113</v>
      </c>
      <c r="CA47" s="210">
        <f t="shared" si="53"/>
        <v>-16.800512152852619</v>
      </c>
      <c r="CB47" s="210">
        <f t="shared" si="53"/>
        <v>-16.800512152852619</v>
      </c>
      <c r="CC47" s="210">
        <f t="shared" si="53"/>
        <v>-16.800512152852619</v>
      </c>
      <c r="CD47" s="210">
        <f t="shared" si="53"/>
        <v>-16.800512152852619</v>
      </c>
      <c r="CE47" s="210">
        <f t="shared" si="53"/>
        <v>-16.800512152852619</v>
      </c>
      <c r="CF47" s="210">
        <f t="shared" si="53"/>
        <v>-16.800512152852619</v>
      </c>
      <c r="CG47" s="210">
        <f t="shared" si="53"/>
        <v>-16.800512152852619</v>
      </c>
      <c r="CH47" s="210">
        <f t="shared" si="53"/>
        <v>-16.800512152852619</v>
      </c>
      <c r="CI47" s="210">
        <f t="shared" si="53"/>
        <v>-16.800512152852619</v>
      </c>
      <c r="CJ47" s="210">
        <f t="shared" si="53"/>
        <v>-16.800512152852619</v>
      </c>
      <c r="CK47" s="210">
        <f t="shared" si="53"/>
        <v>-16.800512152852619</v>
      </c>
      <c r="CL47" s="210">
        <f t="shared" si="53"/>
        <v>-16.800512152852619</v>
      </c>
      <c r="CM47" s="210">
        <f t="shared" si="53"/>
        <v>-16.800512152852619</v>
      </c>
      <c r="CN47" s="210">
        <f t="shared" si="53"/>
        <v>-16.800512152852619</v>
      </c>
      <c r="CO47" s="210">
        <f t="shared" si="53"/>
        <v>-16.800512152852619</v>
      </c>
      <c r="CP47" s="210">
        <f t="shared" si="53"/>
        <v>-16.800512152852619</v>
      </c>
      <c r="CQ47" s="210">
        <f t="shared" si="53"/>
        <v>-16.800512152852619</v>
      </c>
      <c r="CR47" s="210">
        <f t="shared" si="53"/>
        <v>-16.800512152852619</v>
      </c>
      <c r="CS47" s="210">
        <f t="shared" si="53"/>
        <v>-16.800512152852619</v>
      </c>
      <c r="CT47" s="210">
        <f t="shared" si="53"/>
        <v>-16.800512152852619</v>
      </c>
      <c r="CU47" s="210">
        <f t="shared" si="53"/>
        <v>-16.800512152852619</v>
      </c>
      <c r="CV47" s="210">
        <f t="shared" si="53"/>
        <v>52.189999999999884</v>
      </c>
      <c r="CW47" s="210">
        <f t="shared" si="53"/>
        <v>52.189999999999884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0</v>
      </c>
      <c r="CV49" s="210">
        <f t="shared" si="59"/>
        <v>2671.7</v>
      </c>
      <c r="CW49" s="210">
        <f t="shared" si="59"/>
        <v>2671.7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829.53</v>
      </c>
      <c r="CW50" s="210">
        <f t="shared" si="62"/>
        <v>829.53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308.5575236534379</v>
      </c>
      <c r="Z51" s="210">
        <f t="shared" si="63"/>
        <v>308.5575236534379</v>
      </c>
      <c r="AA51" s="210">
        <f t="shared" si="63"/>
        <v>308.5575236534379</v>
      </c>
      <c r="AB51" s="210">
        <f t="shared" si="63"/>
        <v>308.5575236534379</v>
      </c>
      <c r="AC51" s="210">
        <f t="shared" si="63"/>
        <v>308.5575236534379</v>
      </c>
      <c r="AD51" s="210">
        <f t="shared" si="63"/>
        <v>308.5575236534379</v>
      </c>
      <c r="AE51" s="210">
        <f t="shared" si="63"/>
        <v>308.5575236534379</v>
      </c>
      <c r="AF51" s="210">
        <f t="shared" si="63"/>
        <v>308.5575236534379</v>
      </c>
      <c r="AG51" s="210">
        <f t="shared" si="63"/>
        <v>308.5575236534379</v>
      </c>
      <c r="AH51" s="210">
        <f t="shared" si="63"/>
        <v>308.5575236534379</v>
      </c>
      <c r="AI51" s="210">
        <f t="shared" si="63"/>
        <v>308.5575236534379</v>
      </c>
      <c r="AJ51" s="210">
        <f t="shared" si="63"/>
        <v>308.5575236534379</v>
      </c>
      <c r="AK51" s="210">
        <f t="shared" si="63"/>
        <v>308.5575236534379</v>
      </c>
      <c r="AL51" s="210">
        <f t="shared" ref="AL51:BQ51" si="64">IF(AL$22&lt;=$E$24,IF(AL$22&lt;=$D$24,IF(AL$22&lt;=$C$24,IF(AL$22&lt;=$B$24,$B117,($C34-$B34)/($C$24-$B$24)),($D34-$C34)/($D$24-$C$24)),($E34-$D34)/($E$24-$D$24)),$F117)</f>
        <v>308.5575236534379</v>
      </c>
      <c r="AM51" s="210">
        <f t="shared" si="64"/>
        <v>308.5575236534379</v>
      </c>
      <c r="AN51" s="210">
        <f t="shared" si="64"/>
        <v>308.5575236534379</v>
      </c>
      <c r="AO51" s="210">
        <f t="shared" si="64"/>
        <v>308.5575236534379</v>
      </c>
      <c r="AP51" s="210">
        <f t="shared" si="64"/>
        <v>308.5575236534379</v>
      </c>
      <c r="AQ51" s="210">
        <f t="shared" si="64"/>
        <v>308.5575236534379</v>
      </c>
      <c r="AR51" s="210">
        <f t="shared" si="64"/>
        <v>308.5575236534379</v>
      </c>
      <c r="AS51" s="210">
        <f t="shared" si="64"/>
        <v>308.5575236534379</v>
      </c>
      <c r="AT51" s="210">
        <f t="shared" si="64"/>
        <v>308.5575236534379</v>
      </c>
      <c r="AU51" s="210">
        <f t="shared" si="64"/>
        <v>308.5575236534379</v>
      </c>
      <c r="AV51" s="210">
        <f t="shared" si="64"/>
        <v>308.5575236534379</v>
      </c>
      <c r="AW51" s="210">
        <f t="shared" si="64"/>
        <v>308.5575236534379</v>
      </c>
      <c r="AX51" s="210">
        <f t="shared" si="64"/>
        <v>308.5575236534379</v>
      </c>
      <c r="AY51" s="210">
        <f t="shared" si="64"/>
        <v>308.5575236534379</v>
      </c>
      <c r="AZ51" s="210">
        <f t="shared" si="64"/>
        <v>308.5575236534379</v>
      </c>
      <c r="BA51" s="210">
        <f t="shared" si="64"/>
        <v>308.5575236534379</v>
      </c>
      <c r="BB51" s="210">
        <f t="shared" si="64"/>
        <v>728.19575582211371</v>
      </c>
      <c r="BC51" s="210">
        <f t="shared" si="64"/>
        <v>728.19575582211371</v>
      </c>
      <c r="BD51" s="210">
        <f t="shared" si="64"/>
        <v>728.19575582211371</v>
      </c>
      <c r="BE51" s="210">
        <f t="shared" si="64"/>
        <v>728.19575582211371</v>
      </c>
      <c r="BF51" s="210">
        <f t="shared" si="64"/>
        <v>728.19575582211371</v>
      </c>
      <c r="BG51" s="210">
        <f t="shared" si="64"/>
        <v>728.19575582211371</v>
      </c>
      <c r="BH51" s="210">
        <f t="shared" si="64"/>
        <v>728.19575582211371</v>
      </c>
      <c r="BI51" s="210">
        <f t="shared" si="64"/>
        <v>728.19575582211371</v>
      </c>
      <c r="BJ51" s="210">
        <f t="shared" si="64"/>
        <v>728.19575582211371</v>
      </c>
      <c r="BK51" s="210">
        <f t="shared" si="64"/>
        <v>728.19575582211371</v>
      </c>
      <c r="BL51" s="210">
        <f t="shared" si="64"/>
        <v>728.19575582211371</v>
      </c>
      <c r="BM51" s="210">
        <f t="shared" si="64"/>
        <v>728.19575582211371</v>
      </c>
      <c r="BN51" s="210">
        <f t="shared" si="64"/>
        <v>728.19575582211371</v>
      </c>
      <c r="BO51" s="210">
        <f t="shared" si="64"/>
        <v>728.19575582211371</v>
      </c>
      <c r="BP51" s="210">
        <f t="shared" si="64"/>
        <v>728.19575582211371</v>
      </c>
      <c r="BQ51" s="210">
        <f t="shared" si="64"/>
        <v>728.19575582211371</v>
      </c>
      <c r="BR51" s="210">
        <f t="shared" ref="BR51:DA51" si="65">IF(BR$22&lt;=$E$24,IF(BR$22&lt;=$D$24,IF(BR$22&lt;=$C$24,IF(BR$22&lt;=$B$24,$B117,($C34-$B34)/($C$24-$B$24)),($D34-$C34)/($D$24-$C$24)),($E34-$D34)/($E$24-$D$24)),$F117)</f>
        <v>728.19575582211371</v>
      </c>
      <c r="BS51" s="210">
        <f t="shared" si="65"/>
        <v>728.19575582211371</v>
      </c>
      <c r="BT51" s="210">
        <f t="shared" si="65"/>
        <v>728.19575582211371</v>
      </c>
      <c r="BU51" s="210">
        <f t="shared" si="65"/>
        <v>728.19575582211371</v>
      </c>
      <c r="BV51" s="210">
        <f t="shared" si="65"/>
        <v>728.19575582211371</v>
      </c>
      <c r="BW51" s="210">
        <f t="shared" si="65"/>
        <v>728.19575582211371</v>
      </c>
      <c r="BX51" s="210">
        <f t="shared" si="65"/>
        <v>728.19575582211371</v>
      </c>
      <c r="BY51" s="210">
        <f t="shared" si="65"/>
        <v>728.19575582211371</v>
      </c>
      <c r="BZ51" s="210">
        <f t="shared" si="65"/>
        <v>728.19575582211371</v>
      </c>
      <c r="CA51" s="210">
        <f t="shared" si="65"/>
        <v>1362.0368786489839</v>
      </c>
      <c r="CB51" s="210">
        <f t="shared" si="65"/>
        <v>1362.0368786489839</v>
      </c>
      <c r="CC51" s="210">
        <f t="shared" si="65"/>
        <v>1362.0368786489839</v>
      </c>
      <c r="CD51" s="210">
        <f t="shared" si="65"/>
        <v>1362.0368786489839</v>
      </c>
      <c r="CE51" s="210">
        <f t="shared" si="65"/>
        <v>1362.0368786489839</v>
      </c>
      <c r="CF51" s="210">
        <f t="shared" si="65"/>
        <v>1362.0368786489839</v>
      </c>
      <c r="CG51" s="210">
        <f t="shared" si="65"/>
        <v>1362.0368786489839</v>
      </c>
      <c r="CH51" s="210">
        <f t="shared" si="65"/>
        <v>1362.0368786489839</v>
      </c>
      <c r="CI51" s="210">
        <f t="shared" si="65"/>
        <v>1362.0368786489839</v>
      </c>
      <c r="CJ51" s="210">
        <f t="shared" si="65"/>
        <v>1362.0368786489839</v>
      </c>
      <c r="CK51" s="210">
        <f t="shared" si="65"/>
        <v>1362.0368786489839</v>
      </c>
      <c r="CL51" s="210">
        <f t="shared" si="65"/>
        <v>1362.0368786489839</v>
      </c>
      <c r="CM51" s="210">
        <f t="shared" si="65"/>
        <v>1362.0368786489839</v>
      </c>
      <c r="CN51" s="210">
        <f t="shared" si="65"/>
        <v>1362.0368786489839</v>
      </c>
      <c r="CO51" s="210">
        <f t="shared" si="65"/>
        <v>1362.0368786489839</v>
      </c>
      <c r="CP51" s="210">
        <f t="shared" si="65"/>
        <v>1362.0368786489839</v>
      </c>
      <c r="CQ51" s="210">
        <f t="shared" si="65"/>
        <v>1362.0368786489839</v>
      </c>
      <c r="CR51" s="210">
        <f t="shared" si="65"/>
        <v>1362.0368786489839</v>
      </c>
      <c r="CS51" s="210">
        <f t="shared" si="65"/>
        <v>1362.0368786489839</v>
      </c>
      <c r="CT51" s="210">
        <f t="shared" si="65"/>
        <v>1362.0368786489839</v>
      </c>
      <c r="CU51" s="210">
        <f t="shared" si="65"/>
        <v>1362.0368786489839</v>
      </c>
      <c r="CV51" s="210">
        <f t="shared" si="65"/>
        <v>6203.5</v>
      </c>
      <c r="CW51" s="210">
        <f t="shared" si="65"/>
        <v>6203.5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-30.771151348330942</v>
      </c>
      <c r="CB52" s="210">
        <f t="shared" si="68"/>
        <v>-30.771151348330942</v>
      </c>
      <c r="CC52" s="210">
        <f t="shared" si="68"/>
        <v>-30.771151348330942</v>
      </c>
      <c r="CD52" s="210">
        <f t="shared" si="68"/>
        <v>-30.771151348330942</v>
      </c>
      <c r="CE52" s="210">
        <f t="shared" si="68"/>
        <v>-30.771151348330942</v>
      </c>
      <c r="CF52" s="210">
        <f t="shared" si="68"/>
        <v>-30.771151348330942</v>
      </c>
      <c r="CG52" s="210">
        <f t="shared" si="68"/>
        <v>-30.771151348330942</v>
      </c>
      <c r="CH52" s="210">
        <f t="shared" si="68"/>
        <v>-30.771151348330942</v>
      </c>
      <c r="CI52" s="210">
        <f t="shared" si="68"/>
        <v>-30.771151348330942</v>
      </c>
      <c r="CJ52" s="210">
        <f t="shared" si="68"/>
        <v>-30.771151348330942</v>
      </c>
      <c r="CK52" s="210">
        <f t="shared" si="68"/>
        <v>-30.771151348330942</v>
      </c>
      <c r="CL52" s="210">
        <f t="shared" si="68"/>
        <v>-30.771151348330942</v>
      </c>
      <c r="CM52" s="210">
        <f t="shared" si="68"/>
        <v>-30.771151348330942</v>
      </c>
      <c r="CN52" s="210">
        <f t="shared" si="68"/>
        <v>-30.771151348330942</v>
      </c>
      <c r="CO52" s="210">
        <f t="shared" si="68"/>
        <v>-30.771151348330942</v>
      </c>
      <c r="CP52" s="210">
        <f t="shared" si="68"/>
        <v>-30.771151348330942</v>
      </c>
      <c r="CQ52" s="210">
        <f t="shared" si="68"/>
        <v>-30.771151348330942</v>
      </c>
      <c r="CR52" s="210">
        <f t="shared" si="68"/>
        <v>-30.771151348330942</v>
      </c>
      <c r="CS52" s="210">
        <f t="shared" si="68"/>
        <v>-30.771151348330942</v>
      </c>
      <c r="CT52" s="210">
        <f t="shared" si="68"/>
        <v>-30.771151348330942</v>
      </c>
      <c r="CU52" s="210">
        <f t="shared" si="68"/>
        <v>-30.771151348330942</v>
      </c>
      <c r="CV52" s="210">
        <f t="shared" si="68"/>
        <v>14.730000000000004</v>
      </c>
      <c r="CW52" s="210">
        <f t="shared" si="68"/>
        <v>14.730000000000004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-1.2332131549463434E-13</v>
      </c>
      <c r="Z53" s="210">
        <f t="shared" si="69"/>
        <v>-1.2332131549463434E-13</v>
      </c>
      <c r="AA53" s="210">
        <f t="shared" si="69"/>
        <v>-1.2332131549463434E-13</v>
      </c>
      <c r="AB53" s="210">
        <f t="shared" si="69"/>
        <v>-1.2332131549463434E-13</v>
      </c>
      <c r="AC53" s="210">
        <f t="shared" si="69"/>
        <v>-1.2332131549463434E-13</v>
      </c>
      <c r="AD53" s="210">
        <f t="shared" si="69"/>
        <v>-1.2332131549463434E-13</v>
      </c>
      <c r="AE53" s="210">
        <f t="shared" si="69"/>
        <v>-1.2332131549463434E-13</v>
      </c>
      <c r="AF53" s="210">
        <f t="shared" si="69"/>
        <v>-1.2332131549463434E-13</v>
      </c>
      <c r="AG53" s="210">
        <f t="shared" si="69"/>
        <v>-1.2332131549463434E-13</v>
      </c>
      <c r="AH53" s="210">
        <f t="shared" si="69"/>
        <v>-1.2332131549463434E-13</v>
      </c>
      <c r="AI53" s="210">
        <f t="shared" si="69"/>
        <v>-1.2332131549463434E-13</v>
      </c>
      <c r="AJ53" s="210">
        <f t="shared" si="69"/>
        <v>-1.2332131549463434E-13</v>
      </c>
      <c r="AK53" s="210">
        <f t="shared" si="69"/>
        <v>-1.2332131549463434E-13</v>
      </c>
      <c r="AL53" s="210">
        <f t="shared" ref="AL53:BQ53" si="70">IF(AL$22&lt;=$E$24,IF(AL$22&lt;=$D$24,IF(AL$22&lt;=$C$24,IF(AL$22&lt;=$B$24,$B119,($C36-$B36)/($C$24-$B$24)),($D36-$C36)/($D$24-$C$24)),($E36-$D36)/($E$24-$D$24)),$F119)</f>
        <v>-1.2332131549463434E-13</v>
      </c>
      <c r="AM53" s="210">
        <f t="shared" si="70"/>
        <v>-1.2332131549463434E-13</v>
      </c>
      <c r="AN53" s="210">
        <f t="shared" si="70"/>
        <v>-1.2332131549463434E-13</v>
      </c>
      <c r="AO53" s="210">
        <f t="shared" si="70"/>
        <v>-1.2332131549463434E-13</v>
      </c>
      <c r="AP53" s="210">
        <f t="shared" si="70"/>
        <v>-1.2332131549463434E-13</v>
      </c>
      <c r="AQ53" s="210">
        <f t="shared" si="70"/>
        <v>-1.2332131549463434E-13</v>
      </c>
      <c r="AR53" s="210">
        <f t="shared" si="70"/>
        <v>-1.2332131549463434E-13</v>
      </c>
      <c r="AS53" s="210">
        <f t="shared" si="70"/>
        <v>-1.2332131549463434E-13</v>
      </c>
      <c r="AT53" s="210">
        <f t="shared" si="70"/>
        <v>-1.2332131549463434E-13</v>
      </c>
      <c r="AU53" s="210">
        <f t="shared" si="70"/>
        <v>-1.2332131549463434E-13</v>
      </c>
      <c r="AV53" s="210">
        <f t="shared" si="70"/>
        <v>-1.2332131549463434E-13</v>
      </c>
      <c r="AW53" s="210">
        <f t="shared" si="70"/>
        <v>-1.2332131549463434E-13</v>
      </c>
      <c r="AX53" s="210">
        <f t="shared" si="70"/>
        <v>-1.2332131549463434E-13</v>
      </c>
      <c r="AY53" s="210">
        <f t="shared" si="70"/>
        <v>-1.2332131549463434E-13</v>
      </c>
      <c r="AZ53" s="210">
        <f t="shared" si="70"/>
        <v>-1.2332131549463434E-13</v>
      </c>
      <c r="BA53" s="210">
        <f t="shared" si="70"/>
        <v>-1.2332131549463434E-13</v>
      </c>
      <c r="BB53" s="210">
        <f t="shared" si="70"/>
        <v>1.4551915228366852E-13</v>
      </c>
      <c r="BC53" s="210">
        <f t="shared" si="70"/>
        <v>1.4551915228366852E-13</v>
      </c>
      <c r="BD53" s="210">
        <f t="shared" si="70"/>
        <v>1.4551915228366852E-13</v>
      </c>
      <c r="BE53" s="210">
        <f t="shared" si="70"/>
        <v>1.4551915228366852E-13</v>
      </c>
      <c r="BF53" s="210">
        <f t="shared" si="70"/>
        <v>1.4551915228366852E-13</v>
      </c>
      <c r="BG53" s="210">
        <f t="shared" si="70"/>
        <v>1.4551915228366852E-13</v>
      </c>
      <c r="BH53" s="210">
        <f t="shared" si="70"/>
        <v>1.4551915228366852E-13</v>
      </c>
      <c r="BI53" s="210">
        <f t="shared" si="70"/>
        <v>1.4551915228366852E-13</v>
      </c>
      <c r="BJ53" s="210">
        <f t="shared" si="70"/>
        <v>1.4551915228366852E-13</v>
      </c>
      <c r="BK53" s="210">
        <f t="shared" si="70"/>
        <v>1.4551915228366852E-13</v>
      </c>
      <c r="BL53" s="210">
        <f t="shared" si="70"/>
        <v>1.4551915228366852E-13</v>
      </c>
      <c r="BM53" s="210">
        <f t="shared" si="70"/>
        <v>1.4551915228366852E-13</v>
      </c>
      <c r="BN53" s="210">
        <f t="shared" si="70"/>
        <v>1.4551915228366852E-13</v>
      </c>
      <c r="BO53" s="210">
        <f t="shared" si="70"/>
        <v>1.4551915228366852E-13</v>
      </c>
      <c r="BP53" s="210">
        <f t="shared" si="70"/>
        <v>1.4551915228366852E-13</v>
      </c>
      <c r="BQ53" s="210">
        <f t="shared" si="70"/>
        <v>1.4551915228366852E-13</v>
      </c>
      <c r="BR53" s="210">
        <f t="shared" ref="BR53:DA53" si="71">IF(BR$22&lt;=$E$24,IF(BR$22&lt;=$D$24,IF(BR$22&lt;=$C$24,IF(BR$22&lt;=$B$24,$B119,($C36-$B36)/($C$24-$B$24)),($D36-$C36)/($D$24-$C$24)),($E36-$D36)/($E$24-$D$24)),$F119)</f>
        <v>1.4551915228366852E-13</v>
      </c>
      <c r="BS53" s="210">
        <f t="shared" si="71"/>
        <v>1.4551915228366852E-13</v>
      </c>
      <c r="BT53" s="210">
        <f t="shared" si="71"/>
        <v>1.4551915228366852E-13</v>
      </c>
      <c r="BU53" s="210">
        <f t="shared" si="71"/>
        <v>1.4551915228366852E-13</v>
      </c>
      <c r="BV53" s="210">
        <f t="shared" si="71"/>
        <v>1.4551915228366852E-13</v>
      </c>
      <c r="BW53" s="210">
        <f t="shared" si="71"/>
        <v>1.4551915228366852E-13</v>
      </c>
      <c r="BX53" s="210">
        <f t="shared" si="71"/>
        <v>1.4551915228366852E-13</v>
      </c>
      <c r="BY53" s="210">
        <f t="shared" si="71"/>
        <v>1.4551915228366852E-13</v>
      </c>
      <c r="BZ53" s="210">
        <f t="shared" si="71"/>
        <v>1.4551915228366852E-13</v>
      </c>
      <c r="CA53" s="210">
        <f t="shared" si="71"/>
        <v>124.32610465255573</v>
      </c>
      <c r="CB53" s="210">
        <f t="shared" si="71"/>
        <v>124.32610465255573</v>
      </c>
      <c r="CC53" s="210">
        <f t="shared" si="71"/>
        <v>124.32610465255573</v>
      </c>
      <c r="CD53" s="210">
        <f t="shared" si="71"/>
        <v>124.32610465255573</v>
      </c>
      <c r="CE53" s="210">
        <f t="shared" si="71"/>
        <v>124.32610465255573</v>
      </c>
      <c r="CF53" s="210">
        <f t="shared" si="71"/>
        <v>124.32610465255573</v>
      </c>
      <c r="CG53" s="210">
        <f t="shared" si="71"/>
        <v>124.32610465255573</v>
      </c>
      <c r="CH53" s="210">
        <f t="shared" si="71"/>
        <v>124.32610465255573</v>
      </c>
      <c r="CI53" s="210">
        <f t="shared" si="71"/>
        <v>124.32610465255573</v>
      </c>
      <c r="CJ53" s="210">
        <f t="shared" si="71"/>
        <v>124.32610465255573</v>
      </c>
      <c r="CK53" s="210">
        <f t="shared" si="71"/>
        <v>124.32610465255573</v>
      </c>
      <c r="CL53" s="210">
        <f t="shared" si="71"/>
        <v>124.32610465255573</v>
      </c>
      <c r="CM53" s="210">
        <f t="shared" si="71"/>
        <v>124.32610465255573</v>
      </c>
      <c r="CN53" s="210">
        <f t="shared" si="71"/>
        <v>124.32610465255573</v>
      </c>
      <c r="CO53" s="210">
        <f t="shared" si="71"/>
        <v>124.32610465255573</v>
      </c>
      <c r="CP53" s="210">
        <f t="shared" si="71"/>
        <v>124.32610465255573</v>
      </c>
      <c r="CQ53" s="210">
        <f t="shared" si="71"/>
        <v>124.32610465255573</v>
      </c>
      <c r="CR53" s="210">
        <f t="shared" si="71"/>
        <v>124.32610465255573</v>
      </c>
      <c r="CS53" s="210">
        <f t="shared" si="71"/>
        <v>124.32610465255573</v>
      </c>
      <c r="CT53" s="210">
        <f t="shared" si="71"/>
        <v>124.32610465255573</v>
      </c>
      <c r="CU53" s="210">
        <f t="shared" si="71"/>
        <v>124.32610465255573</v>
      </c>
      <c r="CV53" s="210">
        <f t="shared" si="71"/>
        <v>-1127.83</v>
      </c>
      <c r="CW53" s="210">
        <f t="shared" si="71"/>
        <v>-1127.83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92.567257096031383</v>
      </c>
      <c r="Z54" s="210">
        <f t="shared" si="72"/>
        <v>92.567257096031383</v>
      </c>
      <c r="AA54" s="210">
        <f t="shared" si="72"/>
        <v>92.567257096031383</v>
      </c>
      <c r="AB54" s="210">
        <f t="shared" si="72"/>
        <v>92.567257096031383</v>
      </c>
      <c r="AC54" s="210">
        <f t="shared" si="72"/>
        <v>92.567257096031383</v>
      </c>
      <c r="AD54" s="210">
        <f t="shared" si="72"/>
        <v>92.567257096031383</v>
      </c>
      <c r="AE54" s="210">
        <f t="shared" si="72"/>
        <v>92.567257096031383</v>
      </c>
      <c r="AF54" s="210">
        <f t="shared" si="72"/>
        <v>92.567257096031383</v>
      </c>
      <c r="AG54" s="210">
        <f t="shared" si="72"/>
        <v>92.567257096031383</v>
      </c>
      <c r="AH54" s="210">
        <f t="shared" si="72"/>
        <v>92.567257096031383</v>
      </c>
      <c r="AI54" s="210">
        <f t="shared" si="72"/>
        <v>92.567257096031383</v>
      </c>
      <c r="AJ54" s="210">
        <f t="shared" si="72"/>
        <v>92.567257096031383</v>
      </c>
      <c r="AK54" s="210">
        <f t="shared" si="72"/>
        <v>92.567257096031383</v>
      </c>
      <c r="AL54" s="210">
        <f t="shared" ref="AL54:BQ54" si="73">IF(AL$22&lt;=$E$24,IF(AL$22&lt;=$D$24,IF(AL$22&lt;=$C$24,IF(AL$22&lt;=$B$24,$B120,($C37-$B37)/($C$24-$B$24)),($D37-$C37)/($D$24-$C$24)),($E37-$D37)/($E$24-$D$24)),$F120)</f>
        <v>92.567257096031383</v>
      </c>
      <c r="AM54" s="210">
        <f t="shared" si="73"/>
        <v>92.567257096031383</v>
      </c>
      <c r="AN54" s="210">
        <f t="shared" si="73"/>
        <v>92.567257096031383</v>
      </c>
      <c r="AO54" s="210">
        <f t="shared" si="73"/>
        <v>92.567257096031383</v>
      </c>
      <c r="AP54" s="210">
        <f t="shared" si="73"/>
        <v>92.567257096031383</v>
      </c>
      <c r="AQ54" s="210">
        <f t="shared" si="73"/>
        <v>92.567257096031383</v>
      </c>
      <c r="AR54" s="210">
        <f t="shared" si="73"/>
        <v>92.567257096031383</v>
      </c>
      <c r="AS54" s="210">
        <f t="shared" si="73"/>
        <v>92.567257096031383</v>
      </c>
      <c r="AT54" s="210">
        <f t="shared" si="73"/>
        <v>92.567257096031383</v>
      </c>
      <c r="AU54" s="210">
        <f t="shared" si="73"/>
        <v>92.567257096031383</v>
      </c>
      <c r="AV54" s="210">
        <f t="shared" si="73"/>
        <v>92.567257096031383</v>
      </c>
      <c r="AW54" s="210">
        <f t="shared" si="73"/>
        <v>92.567257096031383</v>
      </c>
      <c r="AX54" s="210">
        <f t="shared" si="73"/>
        <v>92.567257096031383</v>
      </c>
      <c r="AY54" s="210">
        <f t="shared" si="73"/>
        <v>92.567257096031383</v>
      </c>
      <c r="AZ54" s="210">
        <f t="shared" si="73"/>
        <v>92.567257096031383</v>
      </c>
      <c r="BA54" s="210">
        <f t="shared" si="73"/>
        <v>92.567257096031383</v>
      </c>
      <c r="BB54" s="210">
        <f t="shared" si="73"/>
        <v>-473.32724128437383</v>
      </c>
      <c r="BC54" s="210">
        <f t="shared" si="73"/>
        <v>-473.32724128437383</v>
      </c>
      <c r="BD54" s="210">
        <f t="shared" si="73"/>
        <v>-473.32724128437383</v>
      </c>
      <c r="BE54" s="210">
        <f t="shared" si="73"/>
        <v>-473.32724128437383</v>
      </c>
      <c r="BF54" s="210">
        <f t="shared" si="73"/>
        <v>-473.32724128437383</v>
      </c>
      <c r="BG54" s="210">
        <f t="shared" si="73"/>
        <v>-473.32724128437383</v>
      </c>
      <c r="BH54" s="210">
        <f t="shared" si="73"/>
        <v>-473.32724128437383</v>
      </c>
      <c r="BI54" s="210">
        <f t="shared" si="73"/>
        <v>-473.32724128437383</v>
      </c>
      <c r="BJ54" s="210">
        <f t="shared" si="73"/>
        <v>-473.32724128437383</v>
      </c>
      <c r="BK54" s="210">
        <f t="shared" si="73"/>
        <v>-473.32724128437383</v>
      </c>
      <c r="BL54" s="210">
        <f t="shared" si="73"/>
        <v>-473.32724128437383</v>
      </c>
      <c r="BM54" s="210">
        <f t="shared" si="73"/>
        <v>-473.32724128437383</v>
      </c>
      <c r="BN54" s="210">
        <f t="shared" si="73"/>
        <v>-473.32724128437383</v>
      </c>
      <c r="BO54" s="210">
        <f t="shared" si="73"/>
        <v>-473.32724128437383</v>
      </c>
      <c r="BP54" s="210">
        <f t="shared" si="73"/>
        <v>-473.32724128437383</v>
      </c>
      <c r="BQ54" s="210">
        <f t="shared" si="73"/>
        <v>-473.32724128437383</v>
      </c>
      <c r="BR54" s="210">
        <f t="shared" ref="BR54:DA54" si="74">IF(BR$22&lt;=$E$24,IF(BR$22&lt;=$D$24,IF(BR$22&lt;=$C$24,IF(BR$22&lt;=$B$24,$B120,($C37-$B37)/($C$24-$B$24)),($D37-$C37)/($D$24-$C$24)),($E37-$D37)/($E$24-$D$24)),$F120)</f>
        <v>-473.32724128437383</v>
      </c>
      <c r="BS54" s="210">
        <f t="shared" si="74"/>
        <v>-473.32724128437383</v>
      </c>
      <c r="BT54" s="210">
        <f t="shared" si="74"/>
        <v>-473.32724128437383</v>
      </c>
      <c r="BU54" s="210">
        <f t="shared" si="74"/>
        <v>-473.32724128437383</v>
      </c>
      <c r="BV54" s="210">
        <f t="shared" si="74"/>
        <v>-473.32724128437383</v>
      </c>
      <c r="BW54" s="210">
        <f t="shared" si="74"/>
        <v>-473.32724128437383</v>
      </c>
      <c r="BX54" s="210">
        <f t="shared" si="74"/>
        <v>-473.32724128437383</v>
      </c>
      <c r="BY54" s="210">
        <f t="shared" si="74"/>
        <v>-473.32724128437383</v>
      </c>
      <c r="BZ54" s="210">
        <f t="shared" si="74"/>
        <v>-473.32724128437383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296.33</v>
      </c>
      <c r="CW54" s="210">
        <f t="shared" si="74"/>
        <v>296.33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3344.15816647667</v>
      </c>
      <c r="G59" s="204">
        <f t="shared" si="75"/>
        <v>3344.15816647667</v>
      </c>
      <c r="H59" s="204">
        <f t="shared" si="75"/>
        <v>3344.15816647667</v>
      </c>
      <c r="I59" s="204">
        <f t="shared" si="75"/>
        <v>3344.15816647667</v>
      </c>
      <c r="J59" s="204">
        <f t="shared" si="75"/>
        <v>3344.15816647667</v>
      </c>
      <c r="K59" s="204">
        <f t="shared" si="75"/>
        <v>3344.15816647667</v>
      </c>
      <c r="L59" s="204">
        <f t="shared" si="75"/>
        <v>3344.15816647667</v>
      </c>
      <c r="M59" s="204">
        <f t="shared" si="75"/>
        <v>3344.15816647667</v>
      </c>
      <c r="N59" s="204">
        <f t="shared" si="75"/>
        <v>3344.15816647667</v>
      </c>
      <c r="O59" s="204">
        <f t="shared" si="75"/>
        <v>3344.15816647667</v>
      </c>
      <c r="P59" s="204">
        <f t="shared" si="75"/>
        <v>3344.15816647667</v>
      </c>
      <c r="Q59" s="204">
        <f t="shared" si="75"/>
        <v>3344.15816647667</v>
      </c>
      <c r="R59" s="204">
        <f t="shared" si="75"/>
        <v>3344.15816647667</v>
      </c>
      <c r="S59" s="204">
        <f t="shared" si="75"/>
        <v>3344.15816647667</v>
      </c>
      <c r="T59" s="204">
        <f t="shared" si="75"/>
        <v>3344.15816647667</v>
      </c>
      <c r="U59" s="204">
        <f t="shared" si="75"/>
        <v>3344.15816647667</v>
      </c>
      <c r="V59" s="204">
        <f t="shared" si="75"/>
        <v>3344.15816647667</v>
      </c>
      <c r="W59" s="204">
        <f t="shared" si="75"/>
        <v>3344.15816647667</v>
      </c>
      <c r="X59" s="204">
        <f t="shared" si="75"/>
        <v>3344.15816647667</v>
      </c>
      <c r="Y59" s="204">
        <f t="shared" si="75"/>
        <v>3318.9915233431725</v>
      </c>
      <c r="Z59" s="204">
        <f t="shared" si="75"/>
        <v>3293.8248802096755</v>
      </c>
      <c r="AA59" s="204">
        <f t="shared" si="75"/>
        <v>3268.658237076178</v>
      </c>
      <c r="AB59" s="204">
        <f t="shared" si="75"/>
        <v>3243.4915939426805</v>
      </c>
      <c r="AC59" s="204">
        <f t="shared" si="75"/>
        <v>3218.3249508091831</v>
      </c>
      <c r="AD59" s="204">
        <f t="shared" si="75"/>
        <v>3193.158307675686</v>
      </c>
      <c r="AE59" s="204">
        <f t="shared" si="75"/>
        <v>3167.9916645421886</v>
      </c>
      <c r="AF59" s="204">
        <f t="shared" si="75"/>
        <v>3142.8250214086911</v>
      </c>
      <c r="AG59" s="204">
        <f t="shared" si="75"/>
        <v>3117.6583782751941</v>
      </c>
      <c r="AH59" s="204">
        <f t="shared" si="75"/>
        <v>3092.4917351416966</v>
      </c>
      <c r="AI59" s="204">
        <f t="shared" si="75"/>
        <v>3067.3250920081991</v>
      </c>
      <c r="AJ59" s="204">
        <f t="shared" si="75"/>
        <v>3042.1584488747021</v>
      </c>
      <c r="AK59" s="204">
        <f t="shared" si="75"/>
        <v>3016.9918057412046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2991.8251626077072</v>
      </c>
      <c r="AM59" s="204">
        <f t="shared" si="76"/>
        <v>2966.6585194742097</v>
      </c>
      <c r="AN59" s="204">
        <f t="shared" si="76"/>
        <v>2941.4918763407127</v>
      </c>
      <c r="AO59" s="204">
        <f t="shared" si="76"/>
        <v>2916.3252332072152</v>
      </c>
      <c r="AP59" s="204">
        <f t="shared" si="76"/>
        <v>2891.1585900737177</v>
      </c>
      <c r="AQ59" s="204">
        <f t="shared" si="76"/>
        <v>2865.9919469402203</v>
      </c>
      <c r="AR59" s="204">
        <f t="shared" si="76"/>
        <v>2840.8253038067232</v>
      </c>
      <c r="AS59" s="204">
        <f t="shared" si="76"/>
        <v>2815.6586606732258</v>
      </c>
      <c r="AT59" s="204">
        <f t="shared" si="76"/>
        <v>2790.4920175397283</v>
      </c>
      <c r="AU59" s="204">
        <f t="shared" si="76"/>
        <v>2765.3253744062313</v>
      </c>
      <c r="AV59" s="204">
        <f t="shared" si="76"/>
        <v>2740.1587312727338</v>
      </c>
      <c r="AW59" s="204">
        <f t="shared" si="76"/>
        <v>2714.9920881392363</v>
      </c>
      <c r="AX59" s="204">
        <f t="shared" si="76"/>
        <v>2689.8254450057393</v>
      </c>
      <c r="AY59" s="204">
        <f t="shared" si="76"/>
        <v>2664.6588018722418</v>
      </c>
      <c r="AZ59" s="204">
        <f t="shared" si="76"/>
        <v>2639.4921587387444</v>
      </c>
      <c r="BA59" s="204">
        <f t="shared" si="76"/>
        <v>2614.3255156052473</v>
      </c>
      <c r="BB59" s="204">
        <f t="shared" si="76"/>
        <v>2619.5526211100846</v>
      </c>
      <c r="BC59" s="204">
        <f t="shared" si="76"/>
        <v>2655.173475253257</v>
      </c>
      <c r="BD59" s="204">
        <f t="shared" si="76"/>
        <v>2690.7943293964295</v>
      </c>
      <c r="BE59" s="204">
        <f t="shared" si="76"/>
        <v>2726.4151835396019</v>
      </c>
      <c r="BF59" s="204">
        <f t="shared" si="76"/>
        <v>2762.0360376827743</v>
      </c>
      <c r="BG59" s="204">
        <f t="shared" si="76"/>
        <v>2797.6568918259468</v>
      </c>
      <c r="BH59" s="204">
        <f t="shared" si="76"/>
        <v>2833.2777459691197</v>
      </c>
      <c r="BI59" s="204">
        <f t="shared" si="76"/>
        <v>2868.8986001122921</v>
      </c>
      <c r="BJ59" s="204">
        <f t="shared" si="76"/>
        <v>2904.5194542554646</v>
      </c>
      <c r="BK59" s="204">
        <f t="shared" si="76"/>
        <v>2940.140308398637</v>
      </c>
      <c r="BL59" s="204">
        <f t="shared" si="76"/>
        <v>2975.7611625418094</v>
      </c>
      <c r="BM59" s="204">
        <f t="shared" si="76"/>
        <v>3011.3820166849819</v>
      </c>
      <c r="BN59" s="204">
        <f t="shared" si="76"/>
        <v>3047.0028708281543</v>
      </c>
      <c r="BO59" s="204">
        <f t="shared" si="76"/>
        <v>3082.6237249713267</v>
      </c>
      <c r="BP59" s="204">
        <f t="shared" si="76"/>
        <v>3118.2445791144992</v>
      </c>
      <c r="BQ59" s="204">
        <f t="shared" si="76"/>
        <v>3153.8654332576716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3189.486287400844</v>
      </c>
      <c r="BS59" s="204">
        <f t="shared" si="77"/>
        <v>3225.1071415440165</v>
      </c>
      <c r="BT59" s="204">
        <f t="shared" si="77"/>
        <v>3260.7279956871889</v>
      </c>
      <c r="BU59" s="204">
        <f t="shared" si="77"/>
        <v>3296.3488498303614</v>
      </c>
      <c r="BV59" s="204">
        <f t="shared" si="77"/>
        <v>3331.9697039735338</v>
      </c>
      <c r="BW59" s="204">
        <f t="shared" si="77"/>
        <v>3367.5905581167067</v>
      </c>
      <c r="BX59" s="204">
        <f t="shared" si="77"/>
        <v>3403.2114122598791</v>
      </c>
      <c r="BY59" s="204">
        <f t="shared" si="77"/>
        <v>3438.8322664030516</v>
      </c>
      <c r="BZ59" s="204">
        <f t="shared" si="77"/>
        <v>3474.453120546224</v>
      </c>
      <c r="CA59" s="204">
        <f t="shared" si="77"/>
        <v>3514.7833721621337</v>
      </c>
      <c r="CB59" s="204">
        <f t="shared" si="77"/>
        <v>3559.8230212507801</v>
      </c>
      <c r="CC59" s="204">
        <f t="shared" si="77"/>
        <v>3604.8626703394266</v>
      </c>
      <c r="CD59" s="204">
        <f t="shared" si="77"/>
        <v>3649.9023194280735</v>
      </c>
      <c r="CE59" s="204">
        <f t="shared" si="77"/>
        <v>3694.94196851672</v>
      </c>
      <c r="CF59" s="204">
        <f t="shared" si="77"/>
        <v>3739.9816176053664</v>
      </c>
      <c r="CG59" s="204">
        <f t="shared" si="77"/>
        <v>3785.0212666940133</v>
      </c>
      <c r="CH59" s="204">
        <f t="shared" si="77"/>
        <v>3830.0609157826598</v>
      </c>
      <c r="CI59" s="204">
        <f t="shared" si="77"/>
        <v>3875.1005648713062</v>
      </c>
      <c r="CJ59" s="204">
        <f t="shared" si="77"/>
        <v>3920.1402139599531</v>
      </c>
      <c r="CK59" s="204">
        <f t="shared" si="77"/>
        <v>3965.1798630485996</v>
      </c>
      <c r="CL59" s="204">
        <f t="shared" si="77"/>
        <v>4010.2195121372461</v>
      </c>
      <c r="CM59" s="204">
        <f t="shared" si="77"/>
        <v>4055.259161225893</v>
      </c>
      <c r="CN59" s="204">
        <f t="shared" si="77"/>
        <v>4100.298810314539</v>
      </c>
      <c r="CO59" s="204">
        <f t="shared" si="77"/>
        <v>4145.3384594031859</v>
      </c>
      <c r="CP59" s="204">
        <f t="shared" si="77"/>
        <v>4190.3781084918328</v>
      </c>
      <c r="CQ59" s="204">
        <f t="shared" si="77"/>
        <v>4235.4177575804788</v>
      </c>
      <c r="CR59" s="204">
        <f t="shared" si="77"/>
        <v>4280.4574066691257</v>
      </c>
      <c r="CS59" s="204">
        <f t="shared" si="77"/>
        <v>4325.4970557577726</v>
      </c>
      <c r="CT59" s="204">
        <f t="shared" si="77"/>
        <v>4370.5367048464186</v>
      </c>
      <c r="CU59" s="204">
        <f t="shared" si="77"/>
        <v>4415.5763539350655</v>
      </c>
      <c r="CV59" s="204">
        <f t="shared" si="77"/>
        <v>4521.9363539350652</v>
      </c>
      <c r="CW59" s="204">
        <f t="shared" si="77"/>
        <v>4628.2963539350658</v>
      </c>
      <c r="CX59" s="204">
        <f t="shared" si="77"/>
        <v>4734.6563539350655</v>
      </c>
      <c r="CY59" s="204">
        <f t="shared" si="77"/>
        <v>4841.016353935066</v>
      </c>
      <c r="CZ59" s="204">
        <f t="shared" si="77"/>
        <v>4947.3763539350657</v>
      </c>
      <c r="DA59" s="204">
        <f t="shared" si="77"/>
        <v>5053.7363539350663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1.7999188879783878</v>
      </c>
      <c r="Z60" s="204">
        <f t="shared" si="78"/>
        <v>3.5998377759567757</v>
      </c>
      <c r="AA60" s="204">
        <f t="shared" si="78"/>
        <v>5.3997566639351637</v>
      </c>
      <c r="AB60" s="204">
        <f t="shared" si="78"/>
        <v>7.1996755519135514</v>
      </c>
      <c r="AC60" s="204">
        <f t="shared" si="78"/>
        <v>8.9995944398919399</v>
      </c>
      <c r="AD60" s="204">
        <f t="shared" si="78"/>
        <v>10.799513327870327</v>
      </c>
      <c r="AE60" s="204">
        <f t="shared" si="78"/>
        <v>12.599432215848715</v>
      </c>
      <c r="AF60" s="204">
        <f t="shared" si="78"/>
        <v>14.399351103827103</v>
      </c>
      <c r="AG60" s="204">
        <f t="shared" si="78"/>
        <v>16.19926999180549</v>
      </c>
      <c r="AH60" s="204">
        <f t="shared" si="78"/>
        <v>17.99918887978388</v>
      </c>
      <c r="AI60" s="204">
        <f t="shared" si="78"/>
        <v>19.799107767762266</v>
      </c>
      <c r="AJ60" s="204">
        <f t="shared" si="78"/>
        <v>21.599026655740655</v>
      </c>
      <c r="AK60" s="204">
        <f t="shared" si="78"/>
        <v>23.398945543719041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25.19886443169743</v>
      </c>
      <c r="AM60" s="204">
        <f t="shared" si="79"/>
        <v>26.998783319675816</v>
      </c>
      <c r="AN60" s="204">
        <f t="shared" si="79"/>
        <v>28.798702207654205</v>
      </c>
      <c r="AO60" s="204">
        <f t="shared" si="79"/>
        <v>30.598621095632595</v>
      </c>
      <c r="AP60" s="204">
        <f t="shared" si="79"/>
        <v>32.398539983610981</v>
      </c>
      <c r="AQ60" s="204">
        <f t="shared" si="79"/>
        <v>34.198458871589366</v>
      </c>
      <c r="AR60" s="204">
        <f t="shared" si="79"/>
        <v>35.998377759567759</v>
      </c>
      <c r="AS60" s="204">
        <f t="shared" si="79"/>
        <v>37.798296647546145</v>
      </c>
      <c r="AT60" s="204">
        <f t="shared" si="79"/>
        <v>39.598215535524531</v>
      </c>
      <c r="AU60" s="204">
        <f t="shared" si="79"/>
        <v>41.398134423502917</v>
      </c>
      <c r="AV60" s="204">
        <f t="shared" si="79"/>
        <v>43.19805331148131</v>
      </c>
      <c r="AW60" s="204">
        <f t="shared" si="79"/>
        <v>44.997972199459696</v>
      </c>
      <c r="AX60" s="204">
        <f t="shared" si="79"/>
        <v>46.797891087438082</v>
      </c>
      <c r="AY60" s="204">
        <f t="shared" si="79"/>
        <v>48.597809975416475</v>
      </c>
      <c r="AZ60" s="204">
        <f t="shared" si="79"/>
        <v>50.39772886339486</v>
      </c>
      <c r="BA60" s="204">
        <f t="shared" si="79"/>
        <v>52.197647751373246</v>
      </c>
      <c r="BB60" s="204">
        <f t="shared" si="79"/>
        <v>90.05354180333471</v>
      </c>
      <c r="BC60" s="204">
        <f t="shared" si="79"/>
        <v>163.96541101927926</v>
      </c>
      <c r="BD60" s="204">
        <f t="shared" si="79"/>
        <v>237.87728023522379</v>
      </c>
      <c r="BE60" s="204">
        <f t="shared" si="79"/>
        <v>311.78914945116833</v>
      </c>
      <c r="BF60" s="204">
        <f t="shared" si="79"/>
        <v>385.70101866711286</v>
      </c>
      <c r="BG60" s="204">
        <f t="shared" si="79"/>
        <v>459.6128878830574</v>
      </c>
      <c r="BH60" s="204">
        <f t="shared" si="79"/>
        <v>533.52475709900193</v>
      </c>
      <c r="BI60" s="204">
        <f t="shared" si="79"/>
        <v>607.43662631494647</v>
      </c>
      <c r="BJ60" s="204">
        <f t="shared" si="79"/>
        <v>681.348495530891</v>
      </c>
      <c r="BK60" s="204">
        <f t="shared" si="79"/>
        <v>755.26036474683553</v>
      </c>
      <c r="BL60" s="204">
        <f t="shared" si="79"/>
        <v>829.17223396278007</v>
      </c>
      <c r="BM60" s="204">
        <f t="shared" si="79"/>
        <v>903.0841031787246</v>
      </c>
      <c r="BN60" s="204">
        <f t="shared" si="79"/>
        <v>976.99597239466914</v>
      </c>
      <c r="BO60" s="204">
        <f t="shared" si="79"/>
        <v>1050.9078416106136</v>
      </c>
      <c r="BP60" s="204">
        <f t="shared" si="79"/>
        <v>1124.8197108265581</v>
      </c>
      <c r="BQ60" s="204">
        <f t="shared" si="79"/>
        <v>1198.7315800425026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1272.6434492584472</v>
      </c>
      <c r="BS60" s="204">
        <f t="shared" si="80"/>
        <v>1346.5553184743917</v>
      </c>
      <c r="BT60" s="204">
        <f t="shared" si="80"/>
        <v>1420.4671876903362</v>
      </c>
      <c r="BU60" s="204">
        <f t="shared" si="80"/>
        <v>1494.3790569062808</v>
      </c>
      <c r="BV60" s="204">
        <f t="shared" si="80"/>
        <v>1568.2909261222253</v>
      </c>
      <c r="BW60" s="204">
        <f t="shared" si="80"/>
        <v>1642.2027953381698</v>
      </c>
      <c r="BX60" s="204">
        <f t="shared" si="80"/>
        <v>1716.1146645541144</v>
      </c>
      <c r="BY60" s="204">
        <f t="shared" si="80"/>
        <v>1790.0265337700589</v>
      </c>
      <c r="BZ60" s="204">
        <f t="shared" si="80"/>
        <v>1863.9384029860034</v>
      </c>
      <c r="CA60" s="204">
        <f t="shared" si="80"/>
        <v>2563.4280567829046</v>
      </c>
      <c r="CB60" s="204">
        <f t="shared" si="80"/>
        <v>3888.4954951607624</v>
      </c>
      <c r="CC60" s="204">
        <f t="shared" si="80"/>
        <v>5213.5629335386202</v>
      </c>
      <c r="CD60" s="204">
        <f t="shared" si="80"/>
        <v>6538.6303719164789</v>
      </c>
      <c r="CE60" s="204">
        <f t="shared" si="80"/>
        <v>7863.6978102943358</v>
      </c>
      <c r="CF60" s="204">
        <f t="shared" si="80"/>
        <v>9188.7652486721945</v>
      </c>
      <c r="CG60" s="204">
        <f t="shared" si="80"/>
        <v>10513.832687050051</v>
      </c>
      <c r="CH60" s="204">
        <f t="shared" si="80"/>
        <v>11838.90012542791</v>
      </c>
      <c r="CI60" s="204">
        <f t="shared" si="80"/>
        <v>13163.967563805767</v>
      </c>
      <c r="CJ60" s="204">
        <f t="shared" si="80"/>
        <v>14489.035002183626</v>
      </c>
      <c r="CK60" s="204">
        <f t="shared" si="80"/>
        <v>15814.102440561483</v>
      </c>
      <c r="CL60" s="204">
        <f t="shared" si="80"/>
        <v>17139.169878939341</v>
      </c>
      <c r="CM60" s="204">
        <f t="shared" si="80"/>
        <v>18464.237317317198</v>
      </c>
      <c r="CN60" s="204">
        <f t="shared" si="80"/>
        <v>19789.304755695055</v>
      </c>
      <c r="CO60" s="204">
        <f t="shared" si="80"/>
        <v>21114.372194072912</v>
      </c>
      <c r="CP60" s="204">
        <f t="shared" si="80"/>
        <v>22439.439632450769</v>
      </c>
      <c r="CQ60" s="204">
        <f t="shared" si="80"/>
        <v>23764.507070828629</v>
      </c>
      <c r="CR60" s="204">
        <f t="shared" si="80"/>
        <v>25089.574509206486</v>
      </c>
      <c r="CS60" s="204">
        <f t="shared" si="80"/>
        <v>26414.641947584343</v>
      </c>
      <c r="CT60" s="204">
        <f t="shared" si="80"/>
        <v>27739.7093859622</v>
      </c>
      <c r="CU60" s="204">
        <f t="shared" si="80"/>
        <v>29064.776824340061</v>
      </c>
      <c r="CV60" s="204">
        <f t="shared" si="80"/>
        <v>29789.636824340058</v>
      </c>
      <c r="CW60" s="204">
        <f t="shared" si="80"/>
        <v>30514.496824340058</v>
      </c>
      <c r="CX60" s="204">
        <f t="shared" si="80"/>
        <v>31239.356824340059</v>
      </c>
      <c r="CY60" s="204">
        <f t="shared" si="80"/>
        <v>31964.216824340059</v>
      </c>
      <c r="CZ60" s="204">
        <f t="shared" si="80"/>
        <v>32689.076824340056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33413.93682434006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1021.5314605432648</v>
      </c>
      <c r="G61" s="204">
        <f t="shared" si="81"/>
        <v>1021.5314605432648</v>
      </c>
      <c r="H61" s="204">
        <f t="shared" si="81"/>
        <v>1021.5314605432648</v>
      </c>
      <c r="I61" s="204">
        <f t="shared" si="81"/>
        <v>1021.5314605432648</v>
      </c>
      <c r="J61" s="204">
        <f t="shared" si="81"/>
        <v>1021.5314605432648</v>
      </c>
      <c r="K61" s="204">
        <f t="shared" si="81"/>
        <v>1021.5314605432648</v>
      </c>
      <c r="L61" s="204">
        <f t="shared" si="81"/>
        <v>1021.5314605432648</v>
      </c>
      <c r="M61" s="204">
        <f t="shared" si="81"/>
        <v>1021.5314605432648</v>
      </c>
      <c r="N61" s="204">
        <f t="shared" si="81"/>
        <v>1021.5314605432648</v>
      </c>
      <c r="O61" s="204">
        <f t="shared" si="81"/>
        <v>1021.5314605432648</v>
      </c>
      <c r="P61" s="204">
        <f t="shared" si="81"/>
        <v>1021.5314605432648</v>
      </c>
      <c r="Q61" s="204">
        <f t="shared" si="81"/>
        <v>1021.5314605432648</v>
      </c>
      <c r="R61" s="204">
        <f t="shared" si="81"/>
        <v>1021.5314605432648</v>
      </c>
      <c r="S61" s="204">
        <f t="shared" si="81"/>
        <v>1021.5314605432648</v>
      </c>
      <c r="T61" s="204">
        <f t="shared" si="81"/>
        <v>1021.5314605432648</v>
      </c>
      <c r="U61" s="204">
        <f t="shared" si="81"/>
        <v>1021.5314605432648</v>
      </c>
      <c r="V61" s="204">
        <f t="shared" si="81"/>
        <v>1021.5314605432648</v>
      </c>
      <c r="W61" s="204">
        <f t="shared" si="81"/>
        <v>1021.5314605432648</v>
      </c>
      <c r="X61" s="204">
        <f t="shared" si="81"/>
        <v>1021.5314605432648</v>
      </c>
      <c r="Y61" s="204">
        <f t="shared" si="81"/>
        <v>1087.6309452697076</v>
      </c>
      <c r="Z61" s="204">
        <f t="shared" si="81"/>
        <v>1153.7304299961502</v>
      </c>
      <c r="AA61" s="204">
        <f t="shared" si="81"/>
        <v>1219.829914722593</v>
      </c>
      <c r="AB61" s="204">
        <f t="shared" si="81"/>
        <v>1285.9293994490358</v>
      </c>
      <c r="AC61" s="204">
        <f t="shared" si="81"/>
        <v>1352.0288841754787</v>
      </c>
      <c r="AD61" s="204">
        <f t="shared" si="81"/>
        <v>1418.1283689019212</v>
      </c>
      <c r="AE61" s="204">
        <f t="shared" si="81"/>
        <v>1484.2278536283641</v>
      </c>
      <c r="AF61" s="204">
        <f t="shared" si="81"/>
        <v>1550.3273383548067</v>
      </c>
      <c r="AG61" s="204">
        <f t="shared" si="81"/>
        <v>1616.4268230812495</v>
      </c>
      <c r="AH61" s="204">
        <f t="shared" si="81"/>
        <v>1682.5263078076923</v>
      </c>
      <c r="AI61" s="204">
        <f t="shared" si="81"/>
        <v>1748.6257925341351</v>
      </c>
      <c r="AJ61" s="204">
        <f t="shared" si="81"/>
        <v>1814.7252772605777</v>
      </c>
      <c r="AK61" s="204">
        <f t="shared" si="81"/>
        <v>1880.8247619870206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1946.9242467134632</v>
      </c>
      <c r="AM61" s="204">
        <f t="shared" si="82"/>
        <v>2013.023731439906</v>
      </c>
      <c r="AN61" s="204">
        <f t="shared" si="82"/>
        <v>2079.1232161663488</v>
      </c>
      <c r="AO61" s="204">
        <f t="shared" si="82"/>
        <v>2145.2227008927916</v>
      </c>
      <c r="AP61" s="204">
        <f t="shared" si="82"/>
        <v>2211.322185619234</v>
      </c>
      <c r="AQ61" s="204">
        <f t="shared" si="82"/>
        <v>2277.4216703456768</v>
      </c>
      <c r="AR61" s="204">
        <f t="shared" si="82"/>
        <v>2343.5211550721197</v>
      </c>
      <c r="AS61" s="204">
        <f t="shared" si="82"/>
        <v>2409.6206397985625</v>
      </c>
      <c r="AT61" s="204">
        <f t="shared" si="82"/>
        <v>2475.7201245250053</v>
      </c>
      <c r="AU61" s="204">
        <f t="shared" si="82"/>
        <v>2541.8196092514481</v>
      </c>
      <c r="AV61" s="204">
        <f t="shared" si="82"/>
        <v>2607.919093977891</v>
      </c>
      <c r="AW61" s="204">
        <f t="shared" si="82"/>
        <v>2674.0185787043338</v>
      </c>
      <c r="AX61" s="204">
        <f t="shared" si="82"/>
        <v>2740.1180634307766</v>
      </c>
      <c r="AY61" s="204">
        <f t="shared" si="82"/>
        <v>2806.2175481572194</v>
      </c>
      <c r="AZ61" s="204">
        <f t="shared" si="82"/>
        <v>2872.3170328836618</v>
      </c>
      <c r="BA61" s="204">
        <f t="shared" si="82"/>
        <v>2938.4165176101046</v>
      </c>
      <c r="BB61" s="204">
        <f t="shared" si="82"/>
        <v>2985.252905661911</v>
      </c>
      <c r="BC61" s="204">
        <f t="shared" si="82"/>
        <v>3012.8261970390813</v>
      </c>
      <c r="BD61" s="204">
        <f t="shared" si="82"/>
        <v>3040.3994884162512</v>
      </c>
      <c r="BE61" s="204">
        <f t="shared" si="82"/>
        <v>3067.9727797934211</v>
      </c>
      <c r="BF61" s="204">
        <f t="shared" si="82"/>
        <v>3095.5460711705914</v>
      </c>
      <c r="BG61" s="204">
        <f t="shared" si="82"/>
        <v>3123.1193625477613</v>
      </c>
      <c r="BH61" s="204">
        <f t="shared" si="82"/>
        <v>3150.6926539249316</v>
      </c>
      <c r="BI61" s="204">
        <f t="shared" si="82"/>
        <v>3178.2659453021015</v>
      </c>
      <c r="BJ61" s="204">
        <f t="shared" si="82"/>
        <v>3205.8392366792714</v>
      </c>
      <c r="BK61" s="204">
        <f t="shared" si="82"/>
        <v>3233.4125280564417</v>
      </c>
      <c r="BL61" s="204">
        <f t="shared" si="82"/>
        <v>3260.9858194336116</v>
      </c>
      <c r="BM61" s="204">
        <f t="shared" si="82"/>
        <v>3288.5591108107819</v>
      </c>
      <c r="BN61" s="204">
        <f t="shared" si="82"/>
        <v>3316.1324021879518</v>
      </c>
      <c r="BO61" s="204">
        <f t="shared" si="82"/>
        <v>3343.7056935651217</v>
      </c>
      <c r="BP61" s="204">
        <f t="shared" si="82"/>
        <v>3371.278984942292</v>
      </c>
      <c r="BQ61" s="204">
        <f t="shared" si="82"/>
        <v>3398.8522763194619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3426.4255676966322</v>
      </c>
      <c r="BS61" s="204">
        <f t="shared" si="83"/>
        <v>3453.9988590738021</v>
      </c>
      <c r="BT61" s="204">
        <f t="shared" si="83"/>
        <v>3481.572150450972</v>
      </c>
      <c r="BU61" s="204">
        <f t="shared" si="83"/>
        <v>3509.1454418281423</v>
      </c>
      <c r="BV61" s="204">
        <f t="shared" si="83"/>
        <v>3536.7187332053122</v>
      </c>
      <c r="BW61" s="204">
        <f t="shared" si="83"/>
        <v>3564.2920245824826</v>
      </c>
      <c r="BX61" s="204">
        <f t="shared" si="83"/>
        <v>3591.8653159596524</v>
      </c>
      <c r="BY61" s="204">
        <f t="shared" si="83"/>
        <v>3619.4386073368223</v>
      </c>
      <c r="BZ61" s="204">
        <f t="shared" si="83"/>
        <v>3647.0118987139927</v>
      </c>
      <c r="CA61" s="204">
        <f t="shared" si="83"/>
        <v>3656.5836468708253</v>
      </c>
      <c r="CB61" s="204">
        <f t="shared" si="83"/>
        <v>3648.1538518073207</v>
      </c>
      <c r="CC61" s="204">
        <f t="shared" si="83"/>
        <v>3639.7240567438162</v>
      </c>
      <c r="CD61" s="204">
        <f t="shared" si="83"/>
        <v>3631.294261680312</v>
      </c>
      <c r="CE61" s="204">
        <f t="shared" si="83"/>
        <v>3622.8644666168075</v>
      </c>
      <c r="CF61" s="204">
        <f t="shared" si="83"/>
        <v>3614.4346715533029</v>
      </c>
      <c r="CG61" s="204">
        <f t="shared" si="83"/>
        <v>3606.0048764897983</v>
      </c>
      <c r="CH61" s="204">
        <f t="shared" si="83"/>
        <v>3597.5750814262938</v>
      </c>
      <c r="CI61" s="204">
        <f t="shared" si="83"/>
        <v>3589.1452863627896</v>
      </c>
      <c r="CJ61" s="204">
        <f t="shared" si="83"/>
        <v>3580.7154912992851</v>
      </c>
      <c r="CK61" s="204">
        <f t="shared" si="83"/>
        <v>3572.2856962357805</v>
      </c>
      <c r="CL61" s="204">
        <f t="shared" si="83"/>
        <v>3563.8559011722759</v>
      </c>
      <c r="CM61" s="204">
        <f t="shared" si="83"/>
        <v>3555.4261061087714</v>
      </c>
      <c r="CN61" s="204">
        <f t="shared" si="83"/>
        <v>3546.9963110452672</v>
      </c>
      <c r="CO61" s="204">
        <f t="shared" si="83"/>
        <v>3538.5665159817627</v>
      </c>
      <c r="CP61" s="204">
        <f t="shared" si="83"/>
        <v>3530.1367209182581</v>
      </c>
      <c r="CQ61" s="204">
        <f t="shared" si="83"/>
        <v>3521.7069258547535</v>
      </c>
      <c r="CR61" s="204">
        <f t="shared" si="83"/>
        <v>3513.277130791249</v>
      </c>
      <c r="CS61" s="204">
        <f t="shared" si="83"/>
        <v>3504.8473357277448</v>
      </c>
      <c r="CT61" s="204">
        <f t="shared" si="83"/>
        <v>3496.4175406642403</v>
      </c>
      <c r="CU61" s="204">
        <f t="shared" si="83"/>
        <v>3487.9877456007357</v>
      </c>
      <c r="CV61" s="204">
        <f t="shared" si="83"/>
        <v>3496.4187456007357</v>
      </c>
      <c r="CW61" s="204">
        <f t="shared" si="83"/>
        <v>3504.8497456007358</v>
      </c>
      <c r="CX61" s="204">
        <f t="shared" si="83"/>
        <v>3513.2807456007358</v>
      </c>
      <c r="CY61" s="204">
        <f t="shared" si="83"/>
        <v>3521.7117456007359</v>
      </c>
      <c r="CZ61" s="204">
        <f t="shared" si="83"/>
        <v>3530.1427456007359</v>
      </c>
      <c r="DA61" s="204">
        <f t="shared" si="83"/>
        <v>3538.5737456007355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0.51426253942239653</v>
      </c>
      <c r="Z62" s="204">
        <f t="shared" si="84"/>
        <v>1.0285250788447931</v>
      </c>
      <c r="AA62" s="204">
        <f t="shared" si="84"/>
        <v>1.5427876182671896</v>
      </c>
      <c r="AB62" s="204">
        <f t="shared" si="84"/>
        <v>2.0570501576895861</v>
      </c>
      <c r="AC62" s="204">
        <f t="shared" si="84"/>
        <v>2.5713126971119826</v>
      </c>
      <c r="AD62" s="204">
        <f t="shared" si="84"/>
        <v>3.0855752365343792</v>
      </c>
      <c r="AE62" s="204">
        <f t="shared" si="84"/>
        <v>3.5998377759567757</v>
      </c>
      <c r="AF62" s="204">
        <f t="shared" si="84"/>
        <v>4.1141003153791722</v>
      </c>
      <c r="AG62" s="204">
        <f t="shared" si="84"/>
        <v>4.6283628548015692</v>
      </c>
      <c r="AH62" s="204">
        <f t="shared" si="84"/>
        <v>5.1426253942239653</v>
      </c>
      <c r="AI62" s="204">
        <f t="shared" si="84"/>
        <v>5.6568879336463613</v>
      </c>
      <c r="AJ62" s="204">
        <f t="shared" si="84"/>
        <v>6.1711504730687583</v>
      </c>
      <c r="AK62" s="204">
        <f t="shared" si="84"/>
        <v>6.6854130124911553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7.1996755519135514</v>
      </c>
      <c r="AM62" s="204">
        <f t="shared" si="85"/>
        <v>7.7139380913359474</v>
      </c>
      <c r="AN62" s="204">
        <f t="shared" si="85"/>
        <v>8.2282006307583444</v>
      </c>
      <c r="AO62" s="204">
        <f t="shared" si="85"/>
        <v>8.7424631701807414</v>
      </c>
      <c r="AP62" s="204">
        <f t="shared" si="85"/>
        <v>9.2567257096031383</v>
      </c>
      <c r="AQ62" s="204">
        <f t="shared" si="85"/>
        <v>9.7709882490255335</v>
      </c>
      <c r="AR62" s="204">
        <f t="shared" si="85"/>
        <v>10.285250788447931</v>
      </c>
      <c r="AS62" s="204">
        <f t="shared" si="85"/>
        <v>10.799513327870327</v>
      </c>
      <c r="AT62" s="204">
        <f t="shared" si="85"/>
        <v>11.313775867292723</v>
      </c>
      <c r="AU62" s="204">
        <f t="shared" si="85"/>
        <v>11.82803840671512</v>
      </c>
      <c r="AV62" s="204">
        <f t="shared" si="85"/>
        <v>12.342300946137517</v>
      </c>
      <c r="AW62" s="204">
        <f t="shared" si="85"/>
        <v>12.856563485559914</v>
      </c>
      <c r="AX62" s="204">
        <f t="shared" si="85"/>
        <v>13.370826024982311</v>
      </c>
      <c r="AY62" s="204">
        <f t="shared" si="85"/>
        <v>13.885088564404706</v>
      </c>
      <c r="AZ62" s="204">
        <f t="shared" si="85"/>
        <v>14.399351103827103</v>
      </c>
      <c r="BA62" s="204">
        <f t="shared" si="85"/>
        <v>14.9136136432495</v>
      </c>
      <c r="BB62" s="204">
        <f t="shared" si="85"/>
        <v>16.232697056867945</v>
      </c>
      <c r="BC62" s="204">
        <f t="shared" si="85"/>
        <v>18.356601344682446</v>
      </c>
      <c r="BD62" s="204">
        <f t="shared" si="85"/>
        <v>20.480505632496943</v>
      </c>
      <c r="BE62" s="204">
        <f t="shared" si="85"/>
        <v>22.60440992031144</v>
      </c>
      <c r="BF62" s="204">
        <f t="shared" si="85"/>
        <v>24.728314208125937</v>
      </c>
      <c r="BG62" s="204">
        <f t="shared" si="85"/>
        <v>26.852218495940438</v>
      </c>
      <c r="BH62" s="204">
        <f t="shared" si="85"/>
        <v>28.976122783754938</v>
      </c>
      <c r="BI62" s="204">
        <f t="shared" si="85"/>
        <v>31.100027071569436</v>
      </c>
      <c r="BJ62" s="204">
        <f t="shared" si="85"/>
        <v>33.223931359383933</v>
      </c>
      <c r="BK62" s="204">
        <f t="shared" si="85"/>
        <v>35.347835647198437</v>
      </c>
      <c r="BL62" s="204">
        <f t="shared" si="85"/>
        <v>37.471739935012934</v>
      </c>
      <c r="BM62" s="204">
        <f t="shared" si="85"/>
        <v>39.595644222827431</v>
      </c>
      <c r="BN62" s="204">
        <f t="shared" si="85"/>
        <v>41.719548510641928</v>
      </c>
      <c r="BO62" s="204">
        <f t="shared" si="85"/>
        <v>43.843452798456426</v>
      </c>
      <c r="BP62" s="204">
        <f t="shared" si="85"/>
        <v>45.967357086270923</v>
      </c>
      <c r="BQ62" s="204">
        <f t="shared" si="85"/>
        <v>48.09126137408542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50.215165661899917</v>
      </c>
      <c r="BS62" s="204">
        <f t="shared" si="86"/>
        <v>52.339069949714414</v>
      </c>
      <c r="BT62" s="204">
        <f t="shared" si="86"/>
        <v>54.462974237528911</v>
      </c>
      <c r="BU62" s="204">
        <f t="shared" si="86"/>
        <v>56.586878525343423</v>
      </c>
      <c r="BV62" s="204">
        <f t="shared" si="86"/>
        <v>58.71078281315792</v>
      </c>
      <c r="BW62" s="204">
        <f t="shared" si="86"/>
        <v>60.834687100972417</v>
      </c>
      <c r="BX62" s="204">
        <f t="shared" si="86"/>
        <v>62.958591388786914</v>
      </c>
      <c r="BY62" s="204">
        <f t="shared" si="86"/>
        <v>65.082495676601411</v>
      </c>
      <c r="BZ62" s="204">
        <f t="shared" si="86"/>
        <v>67.206399964415908</v>
      </c>
      <c r="CA62" s="204">
        <f t="shared" si="86"/>
        <v>69.609667969530051</v>
      </c>
      <c r="CB62" s="204">
        <f t="shared" si="86"/>
        <v>72.292299691943825</v>
      </c>
      <c r="CC62" s="204">
        <f t="shared" si="86"/>
        <v>74.974931414357613</v>
      </c>
      <c r="CD62" s="204">
        <f t="shared" si="86"/>
        <v>77.657563136771401</v>
      </c>
      <c r="CE62" s="204">
        <f t="shared" si="86"/>
        <v>80.340194859185175</v>
      </c>
      <c r="CF62" s="204">
        <f t="shared" si="86"/>
        <v>83.022826581598963</v>
      </c>
      <c r="CG62" s="204">
        <f t="shared" si="86"/>
        <v>85.705458304012751</v>
      </c>
      <c r="CH62" s="204">
        <f t="shared" si="86"/>
        <v>88.388090026426525</v>
      </c>
      <c r="CI62" s="204">
        <f t="shared" si="86"/>
        <v>91.070721748840313</v>
      </c>
      <c r="CJ62" s="204">
        <f t="shared" si="86"/>
        <v>93.753353471254087</v>
      </c>
      <c r="CK62" s="204">
        <f t="shared" si="86"/>
        <v>96.435985193667875</v>
      </c>
      <c r="CL62" s="204">
        <f t="shared" si="86"/>
        <v>99.118616916081663</v>
      </c>
      <c r="CM62" s="204">
        <f t="shared" si="86"/>
        <v>101.80124863849545</v>
      </c>
      <c r="CN62" s="204">
        <f t="shared" si="86"/>
        <v>104.48388036090923</v>
      </c>
      <c r="CO62" s="204">
        <f t="shared" si="86"/>
        <v>107.166512083323</v>
      </c>
      <c r="CP62" s="204">
        <f t="shared" si="86"/>
        <v>109.84914380573679</v>
      </c>
      <c r="CQ62" s="204">
        <f t="shared" si="86"/>
        <v>112.53177552815058</v>
      </c>
      <c r="CR62" s="204">
        <f t="shared" si="86"/>
        <v>115.21440725056436</v>
      </c>
      <c r="CS62" s="204">
        <f t="shared" si="86"/>
        <v>117.89703897297814</v>
      </c>
      <c r="CT62" s="204">
        <f t="shared" si="86"/>
        <v>120.57967069539191</v>
      </c>
      <c r="CU62" s="204">
        <f t="shared" si="86"/>
        <v>123.2623024178057</v>
      </c>
      <c r="CV62" s="204">
        <f t="shared" si="86"/>
        <v>123.2623024178057</v>
      </c>
      <c r="CW62" s="204">
        <f t="shared" si="86"/>
        <v>123.2623024178057</v>
      </c>
      <c r="CX62" s="204">
        <f t="shared" si="86"/>
        <v>123.2623024178057</v>
      </c>
      <c r="CY62" s="204">
        <f t="shared" si="86"/>
        <v>123.2623024178057</v>
      </c>
      <c r="CZ62" s="204">
        <f t="shared" si="86"/>
        <v>123.2623024178057</v>
      </c>
      <c r="DA62" s="204">
        <f t="shared" si="86"/>
        <v>123.2623024178057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102.85250788447931</v>
      </c>
      <c r="Z63" s="204">
        <f t="shared" si="87"/>
        <v>205.70501576895862</v>
      </c>
      <c r="AA63" s="204">
        <f t="shared" si="87"/>
        <v>308.5575236534379</v>
      </c>
      <c r="AB63" s="204">
        <f t="shared" si="87"/>
        <v>411.41003153791723</v>
      </c>
      <c r="AC63" s="204">
        <f t="shared" si="87"/>
        <v>514.26253942239657</v>
      </c>
      <c r="AD63" s="204">
        <f t="shared" si="87"/>
        <v>617.11504730687579</v>
      </c>
      <c r="AE63" s="204">
        <f t="shared" si="87"/>
        <v>719.96755519135513</v>
      </c>
      <c r="AF63" s="204">
        <f t="shared" si="87"/>
        <v>822.82006307583447</v>
      </c>
      <c r="AG63" s="204">
        <f t="shared" si="87"/>
        <v>925.67257096031381</v>
      </c>
      <c r="AH63" s="204">
        <f t="shared" si="87"/>
        <v>1028.5250788447931</v>
      </c>
      <c r="AI63" s="204">
        <f t="shared" si="87"/>
        <v>1131.3775867292725</v>
      </c>
      <c r="AJ63" s="204">
        <f t="shared" si="87"/>
        <v>1234.2300946137516</v>
      </c>
      <c r="AK63" s="204">
        <f t="shared" si="87"/>
        <v>1337.0826024982309</v>
      </c>
      <c r="AL63" s="204">
        <f t="shared" si="87"/>
        <v>1439.9351103827103</v>
      </c>
      <c r="AM63" s="204">
        <f t="shared" si="87"/>
        <v>1542.7876182671896</v>
      </c>
      <c r="AN63" s="204">
        <f t="shared" si="87"/>
        <v>1645.6401261516689</v>
      </c>
      <c r="AO63" s="204">
        <f t="shared" si="87"/>
        <v>1748.4926340361483</v>
      </c>
      <c r="AP63" s="204">
        <f t="shared" si="87"/>
        <v>1851.3451419206276</v>
      </c>
      <c r="AQ63" s="204">
        <f t="shared" si="87"/>
        <v>1954.1976498051069</v>
      </c>
      <c r="AR63" s="204">
        <f t="shared" si="87"/>
        <v>2057.0501576895863</v>
      </c>
      <c r="AS63" s="204">
        <f t="shared" si="87"/>
        <v>2159.9026655740654</v>
      </c>
      <c r="AT63" s="204">
        <f t="shared" si="87"/>
        <v>2262.755173458545</v>
      </c>
      <c r="AU63" s="204">
        <f t="shared" si="87"/>
        <v>2365.6076813430241</v>
      </c>
      <c r="AV63" s="204">
        <f t="shared" si="87"/>
        <v>2468.4601892275032</v>
      </c>
      <c r="AW63" s="204">
        <f t="shared" si="87"/>
        <v>2571.3126971119827</v>
      </c>
      <c r="AX63" s="204">
        <f t="shared" si="87"/>
        <v>2674.1652049964619</v>
      </c>
      <c r="AY63" s="204">
        <f t="shared" si="87"/>
        <v>2777.0177128809414</v>
      </c>
      <c r="AZ63" s="204">
        <f t="shared" si="87"/>
        <v>2879.8702207654205</v>
      </c>
      <c r="BA63" s="204">
        <f t="shared" si="87"/>
        <v>2982.7227286499001</v>
      </c>
      <c r="BB63" s="204">
        <f t="shared" si="87"/>
        <v>3178.2710592652661</v>
      </c>
      <c r="BC63" s="204">
        <f t="shared" si="87"/>
        <v>3466.5152126115195</v>
      </c>
      <c r="BD63" s="204">
        <f t="shared" si="87"/>
        <v>3754.7593659577728</v>
      </c>
      <c r="BE63" s="204">
        <f t="shared" si="87"/>
        <v>4043.0035193040258</v>
      </c>
      <c r="BF63" s="204">
        <f t="shared" si="87"/>
        <v>4331.2476726502791</v>
      </c>
      <c r="BG63" s="204">
        <f t="shared" si="87"/>
        <v>4619.4918259965325</v>
      </c>
      <c r="BH63" s="204">
        <f t="shared" si="87"/>
        <v>4907.7359793427859</v>
      </c>
      <c r="BI63" s="204">
        <f t="shared" si="87"/>
        <v>5195.9801326890392</v>
      </c>
      <c r="BJ63" s="204">
        <f t="shared" si="87"/>
        <v>5484.2242860352926</v>
      </c>
      <c r="BK63" s="204">
        <f t="shared" si="87"/>
        <v>5772.468439381546</v>
      </c>
      <c r="BL63" s="204">
        <f t="shared" si="87"/>
        <v>6060.7125927277993</v>
      </c>
      <c r="BM63" s="204">
        <f t="shared" si="87"/>
        <v>6348.9567460740527</v>
      </c>
      <c r="BN63" s="204">
        <f t="shared" si="87"/>
        <v>6637.2008994203061</v>
      </c>
      <c r="BO63" s="204">
        <f t="shared" si="87"/>
        <v>6925.4450527665595</v>
      </c>
      <c r="BP63" s="204">
        <f t="shared" si="87"/>
        <v>7213.6892061128128</v>
      </c>
      <c r="BQ63" s="204">
        <f t="shared" si="87"/>
        <v>7501.9333594590662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7790.1775128053196</v>
      </c>
      <c r="BS63" s="204">
        <f t="shared" si="89"/>
        <v>8078.4216661515729</v>
      </c>
      <c r="BT63" s="204">
        <f t="shared" si="89"/>
        <v>8366.6658194978263</v>
      </c>
      <c r="BU63" s="204">
        <f t="shared" si="89"/>
        <v>8654.9099728440797</v>
      </c>
      <c r="BV63" s="204">
        <f t="shared" si="89"/>
        <v>8943.154126190333</v>
      </c>
      <c r="BW63" s="204">
        <f t="shared" si="89"/>
        <v>9231.3982795365864</v>
      </c>
      <c r="BX63" s="204">
        <f t="shared" si="89"/>
        <v>9519.6424328828398</v>
      </c>
      <c r="BY63" s="204">
        <f t="shared" si="89"/>
        <v>9807.8865862290932</v>
      </c>
      <c r="BZ63" s="204">
        <f t="shared" si="89"/>
        <v>10096.130739575345</v>
      </c>
      <c r="CA63" s="204">
        <f t="shared" si="89"/>
        <v>11262.428007030276</v>
      </c>
      <c r="CB63" s="204">
        <f t="shared" si="89"/>
        <v>13306.778388593881</v>
      </c>
      <c r="CC63" s="204">
        <f t="shared" si="89"/>
        <v>15351.128770157487</v>
      </c>
      <c r="CD63" s="204">
        <f t="shared" si="89"/>
        <v>17395.479151721094</v>
      </c>
      <c r="CE63" s="204">
        <f t="shared" si="89"/>
        <v>19439.829533284697</v>
      </c>
      <c r="CF63" s="204">
        <f t="shared" si="89"/>
        <v>21484.179914848304</v>
      </c>
      <c r="CG63" s="204">
        <f t="shared" si="89"/>
        <v>23528.530296411911</v>
      </c>
      <c r="CH63" s="204">
        <f t="shared" si="89"/>
        <v>25572.880677975518</v>
      </c>
      <c r="CI63" s="204">
        <f t="shared" si="89"/>
        <v>27617.231059539125</v>
      </c>
      <c r="CJ63" s="204">
        <f t="shared" si="89"/>
        <v>29661.581441102731</v>
      </c>
      <c r="CK63" s="204">
        <f t="shared" si="89"/>
        <v>31705.931822666338</v>
      </c>
      <c r="CL63" s="204">
        <f t="shared" si="89"/>
        <v>33750.282204229945</v>
      </c>
      <c r="CM63" s="204">
        <f t="shared" si="89"/>
        <v>35794.632585793552</v>
      </c>
      <c r="CN63" s="204">
        <f t="shared" si="89"/>
        <v>37838.982967357151</v>
      </c>
      <c r="CO63" s="204">
        <f t="shared" si="89"/>
        <v>39883.333348920758</v>
      </c>
      <c r="CP63" s="204">
        <f t="shared" si="89"/>
        <v>41927.683730484365</v>
      </c>
      <c r="CQ63" s="204">
        <f t="shared" si="89"/>
        <v>43972.034112047972</v>
      </c>
      <c r="CR63" s="204">
        <f t="shared" si="89"/>
        <v>46016.384493611578</v>
      </c>
      <c r="CS63" s="204">
        <f t="shared" si="89"/>
        <v>48060.734875175185</v>
      </c>
      <c r="CT63" s="204">
        <f t="shared" si="89"/>
        <v>50105.085256738792</v>
      </c>
      <c r="CU63" s="204">
        <f t="shared" si="89"/>
        <v>52149.435638302399</v>
      </c>
      <c r="CV63" s="204">
        <f t="shared" si="89"/>
        <v>52149.435638302399</v>
      </c>
      <c r="CW63" s="204">
        <f t="shared" si="89"/>
        <v>52149.435638302399</v>
      </c>
      <c r="CX63" s="204">
        <f t="shared" si="89"/>
        <v>52149.435638302399</v>
      </c>
      <c r="CY63" s="204">
        <f t="shared" si="89"/>
        <v>52149.435638302399</v>
      </c>
      <c r="CZ63" s="204">
        <f t="shared" si="89"/>
        <v>52149.435638302399</v>
      </c>
      <c r="DA63" s="204">
        <f t="shared" si="89"/>
        <v>52149.435638302399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176.62640873941967</v>
      </c>
      <c r="G64" s="204">
        <f t="shared" si="90"/>
        <v>176.62640873941967</v>
      </c>
      <c r="H64" s="204">
        <f t="shared" si="90"/>
        <v>176.62640873941967</v>
      </c>
      <c r="I64" s="204">
        <f t="shared" si="90"/>
        <v>176.62640873941967</v>
      </c>
      <c r="J64" s="204">
        <f t="shared" si="90"/>
        <v>176.62640873941967</v>
      </c>
      <c r="K64" s="204">
        <f t="shared" si="90"/>
        <v>176.62640873941967</v>
      </c>
      <c r="L64" s="204">
        <f t="shared" si="88"/>
        <v>176.62640873941967</v>
      </c>
      <c r="M64" s="204">
        <f t="shared" si="90"/>
        <v>176.62640873941967</v>
      </c>
      <c r="N64" s="204">
        <f t="shared" si="90"/>
        <v>176.62640873941967</v>
      </c>
      <c r="O64" s="204">
        <f t="shared" si="90"/>
        <v>176.62640873941967</v>
      </c>
      <c r="P64" s="204">
        <f t="shared" si="90"/>
        <v>176.62640873941967</v>
      </c>
      <c r="Q64" s="204">
        <f t="shared" si="90"/>
        <v>176.62640873941967</v>
      </c>
      <c r="R64" s="204">
        <f t="shared" si="90"/>
        <v>176.62640873941967</v>
      </c>
      <c r="S64" s="204">
        <f t="shared" si="90"/>
        <v>176.62640873941967</v>
      </c>
      <c r="T64" s="204">
        <f t="shared" si="90"/>
        <v>176.62640873941967</v>
      </c>
      <c r="U64" s="204">
        <f t="shared" si="90"/>
        <v>176.62640873941967</v>
      </c>
      <c r="V64" s="204">
        <f t="shared" si="90"/>
        <v>176.62640873941967</v>
      </c>
      <c r="W64" s="204">
        <f t="shared" si="90"/>
        <v>176.62640873941967</v>
      </c>
      <c r="X64" s="204">
        <f t="shared" si="90"/>
        <v>176.62640873941967</v>
      </c>
      <c r="Y64" s="204">
        <f t="shared" si="90"/>
        <v>191.51077663646515</v>
      </c>
      <c r="Z64" s="204">
        <f t="shared" si="90"/>
        <v>206.3951445335106</v>
      </c>
      <c r="AA64" s="204">
        <f t="shared" si="90"/>
        <v>221.27951243055608</v>
      </c>
      <c r="AB64" s="204">
        <f t="shared" si="90"/>
        <v>236.16388032760156</v>
      </c>
      <c r="AC64" s="204">
        <f t="shared" si="90"/>
        <v>251.04824822464701</v>
      </c>
      <c r="AD64" s="204">
        <f t="shared" si="90"/>
        <v>265.93261612169249</v>
      </c>
      <c r="AE64" s="204">
        <f t="shared" si="90"/>
        <v>280.81698401873797</v>
      </c>
      <c r="AF64" s="204">
        <f t="shared" si="90"/>
        <v>295.70135191578345</v>
      </c>
      <c r="AG64" s="204">
        <f t="shared" si="90"/>
        <v>310.58571981282887</v>
      </c>
      <c r="AH64" s="204">
        <f t="shared" si="90"/>
        <v>325.47008770987441</v>
      </c>
      <c r="AI64" s="204">
        <f t="shared" si="90"/>
        <v>340.35445560691983</v>
      </c>
      <c r="AJ64" s="204">
        <f t="shared" si="90"/>
        <v>355.23882350396531</v>
      </c>
      <c r="AK64" s="204">
        <f t="shared" si="90"/>
        <v>370.12319140101079</v>
      </c>
      <c r="AL64" s="204">
        <f t="shared" si="90"/>
        <v>385.00755929805626</v>
      </c>
      <c r="AM64" s="204">
        <f t="shared" si="90"/>
        <v>399.89192719510174</v>
      </c>
      <c r="AN64" s="204">
        <f t="shared" si="90"/>
        <v>414.77629509214717</v>
      </c>
      <c r="AO64" s="204">
        <f t="shared" si="90"/>
        <v>429.6606629891927</v>
      </c>
      <c r="AP64" s="204">
        <f t="shared" si="90"/>
        <v>444.54503088623812</v>
      </c>
      <c r="AQ64" s="204">
        <f t="shared" si="90"/>
        <v>459.4293987832836</v>
      </c>
      <c r="AR64" s="204">
        <f t="shared" si="90"/>
        <v>474.31376668032908</v>
      </c>
      <c r="AS64" s="204">
        <f t="shared" si="90"/>
        <v>489.19813457737456</v>
      </c>
      <c r="AT64" s="204">
        <f t="shared" si="90"/>
        <v>504.08250247442004</v>
      </c>
      <c r="AU64" s="204">
        <f t="shared" si="90"/>
        <v>518.96687037146546</v>
      </c>
      <c r="AV64" s="204">
        <f t="shared" si="90"/>
        <v>533.851238268511</v>
      </c>
      <c r="AW64" s="204">
        <f t="shared" si="90"/>
        <v>548.73560616555642</v>
      </c>
      <c r="AX64" s="204">
        <f t="shared" si="90"/>
        <v>563.61997406260184</v>
      </c>
      <c r="AY64" s="204">
        <f t="shared" si="90"/>
        <v>578.50434195964738</v>
      </c>
      <c r="AZ64" s="204">
        <f t="shared" si="90"/>
        <v>593.38870985669291</v>
      </c>
      <c r="BA64" s="204">
        <f t="shared" si="90"/>
        <v>608.27307775373833</v>
      </c>
      <c r="BB64" s="204">
        <f t="shared" si="90"/>
        <v>613.82169462567379</v>
      </c>
      <c r="BC64" s="204">
        <f t="shared" si="90"/>
        <v>610.03456047249927</v>
      </c>
      <c r="BD64" s="204">
        <f t="shared" si="90"/>
        <v>606.24742631932475</v>
      </c>
      <c r="BE64" s="204">
        <f t="shared" si="90"/>
        <v>602.46029216615023</v>
      </c>
      <c r="BF64" s="204">
        <f t="shared" si="90"/>
        <v>598.6731580129757</v>
      </c>
      <c r="BG64" s="204">
        <f t="shared" si="90"/>
        <v>594.88602385980118</v>
      </c>
      <c r="BH64" s="204">
        <f t="shared" si="90"/>
        <v>591.09888970662678</v>
      </c>
      <c r="BI64" s="204">
        <f t="shared" si="90"/>
        <v>587.31175555345226</v>
      </c>
      <c r="BJ64" s="204">
        <f t="shared" si="90"/>
        <v>583.52462140027774</v>
      </c>
      <c r="BK64" s="204">
        <f t="shared" si="90"/>
        <v>579.73748724710322</v>
      </c>
      <c r="BL64" s="204">
        <f t="shared" si="90"/>
        <v>575.9503530939287</v>
      </c>
      <c r="BM64" s="204">
        <f t="shared" si="90"/>
        <v>572.16321894075418</v>
      </c>
      <c r="BN64" s="204">
        <f t="shared" si="90"/>
        <v>568.37608478757966</v>
      </c>
      <c r="BO64" s="204">
        <f t="shared" si="90"/>
        <v>564.58895063440514</v>
      </c>
      <c r="BP64" s="204">
        <f t="shared" si="90"/>
        <v>560.80181648123062</v>
      </c>
      <c r="BQ64" s="204">
        <f t="shared" si="90"/>
        <v>557.0146823280561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553.22754817488158</v>
      </c>
      <c r="BS64" s="204">
        <f t="shared" si="91"/>
        <v>549.44041402170706</v>
      </c>
      <c r="BT64" s="204">
        <f t="shared" si="91"/>
        <v>545.65327986853254</v>
      </c>
      <c r="BU64" s="204">
        <f t="shared" si="91"/>
        <v>541.86614571535802</v>
      </c>
      <c r="BV64" s="204">
        <f t="shared" si="91"/>
        <v>538.07901156218361</v>
      </c>
      <c r="BW64" s="204">
        <f t="shared" si="91"/>
        <v>534.29187740900909</v>
      </c>
      <c r="BX64" s="204">
        <f t="shared" si="91"/>
        <v>530.50474325583457</v>
      </c>
      <c r="BY64" s="204">
        <f t="shared" si="91"/>
        <v>526.71760910266005</v>
      </c>
      <c r="BZ64" s="204">
        <f t="shared" si="91"/>
        <v>522.93047494948553</v>
      </c>
      <c r="CA64" s="204">
        <f t="shared" si="91"/>
        <v>512.63665179647194</v>
      </c>
      <c r="CB64" s="204">
        <f t="shared" si="91"/>
        <v>495.83613964361933</v>
      </c>
      <c r="CC64" s="204">
        <f t="shared" si="91"/>
        <v>479.03562749076673</v>
      </c>
      <c r="CD64" s="204">
        <f t="shared" si="91"/>
        <v>462.23511533791412</v>
      </c>
      <c r="CE64" s="204">
        <f t="shared" si="91"/>
        <v>445.43460318506152</v>
      </c>
      <c r="CF64" s="204">
        <f t="shared" si="91"/>
        <v>428.63409103220886</v>
      </c>
      <c r="CG64" s="204">
        <f t="shared" si="91"/>
        <v>411.83357887935625</v>
      </c>
      <c r="CH64" s="204">
        <f t="shared" si="91"/>
        <v>395.03306672650365</v>
      </c>
      <c r="CI64" s="204">
        <f t="shared" si="91"/>
        <v>378.23255457365099</v>
      </c>
      <c r="CJ64" s="204">
        <f t="shared" si="91"/>
        <v>361.43204242079838</v>
      </c>
      <c r="CK64" s="204">
        <f t="shared" si="91"/>
        <v>344.63153026794578</v>
      </c>
      <c r="CL64" s="204">
        <f t="shared" si="91"/>
        <v>327.83101811509312</v>
      </c>
      <c r="CM64" s="204">
        <f t="shared" si="91"/>
        <v>311.03050596224057</v>
      </c>
      <c r="CN64" s="204">
        <f t="shared" si="91"/>
        <v>294.22999380938791</v>
      </c>
      <c r="CO64" s="204">
        <f t="shared" si="91"/>
        <v>277.4294816565353</v>
      </c>
      <c r="CP64" s="204">
        <f t="shared" si="91"/>
        <v>260.6289695036827</v>
      </c>
      <c r="CQ64" s="204">
        <f t="shared" si="91"/>
        <v>243.82845735083004</v>
      </c>
      <c r="CR64" s="204">
        <f t="shared" si="91"/>
        <v>227.02794519797743</v>
      </c>
      <c r="CS64" s="204">
        <f t="shared" si="91"/>
        <v>210.22743304512483</v>
      </c>
      <c r="CT64" s="204">
        <f t="shared" si="91"/>
        <v>193.42692089227222</v>
      </c>
      <c r="CU64" s="204">
        <f t="shared" si="91"/>
        <v>176.62640873941956</v>
      </c>
      <c r="CV64" s="204">
        <f t="shared" si="91"/>
        <v>228.81640873941953</v>
      </c>
      <c r="CW64" s="204">
        <f t="shared" si="91"/>
        <v>281.00640873941938</v>
      </c>
      <c r="CX64" s="204">
        <f t="shared" si="91"/>
        <v>333.19640873941933</v>
      </c>
      <c r="CY64" s="204">
        <f t="shared" si="91"/>
        <v>385.38640873941915</v>
      </c>
      <c r="CZ64" s="204">
        <f t="shared" si="91"/>
        <v>437.57640873941909</v>
      </c>
      <c r="DA64" s="204">
        <f t="shared" si="91"/>
        <v>489.76640873941892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0</v>
      </c>
      <c r="CV66" s="204">
        <f t="shared" si="95"/>
        <v>2671.7</v>
      </c>
      <c r="CW66" s="204">
        <f t="shared" si="95"/>
        <v>5343.4</v>
      </c>
      <c r="CX66" s="204">
        <f t="shared" si="95"/>
        <v>8015.0999999999995</v>
      </c>
      <c r="CY66" s="204">
        <f t="shared" si="95"/>
        <v>10686.8</v>
      </c>
      <c r="CZ66" s="204">
        <f t="shared" si="95"/>
        <v>13358.5</v>
      </c>
      <c r="DA66" s="204">
        <f t="shared" si="95"/>
        <v>16030.199999999999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829.53</v>
      </c>
      <c r="CW67" s="204">
        <f t="shared" si="97"/>
        <v>1659.06</v>
      </c>
      <c r="CX67" s="204">
        <f t="shared" si="97"/>
        <v>2488.59</v>
      </c>
      <c r="CY67" s="204">
        <f t="shared" si="97"/>
        <v>3318.12</v>
      </c>
      <c r="CZ67" s="204">
        <f t="shared" si="97"/>
        <v>4147.6499999999996</v>
      </c>
      <c r="DA67" s="204">
        <f t="shared" si="97"/>
        <v>4977.18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5461.4681686658523</v>
      </c>
      <c r="G68" s="204">
        <f t="shared" si="98"/>
        <v>5461.4681686658523</v>
      </c>
      <c r="H68" s="204">
        <f t="shared" si="98"/>
        <v>5461.4681686658523</v>
      </c>
      <c r="I68" s="204">
        <f t="shared" si="98"/>
        <v>5461.4681686658523</v>
      </c>
      <c r="J68" s="204">
        <f t="shared" si="98"/>
        <v>5461.4681686658523</v>
      </c>
      <c r="K68" s="204">
        <f t="shared" si="98"/>
        <v>5461.4681686658523</v>
      </c>
      <c r="L68" s="204">
        <f t="shared" si="88"/>
        <v>5461.4681686658523</v>
      </c>
      <c r="M68" s="204">
        <f t="shared" si="98"/>
        <v>5461.4681686658523</v>
      </c>
      <c r="N68" s="204">
        <f t="shared" si="98"/>
        <v>5461.4681686658523</v>
      </c>
      <c r="O68" s="204">
        <f t="shared" si="98"/>
        <v>5461.4681686658523</v>
      </c>
      <c r="P68" s="204">
        <f t="shared" si="98"/>
        <v>5461.4681686658523</v>
      </c>
      <c r="Q68" s="204">
        <f t="shared" si="98"/>
        <v>5461.4681686658523</v>
      </c>
      <c r="R68" s="204">
        <f t="shared" si="98"/>
        <v>5461.4681686658523</v>
      </c>
      <c r="S68" s="204">
        <f t="shared" si="98"/>
        <v>5461.4681686658523</v>
      </c>
      <c r="T68" s="204">
        <f t="shared" si="98"/>
        <v>5461.4681686658523</v>
      </c>
      <c r="U68" s="204">
        <f t="shared" si="98"/>
        <v>5461.4681686658523</v>
      </c>
      <c r="V68" s="204">
        <f t="shared" si="98"/>
        <v>5461.4681686658523</v>
      </c>
      <c r="W68" s="204">
        <f t="shared" si="98"/>
        <v>5461.4681686658523</v>
      </c>
      <c r="X68" s="204">
        <f t="shared" si="98"/>
        <v>5461.4681686658523</v>
      </c>
      <c r="Y68" s="204">
        <f t="shared" si="98"/>
        <v>5770.0256923192901</v>
      </c>
      <c r="Z68" s="204">
        <f t="shared" si="98"/>
        <v>6078.5832159727279</v>
      </c>
      <c r="AA68" s="204">
        <f t="shared" si="98"/>
        <v>6387.1407396261657</v>
      </c>
      <c r="AB68" s="204">
        <f t="shared" si="98"/>
        <v>6695.6982632796044</v>
      </c>
      <c r="AC68" s="204">
        <f t="shared" si="98"/>
        <v>7004.2557869330412</v>
      </c>
      <c r="AD68" s="204">
        <f t="shared" si="98"/>
        <v>7312.8133105864799</v>
      </c>
      <c r="AE68" s="204">
        <f t="shared" si="98"/>
        <v>7621.3708342399177</v>
      </c>
      <c r="AF68" s="204">
        <f t="shared" si="98"/>
        <v>7929.9283578933555</v>
      </c>
      <c r="AG68" s="204">
        <f t="shared" si="98"/>
        <v>8238.4858815467924</v>
      </c>
      <c r="AH68" s="204">
        <f t="shared" si="98"/>
        <v>8547.0434052002311</v>
      </c>
      <c r="AI68" s="204">
        <f t="shared" si="98"/>
        <v>8855.6009288536698</v>
      </c>
      <c r="AJ68" s="204">
        <f t="shared" si="98"/>
        <v>9164.1584525071066</v>
      </c>
      <c r="AK68" s="204">
        <f t="shared" si="98"/>
        <v>9472.7159761605453</v>
      </c>
      <c r="AL68" s="204">
        <f t="shared" si="98"/>
        <v>9781.2734998139822</v>
      </c>
      <c r="AM68" s="204">
        <f t="shared" si="98"/>
        <v>10089.831023467421</v>
      </c>
      <c r="AN68" s="204">
        <f t="shared" si="98"/>
        <v>10398.38854712086</v>
      </c>
      <c r="AO68" s="204">
        <f t="shared" si="98"/>
        <v>10706.946070774296</v>
      </c>
      <c r="AP68" s="204">
        <f t="shared" si="98"/>
        <v>11015.503594427733</v>
      </c>
      <c r="AQ68" s="204">
        <f t="shared" si="98"/>
        <v>11324.061118081172</v>
      </c>
      <c r="AR68" s="204">
        <f t="shared" si="98"/>
        <v>11632.618641734611</v>
      </c>
      <c r="AS68" s="204">
        <f t="shared" si="98"/>
        <v>11941.176165388049</v>
      </c>
      <c r="AT68" s="204">
        <f t="shared" si="98"/>
        <v>12249.733689041486</v>
      </c>
      <c r="AU68" s="204">
        <f t="shared" si="98"/>
        <v>12558.291212694923</v>
      </c>
      <c r="AV68" s="204">
        <f t="shared" si="98"/>
        <v>12866.848736348362</v>
      </c>
      <c r="AW68" s="204">
        <f t="shared" si="98"/>
        <v>13175.406260001801</v>
      </c>
      <c r="AX68" s="204">
        <f t="shared" si="98"/>
        <v>13483.963783655237</v>
      </c>
      <c r="AY68" s="204">
        <f t="shared" si="98"/>
        <v>13792.521307308674</v>
      </c>
      <c r="AZ68" s="204">
        <f t="shared" si="98"/>
        <v>14101.078830962113</v>
      </c>
      <c r="BA68" s="204">
        <f t="shared" si="98"/>
        <v>14409.636354615552</v>
      </c>
      <c r="BB68" s="204">
        <f t="shared" si="98"/>
        <v>14928.012994353328</v>
      </c>
      <c r="BC68" s="204">
        <f t="shared" si="98"/>
        <v>15656.208750175441</v>
      </c>
      <c r="BD68" s="204">
        <f t="shared" si="98"/>
        <v>16384.404505997554</v>
      </c>
      <c r="BE68" s="204">
        <f t="shared" si="98"/>
        <v>17112.600261819669</v>
      </c>
      <c r="BF68" s="204">
        <f t="shared" si="98"/>
        <v>17840.796017641784</v>
      </c>
      <c r="BG68" s="204">
        <f t="shared" si="98"/>
        <v>18568.991773463895</v>
      </c>
      <c r="BH68" s="204">
        <f t="shared" si="98"/>
        <v>19297.18752928601</v>
      </c>
      <c r="BI68" s="204">
        <f t="shared" si="98"/>
        <v>20025.383285108124</v>
      </c>
      <c r="BJ68" s="204">
        <f t="shared" si="98"/>
        <v>20753.579040930235</v>
      </c>
      <c r="BK68" s="204">
        <f t="shared" si="98"/>
        <v>21481.77479675235</v>
      </c>
      <c r="BL68" s="204">
        <f t="shared" si="98"/>
        <v>22209.970552574465</v>
      </c>
      <c r="BM68" s="204">
        <f t="shared" si="98"/>
        <v>22938.16630839658</v>
      </c>
      <c r="BN68" s="204">
        <f t="shared" si="98"/>
        <v>23666.362064218694</v>
      </c>
      <c r="BO68" s="204">
        <f t="shared" si="98"/>
        <v>24394.557820040805</v>
      </c>
      <c r="BP68" s="204">
        <f t="shared" si="98"/>
        <v>25122.75357586292</v>
      </c>
      <c r="BQ68" s="204">
        <f t="shared" si="98"/>
        <v>25850.949331685035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26579.145087507146</v>
      </c>
      <c r="BS68" s="204">
        <f t="shared" si="99"/>
        <v>27307.340843329261</v>
      </c>
      <c r="BT68" s="204">
        <f t="shared" si="99"/>
        <v>28035.536599151375</v>
      </c>
      <c r="BU68" s="204">
        <f t="shared" si="99"/>
        <v>28763.732354973487</v>
      </c>
      <c r="BV68" s="204">
        <f t="shared" si="99"/>
        <v>29491.928110795601</v>
      </c>
      <c r="BW68" s="204">
        <f t="shared" si="99"/>
        <v>30220.123866617716</v>
      </c>
      <c r="BX68" s="204">
        <f t="shared" si="99"/>
        <v>30948.319622439827</v>
      </c>
      <c r="BY68" s="204">
        <f t="shared" si="99"/>
        <v>31676.515378261945</v>
      </c>
      <c r="BZ68" s="204">
        <f t="shared" si="99"/>
        <v>32404.711134084057</v>
      </c>
      <c r="CA68" s="204">
        <f t="shared" si="99"/>
        <v>33449.827451319608</v>
      </c>
      <c r="CB68" s="204">
        <f t="shared" si="99"/>
        <v>34811.864329968594</v>
      </c>
      <c r="CC68" s="204">
        <f t="shared" si="99"/>
        <v>36173.901208617579</v>
      </c>
      <c r="CD68" s="204">
        <f t="shared" si="99"/>
        <v>37535.938087266557</v>
      </c>
      <c r="CE68" s="204">
        <f t="shared" si="99"/>
        <v>38897.974965915542</v>
      </c>
      <c r="CF68" s="204">
        <f t="shared" si="99"/>
        <v>40260.011844564528</v>
      </c>
      <c r="CG68" s="204">
        <f t="shared" si="99"/>
        <v>41622.048723213513</v>
      </c>
      <c r="CH68" s="204">
        <f t="shared" si="99"/>
        <v>42984.085601862491</v>
      </c>
      <c r="CI68" s="204">
        <f t="shared" si="99"/>
        <v>44346.122480511476</v>
      </c>
      <c r="CJ68" s="204">
        <f t="shared" si="99"/>
        <v>45708.159359160461</v>
      </c>
      <c r="CK68" s="204">
        <f t="shared" si="99"/>
        <v>47070.196237809447</v>
      </c>
      <c r="CL68" s="204">
        <f t="shared" si="99"/>
        <v>48432.233116458432</v>
      </c>
      <c r="CM68" s="204">
        <f t="shared" si="99"/>
        <v>49794.269995107417</v>
      </c>
      <c r="CN68" s="204">
        <f t="shared" si="99"/>
        <v>51156.306873756403</v>
      </c>
      <c r="CO68" s="204">
        <f t="shared" si="99"/>
        <v>52518.343752405388</v>
      </c>
      <c r="CP68" s="204">
        <f t="shared" si="99"/>
        <v>53880.380631054366</v>
      </c>
      <c r="CQ68" s="204">
        <f t="shared" si="99"/>
        <v>55242.417509703351</v>
      </c>
      <c r="CR68" s="204">
        <f t="shared" si="99"/>
        <v>56604.454388352329</v>
      </c>
      <c r="CS68" s="204">
        <f t="shared" si="99"/>
        <v>57966.491267001315</v>
      </c>
      <c r="CT68" s="204">
        <f t="shared" si="99"/>
        <v>59328.5281456503</v>
      </c>
      <c r="CU68" s="204">
        <f t="shared" si="99"/>
        <v>60690.565024299285</v>
      </c>
      <c r="CV68" s="204">
        <f t="shared" si="99"/>
        <v>66894.065024299285</v>
      </c>
      <c r="CW68" s="204">
        <f t="shared" si="99"/>
        <v>73097.565024299285</v>
      </c>
      <c r="CX68" s="204">
        <f t="shared" si="99"/>
        <v>79301.065024299285</v>
      </c>
      <c r="CY68" s="204">
        <f t="shared" si="99"/>
        <v>85504.565024299285</v>
      </c>
      <c r="CZ68" s="204">
        <f t="shared" si="99"/>
        <v>91708.065024299285</v>
      </c>
      <c r="DA68" s="204">
        <f t="shared" si="99"/>
        <v>97911.565024299285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1682.1562737087584</v>
      </c>
      <c r="G69" s="204">
        <f t="shared" si="100"/>
        <v>1682.1562737087584</v>
      </c>
      <c r="H69" s="204">
        <f t="shared" si="100"/>
        <v>1682.1562737087584</v>
      </c>
      <c r="I69" s="204">
        <f t="shared" si="100"/>
        <v>1682.1562737087584</v>
      </c>
      <c r="J69" s="204">
        <f t="shared" si="100"/>
        <v>1682.1562737087584</v>
      </c>
      <c r="K69" s="204">
        <f t="shared" si="100"/>
        <v>1682.1562737087584</v>
      </c>
      <c r="L69" s="204">
        <f t="shared" si="88"/>
        <v>1682.1562737087584</v>
      </c>
      <c r="M69" s="204">
        <f t="shared" si="100"/>
        <v>1682.1562737087584</v>
      </c>
      <c r="N69" s="204">
        <f t="shared" si="100"/>
        <v>1682.1562737087584</v>
      </c>
      <c r="O69" s="204">
        <f t="shared" si="100"/>
        <v>1682.1562737087584</v>
      </c>
      <c r="P69" s="204">
        <f t="shared" si="100"/>
        <v>1682.1562737087584</v>
      </c>
      <c r="Q69" s="204">
        <f t="shared" si="100"/>
        <v>1682.1562737087584</v>
      </c>
      <c r="R69" s="204">
        <f t="shared" si="100"/>
        <v>1682.1562737087584</v>
      </c>
      <c r="S69" s="204">
        <f t="shared" si="100"/>
        <v>1682.1562737087584</v>
      </c>
      <c r="T69" s="204">
        <f t="shared" si="100"/>
        <v>1682.1562737087584</v>
      </c>
      <c r="U69" s="204">
        <f t="shared" si="100"/>
        <v>1682.1562737087584</v>
      </c>
      <c r="V69" s="204">
        <f t="shared" si="100"/>
        <v>1682.1562737087584</v>
      </c>
      <c r="W69" s="204">
        <f t="shared" si="100"/>
        <v>1682.1562737087584</v>
      </c>
      <c r="X69" s="204">
        <f t="shared" si="100"/>
        <v>1682.1562737087584</v>
      </c>
      <c r="Y69" s="204">
        <f t="shared" si="100"/>
        <v>1682.1562737087584</v>
      </c>
      <c r="Z69" s="204">
        <f t="shared" si="100"/>
        <v>1682.1562737087584</v>
      </c>
      <c r="AA69" s="204">
        <f t="shared" si="100"/>
        <v>1682.1562737087584</v>
      </c>
      <c r="AB69" s="204">
        <f t="shared" si="100"/>
        <v>1682.1562737087584</v>
      </c>
      <c r="AC69" s="204">
        <f t="shared" si="100"/>
        <v>1682.1562737087584</v>
      </c>
      <c r="AD69" s="204">
        <f t="shared" si="100"/>
        <v>1682.1562737087584</v>
      </c>
      <c r="AE69" s="204">
        <f t="shared" si="100"/>
        <v>1682.1562737087584</v>
      </c>
      <c r="AF69" s="204">
        <f t="shared" si="100"/>
        <v>1682.1562737087584</v>
      </c>
      <c r="AG69" s="204">
        <f t="shared" si="100"/>
        <v>1682.1562737087584</v>
      </c>
      <c r="AH69" s="204">
        <f t="shared" si="100"/>
        <v>1682.1562737087584</v>
      </c>
      <c r="AI69" s="204">
        <f t="shared" si="100"/>
        <v>1682.1562737087584</v>
      </c>
      <c r="AJ69" s="204">
        <f t="shared" si="100"/>
        <v>1682.1562737087584</v>
      </c>
      <c r="AK69" s="204">
        <f t="shared" si="100"/>
        <v>1682.1562737087584</v>
      </c>
      <c r="AL69" s="204">
        <f t="shared" si="100"/>
        <v>1682.1562737087584</v>
      </c>
      <c r="AM69" s="204">
        <f t="shared" si="100"/>
        <v>1682.1562737087584</v>
      </c>
      <c r="AN69" s="204">
        <f t="shared" si="100"/>
        <v>1682.1562737087584</v>
      </c>
      <c r="AO69" s="204">
        <f t="shared" si="100"/>
        <v>1682.1562737087584</v>
      </c>
      <c r="AP69" s="204">
        <f t="shared" si="100"/>
        <v>1682.1562737087584</v>
      </c>
      <c r="AQ69" s="204">
        <f t="shared" si="100"/>
        <v>1682.1562737087584</v>
      </c>
      <c r="AR69" s="204">
        <f t="shared" si="100"/>
        <v>1682.1562737087584</v>
      </c>
      <c r="AS69" s="204">
        <f t="shared" si="100"/>
        <v>1682.1562737087584</v>
      </c>
      <c r="AT69" s="204">
        <f t="shared" si="100"/>
        <v>1682.1562737087584</v>
      </c>
      <c r="AU69" s="204">
        <f t="shared" si="100"/>
        <v>1682.1562737087584</v>
      </c>
      <c r="AV69" s="204">
        <f t="shared" si="100"/>
        <v>1682.1562737087584</v>
      </c>
      <c r="AW69" s="204">
        <f t="shared" si="100"/>
        <v>1682.1562737087584</v>
      </c>
      <c r="AX69" s="204">
        <f t="shared" si="100"/>
        <v>1682.1562737087584</v>
      </c>
      <c r="AY69" s="204">
        <f t="shared" si="100"/>
        <v>1682.1562737087584</v>
      </c>
      <c r="AZ69" s="204">
        <f t="shared" si="100"/>
        <v>1682.1562737087584</v>
      </c>
      <c r="BA69" s="204">
        <f t="shared" si="100"/>
        <v>1682.1562737087584</v>
      </c>
      <c r="BB69" s="204">
        <f t="shared" si="100"/>
        <v>1682.1562737087584</v>
      </c>
      <c r="BC69" s="204">
        <f t="shared" si="100"/>
        <v>1682.1562737087584</v>
      </c>
      <c r="BD69" s="204">
        <f t="shared" si="100"/>
        <v>1682.1562737087584</v>
      </c>
      <c r="BE69" s="204">
        <f t="shared" si="100"/>
        <v>1682.1562737087584</v>
      </c>
      <c r="BF69" s="204">
        <f t="shared" si="100"/>
        <v>1682.1562737087584</v>
      </c>
      <c r="BG69" s="204">
        <f t="shared" si="100"/>
        <v>1682.1562737087584</v>
      </c>
      <c r="BH69" s="204">
        <f t="shared" si="100"/>
        <v>1682.1562737087584</v>
      </c>
      <c r="BI69" s="204">
        <f t="shared" si="100"/>
        <v>1682.1562737087584</v>
      </c>
      <c r="BJ69" s="204">
        <f t="shared" si="100"/>
        <v>1682.1562737087584</v>
      </c>
      <c r="BK69" s="204">
        <f t="shared" si="100"/>
        <v>1682.1562737087584</v>
      </c>
      <c r="BL69" s="204">
        <f t="shared" si="100"/>
        <v>1682.1562737087584</v>
      </c>
      <c r="BM69" s="204">
        <f t="shared" si="100"/>
        <v>1682.1562737087584</v>
      </c>
      <c r="BN69" s="204">
        <f t="shared" si="100"/>
        <v>1682.1562737087584</v>
      </c>
      <c r="BO69" s="204">
        <f t="shared" si="100"/>
        <v>1682.1562737087584</v>
      </c>
      <c r="BP69" s="204">
        <f t="shared" si="100"/>
        <v>1682.1562737087584</v>
      </c>
      <c r="BQ69" s="204">
        <f t="shared" si="100"/>
        <v>1682.1562737087584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1682.1562737087584</v>
      </c>
      <c r="BS69" s="204">
        <f t="shared" si="101"/>
        <v>1682.1562737087584</v>
      </c>
      <c r="BT69" s="204">
        <f t="shared" si="101"/>
        <v>1682.1562737087584</v>
      </c>
      <c r="BU69" s="204">
        <f t="shared" si="101"/>
        <v>1682.1562737087584</v>
      </c>
      <c r="BV69" s="204">
        <f t="shared" si="101"/>
        <v>1682.1562737087584</v>
      </c>
      <c r="BW69" s="204">
        <f t="shared" si="101"/>
        <v>1682.1562737087584</v>
      </c>
      <c r="BX69" s="204">
        <f t="shared" si="101"/>
        <v>1682.1562737087584</v>
      </c>
      <c r="BY69" s="204">
        <f t="shared" si="101"/>
        <v>1682.1562737087584</v>
      </c>
      <c r="BZ69" s="204">
        <f t="shared" si="101"/>
        <v>1682.1562737087584</v>
      </c>
      <c r="CA69" s="204">
        <f t="shared" si="101"/>
        <v>1666.7706980345929</v>
      </c>
      <c r="CB69" s="204">
        <f t="shared" si="101"/>
        <v>1635.999546686262</v>
      </c>
      <c r="CC69" s="204">
        <f t="shared" si="101"/>
        <v>1605.228395337931</v>
      </c>
      <c r="CD69" s="204">
        <f t="shared" si="101"/>
        <v>1574.4572439896001</v>
      </c>
      <c r="CE69" s="204">
        <f t="shared" si="101"/>
        <v>1543.6860926412692</v>
      </c>
      <c r="CF69" s="204">
        <f t="shared" si="101"/>
        <v>1512.9149412929382</v>
      </c>
      <c r="CG69" s="204">
        <f t="shared" si="101"/>
        <v>1482.1437899446073</v>
      </c>
      <c r="CH69" s="204">
        <f t="shared" si="101"/>
        <v>1451.3726385962764</v>
      </c>
      <c r="CI69" s="204">
        <f t="shared" si="101"/>
        <v>1420.6014872479454</v>
      </c>
      <c r="CJ69" s="204">
        <f t="shared" si="101"/>
        <v>1389.8303358996145</v>
      </c>
      <c r="CK69" s="204">
        <f t="shared" si="101"/>
        <v>1359.0591845512836</v>
      </c>
      <c r="CL69" s="204">
        <f t="shared" si="101"/>
        <v>1328.2880332029526</v>
      </c>
      <c r="CM69" s="204">
        <f t="shared" si="101"/>
        <v>1297.5168818546217</v>
      </c>
      <c r="CN69" s="204">
        <f t="shared" si="101"/>
        <v>1266.7457305062906</v>
      </c>
      <c r="CO69" s="204">
        <f t="shared" si="101"/>
        <v>1235.9745791579596</v>
      </c>
      <c r="CP69" s="204">
        <f t="shared" si="101"/>
        <v>1205.2034278096287</v>
      </c>
      <c r="CQ69" s="204">
        <f t="shared" si="101"/>
        <v>1174.4322764612978</v>
      </c>
      <c r="CR69" s="204">
        <f t="shared" si="101"/>
        <v>1143.6611251129668</v>
      </c>
      <c r="CS69" s="204">
        <f t="shared" si="101"/>
        <v>1112.8899737646359</v>
      </c>
      <c r="CT69" s="204">
        <f t="shared" si="101"/>
        <v>1082.118822416305</v>
      </c>
      <c r="CU69" s="204">
        <f t="shared" si="101"/>
        <v>1051.347671067974</v>
      </c>
      <c r="CV69" s="204">
        <f t="shared" si="101"/>
        <v>1066.0776710679741</v>
      </c>
      <c r="CW69" s="204">
        <f t="shared" si="101"/>
        <v>1080.8076710679741</v>
      </c>
      <c r="CX69" s="204">
        <f t="shared" si="101"/>
        <v>1095.5376710679741</v>
      </c>
      <c r="CY69" s="204">
        <f t="shared" si="101"/>
        <v>1110.2676710679741</v>
      </c>
      <c r="CZ69" s="204">
        <f t="shared" si="101"/>
        <v>1124.9976710679741</v>
      </c>
      <c r="DA69" s="204">
        <f t="shared" si="101"/>
        <v>1139.7276710679741</v>
      </c>
    </row>
    <row r="70" spans="1:105" s="204" customFormat="1">
      <c r="A70" s="204" t="str">
        <f>Income!A85</f>
        <v>Cash transfer - official</v>
      </c>
      <c r="F70" s="204">
        <f t="shared" si="100"/>
        <v>23848.411003174224</v>
      </c>
      <c r="G70" s="204">
        <f t="shared" si="100"/>
        <v>23848.411003174224</v>
      </c>
      <c r="H70" s="204">
        <f t="shared" si="100"/>
        <v>23848.411003174224</v>
      </c>
      <c r="I70" s="204">
        <f t="shared" si="100"/>
        <v>23848.411003174224</v>
      </c>
      <c r="J70" s="204">
        <f t="shared" si="100"/>
        <v>23848.411003174224</v>
      </c>
      <c r="K70" s="204">
        <f t="shared" si="100"/>
        <v>23848.411003174224</v>
      </c>
      <c r="L70" s="204">
        <f t="shared" si="100"/>
        <v>23848.411003174224</v>
      </c>
      <c r="M70" s="204">
        <f t="shared" si="100"/>
        <v>23848.411003174224</v>
      </c>
      <c r="N70" s="204">
        <f t="shared" si="100"/>
        <v>23848.411003174224</v>
      </c>
      <c r="O70" s="204">
        <f t="shared" si="100"/>
        <v>23848.411003174224</v>
      </c>
      <c r="P70" s="204">
        <f t="shared" si="100"/>
        <v>23848.411003174224</v>
      </c>
      <c r="Q70" s="204">
        <f t="shared" si="100"/>
        <v>23848.411003174224</v>
      </c>
      <c r="R70" s="204">
        <f t="shared" si="100"/>
        <v>23848.411003174224</v>
      </c>
      <c r="S70" s="204">
        <f t="shared" si="100"/>
        <v>23848.411003174224</v>
      </c>
      <c r="T70" s="204">
        <f t="shared" si="100"/>
        <v>23848.411003174224</v>
      </c>
      <c r="U70" s="204">
        <f t="shared" si="100"/>
        <v>23848.411003174224</v>
      </c>
      <c r="V70" s="204">
        <f t="shared" si="100"/>
        <v>23848.411003174224</v>
      </c>
      <c r="W70" s="204">
        <f t="shared" si="100"/>
        <v>23848.411003174224</v>
      </c>
      <c r="X70" s="204">
        <f t="shared" si="100"/>
        <v>23848.411003174224</v>
      </c>
      <c r="Y70" s="204">
        <f t="shared" si="100"/>
        <v>23848.411003174224</v>
      </c>
      <c r="Z70" s="204">
        <f t="shared" si="100"/>
        <v>23848.411003174224</v>
      </c>
      <c r="AA70" s="204">
        <f t="shared" si="100"/>
        <v>23848.411003174224</v>
      </c>
      <c r="AB70" s="204">
        <f t="shared" si="100"/>
        <v>23848.411003174224</v>
      </c>
      <c r="AC70" s="204">
        <f t="shared" si="100"/>
        <v>23848.411003174224</v>
      </c>
      <c r="AD70" s="204">
        <f t="shared" si="100"/>
        <v>23848.411003174224</v>
      </c>
      <c r="AE70" s="204">
        <f t="shared" si="100"/>
        <v>23848.411003174224</v>
      </c>
      <c r="AF70" s="204">
        <f t="shared" si="100"/>
        <v>23848.411003174224</v>
      </c>
      <c r="AG70" s="204">
        <f t="shared" si="100"/>
        <v>23848.411003174224</v>
      </c>
      <c r="AH70" s="204">
        <f t="shared" si="100"/>
        <v>23848.411003174224</v>
      </c>
      <c r="AI70" s="204">
        <f t="shared" si="100"/>
        <v>23848.411003174224</v>
      </c>
      <c r="AJ70" s="204">
        <f t="shared" si="100"/>
        <v>23848.411003174224</v>
      </c>
      <c r="AK70" s="204">
        <f t="shared" si="100"/>
        <v>23848.411003174224</v>
      </c>
      <c r="AL70" s="204">
        <f t="shared" si="100"/>
        <v>23848.411003174224</v>
      </c>
      <c r="AM70" s="204">
        <f t="shared" si="100"/>
        <v>23848.41100317422</v>
      </c>
      <c r="AN70" s="204">
        <f t="shared" si="100"/>
        <v>23848.41100317422</v>
      </c>
      <c r="AO70" s="204">
        <f t="shared" si="100"/>
        <v>23848.41100317422</v>
      </c>
      <c r="AP70" s="204">
        <f t="shared" si="100"/>
        <v>23848.41100317422</v>
      </c>
      <c r="AQ70" s="204">
        <f t="shared" si="100"/>
        <v>23848.41100317422</v>
      </c>
      <c r="AR70" s="204">
        <f t="shared" si="100"/>
        <v>23848.41100317422</v>
      </c>
      <c r="AS70" s="204">
        <f t="shared" si="100"/>
        <v>23848.41100317422</v>
      </c>
      <c r="AT70" s="204">
        <f t="shared" si="100"/>
        <v>23848.41100317422</v>
      </c>
      <c r="AU70" s="204">
        <f t="shared" si="100"/>
        <v>23848.41100317422</v>
      </c>
      <c r="AV70" s="204">
        <f t="shared" si="100"/>
        <v>23848.41100317422</v>
      </c>
      <c r="AW70" s="204">
        <f t="shared" si="100"/>
        <v>23848.41100317422</v>
      </c>
      <c r="AX70" s="204">
        <f t="shared" si="100"/>
        <v>23848.41100317422</v>
      </c>
      <c r="AY70" s="204">
        <f t="shared" si="100"/>
        <v>23848.41100317422</v>
      </c>
      <c r="AZ70" s="204">
        <f t="shared" si="100"/>
        <v>23848.41100317422</v>
      </c>
      <c r="BA70" s="204">
        <f t="shared" si="100"/>
        <v>23848.41100317422</v>
      </c>
      <c r="BB70" s="204">
        <f t="shared" si="100"/>
        <v>23848.41100317422</v>
      </c>
      <c r="BC70" s="204">
        <f t="shared" si="100"/>
        <v>23848.41100317422</v>
      </c>
      <c r="BD70" s="204">
        <f t="shared" si="100"/>
        <v>23848.41100317422</v>
      </c>
      <c r="BE70" s="204">
        <f t="shared" si="100"/>
        <v>23848.41100317422</v>
      </c>
      <c r="BF70" s="204">
        <f t="shared" si="100"/>
        <v>23848.41100317422</v>
      </c>
      <c r="BG70" s="204">
        <f t="shared" si="100"/>
        <v>23848.41100317422</v>
      </c>
      <c r="BH70" s="204">
        <f t="shared" si="100"/>
        <v>23848.41100317422</v>
      </c>
      <c r="BI70" s="204">
        <f t="shared" si="100"/>
        <v>23848.41100317422</v>
      </c>
      <c r="BJ70" s="204">
        <f t="shared" si="100"/>
        <v>23848.41100317422</v>
      </c>
      <c r="BK70" s="204">
        <f t="shared" si="100"/>
        <v>23848.41100317422</v>
      </c>
      <c r="BL70" s="204">
        <f t="shared" si="100"/>
        <v>23848.41100317422</v>
      </c>
      <c r="BM70" s="204">
        <f t="shared" si="100"/>
        <v>23848.41100317422</v>
      </c>
      <c r="BN70" s="204">
        <f t="shared" si="100"/>
        <v>23848.411003174224</v>
      </c>
      <c r="BO70" s="204">
        <f t="shared" si="100"/>
        <v>23848.411003174224</v>
      </c>
      <c r="BP70" s="204">
        <f t="shared" si="100"/>
        <v>23848.411003174224</v>
      </c>
      <c r="BQ70" s="204">
        <f t="shared" si="100"/>
        <v>23848.411003174224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23848.411003174224</v>
      </c>
      <c r="BS70" s="204">
        <f t="shared" si="102"/>
        <v>23848.411003174224</v>
      </c>
      <c r="BT70" s="204">
        <f t="shared" si="102"/>
        <v>23848.411003174224</v>
      </c>
      <c r="BU70" s="204">
        <f t="shared" si="102"/>
        <v>23848.411003174224</v>
      </c>
      <c r="BV70" s="204">
        <f t="shared" si="102"/>
        <v>23848.411003174224</v>
      </c>
      <c r="BW70" s="204">
        <f t="shared" si="102"/>
        <v>23848.411003174224</v>
      </c>
      <c r="BX70" s="204">
        <f t="shared" si="102"/>
        <v>23848.411003174224</v>
      </c>
      <c r="BY70" s="204">
        <f t="shared" si="102"/>
        <v>23848.411003174224</v>
      </c>
      <c r="BZ70" s="204">
        <f t="shared" si="102"/>
        <v>23848.411003174224</v>
      </c>
      <c r="CA70" s="204">
        <f t="shared" si="102"/>
        <v>23910.574055500503</v>
      </c>
      <c r="CB70" s="204">
        <f t="shared" si="102"/>
        <v>24034.900160153058</v>
      </c>
      <c r="CC70" s="204">
        <f t="shared" si="102"/>
        <v>24159.226264805613</v>
      </c>
      <c r="CD70" s="204">
        <f t="shared" si="102"/>
        <v>24283.552369458168</v>
      </c>
      <c r="CE70" s="204">
        <f t="shared" si="102"/>
        <v>24407.878474110723</v>
      </c>
      <c r="CF70" s="204">
        <f t="shared" si="102"/>
        <v>24532.204578763281</v>
      </c>
      <c r="CG70" s="204">
        <f t="shared" si="102"/>
        <v>24656.530683415836</v>
      </c>
      <c r="CH70" s="204">
        <f t="shared" si="102"/>
        <v>24780.856788068391</v>
      </c>
      <c r="CI70" s="204">
        <f t="shared" si="102"/>
        <v>24905.182892720946</v>
      </c>
      <c r="CJ70" s="204">
        <f t="shared" si="102"/>
        <v>25029.508997373505</v>
      </c>
      <c r="CK70" s="204">
        <f t="shared" si="102"/>
        <v>25153.83510202606</v>
      </c>
      <c r="CL70" s="204">
        <f t="shared" si="102"/>
        <v>25278.161206678615</v>
      </c>
      <c r="CM70" s="204">
        <f t="shared" si="102"/>
        <v>25402.48731133117</v>
      </c>
      <c r="CN70" s="204">
        <f t="shared" si="102"/>
        <v>25526.813415983725</v>
      </c>
      <c r="CO70" s="204">
        <f t="shared" si="102"/>
        <v>25651.139520636283</v>
      </c>
      <c r="CP70" s="204">
        <f t="shared" si="102"/>
        <v>25775.465625288838</v>
      </c>
      <c r="CQ70" s="204">
        <f t="shared" si="102"/>
        <v>25899.791729941393</v>
      </c>
      <c r="CR70" s="204">
        <f t="shared" si="102"/>
        <v>26024.117834593948</v>
      </c>
      <c r="CS70" s="204">
        <f t="shared" si="102"/>
        <v>26148.443939246506</v>
      </c>
      <c r="CT70" s="204">
        <f t="shared" si="102"/>
        <v>26272.770043899061</v>
      </c>
      <c r="CU70" s="204">
        <f t="shared" si="102"/>
        <v>26397.096148551616</v>
      </c>
      <c r="CV70" s="204">
        <f t="shared" si="102"/>
        <v>25269.266148551615</v>
      </c>
      <c r="CW70" s="204">
        <f t="shared" si="102"/>
        <v>24141.436148551616</v>
      </c>
      <c r="CX70" s="204">
        <f t="shared" si="102"/>
        <v>23013.606148551618</v>
      </c>
      <c r="CY70" s="204">
        <f t="shared" si="102"/>
        <v>21885.776148551617</v>
      </c>
      <c r="CZ70" s="204">
        <f t="shared" si="102"/>
        <v>20757.946148551615</v>
      </c>
      <c r="DA70" s="204">
        <f t="shared" si="102"/>
        <v>19630.116148551617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9102.4469477764196</v>
      </c>
      <c r="G71" s="204">
        <f t="shared" si="103"/>
        <v>9102.4469477764196</v>
      </c>
      <c r="H71" s="204">
        <f t="shared" si="103"/>
        <v>9102.4469477764196</v>
      </c>
      <c r="I71" s="204">
        <f t="shared" si="103"/>
        <v>9102.4469477764196</v>
      </c>
      <c r="J71" s="204">
        <f t="shared" si="103"/>
        <v>9102.4469477764196</v>
      </c>
      <c r="K71" s="204">
        <f t="shared" si="103"/>
        <v>9102.4469477764196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9102.4469477764196</v>
      </c>
      <c r="M71" s="204">
        <f t="shared" si="103"/>
        <v>9102.4469477764196</v>
      </c>
      <c r="N71" s="204">
        <f t="shared" si="103"/>
        <v>9102.4469477764196</v>
      </c>
      <c r="O71" s="204">
        <f t="shared" si="103"/>
        <v>9102.4469477764196</v>
      </c>
      <c r="P71" s="204">
        <f t="shared" si="103"/>
        <v>9102.4469477764196</v>
      </c>
      <c r="Q71" s="204">
        <f t="shared" si="103"/>
        <v>9102.4469477764196</v>
      </c>
      <c r="R71" s="204">
        <f t="shared" si="103"/>
        <v>9102.4469477764196</v>
      </c>
      <c r="S71" s="204">
        <f t="shared" si="103"/>
        <v>9102.4469477764196</v>
      </c>
      <c r="T71" s="204">
        <f t="shared" si="103"/>
        <v>9102.4469477764196</v>
      </c>
      <c r="U71" s="204">
        <f t="shared" si="103"/>
        <v>9102.4469477764196</v>
      </c>
      <c r="V71" s="204">
        <f t="shared" si="103"/>
        <v>9102.4469477764196</v>
      </c>
      <c r="W71" s="204">
        <f t="shared" si="103"/>
        <v>9102.4469477764196</v>
      </c>
      <c r="X71" s="204">
        <f t="shared" si="103"/>
        <v>9102.4469477764196</v>
      </c>
      <c r="Y71" s="204">
        <f t="shared" si="103"/>
        <v>9195.0142048724501</v>
      </c>
      <c r="Z71" s="204">
        <f t="shared" si="103"/>
        <v>9287.5814619684825</v>
      </c>
      <c r="AA71" s="204">
        <f t="shared" si="103"/>
        <v>9380.148719064513</v>
      </c>
      <c r="AB71" s="204">
        <f t="shared" si="103"/>
        <v>9472.7159761605453</v>
      </c>
      <c r="AC71" s="204">
        <f t="shared" si="103"/>
        <v>9565.2832332565758</v>
      </c>
      <c r="AD71" s="204">
        <f t="shared" si="103"/>
        <v>9657.8504903526082</v>
      </c>
      <c r="AE71" s="204">
        <f t="shared" si="103"/>
        <v>9750.4177474486387</v>
      </c>
      <c r="AF71" s="204">
        <f t="shared" si="103"/>
        <v>9842.985004544671</v>
      </c>
      <c r="AG71" s="204">
        <f t="shared" si="103"/>
        <v>9935.5522616407015</v>
      </c>
      <c r="AH71" s="204">
        <f t="shared" si="103"/>
        <v>10028.119518736734</v>
      </c>
      <c r="AI71" s="204">
        <f t="shared" si="103"/>
        <v>10120.686775832764</v>
      </c>
      <c r="AJ71" s="204">
        <f t="shared" si="103"/>
        <v>10213.254032928797</v>
      </c>
      <c r="AK71" s="204">
        <f t="shared" si="103"/>
        <v>10305.821290024827</v>
      </c>
      <c r="AL71" s="204">
        <f t="shared" si="103"/>
        <v>10398.38854712086</v>
      </c>
      <c r="AM71" s="204">
        <f t="shared" si="103"/>
        <v>10490.95580421689</v>
      </c>
      <c r="AN71" s="204">
        <f t="shared" si="103"/>
        <v>10583.523061312922</v>
      </c>
      <c r="AO71" s="204">
        <f t="shared" si="103"/>
        <v>10676.090318408953</v>
      </c>
      <c r="AP71" s="204">
        <f t="shared" si="103"/>
        <v>10768.657575504985</v>
      </c>
      <c r="AQ71" s="204">
        <f t="shared" si="103"/>
        <v>10861.224832601016</v>
      </c>
      <c r="AR71" s="204">
        <f t="shared" si="103"/>
        <v>10953.792089697046</v>
      </c>
      <c r="AS71" s="204">
        <f t="shared" si="103"/>
        <v>11046.359346793079</v>
      </c>
      <c r="AT71" s="204">
        <f t="shared" si="103"/>
        <v>11138.926603889111</v>
      </c>
      <c r="AU71" s="204">
        <f t="shared" si="103"/>
        <v>11231.493860985142</v>
      </c>
      <c r="AV71" s="204">
        <f t="shared" si="103"/>
        <v>11324.061118081172</v>
      </c>
      <c r="AW71" s="204">
        <f t="shared" si="103"/>
        <v>11416.628375177204</v>
      </c>
      <c r="AX71" s="204">
        <f t="shared" si="103"/>
        <v>11509.195632273237</v>
      </c>
      <c r="AY71" s="204">
        <f t="shared" si="103"/>
        <v>11601.762889369267</v>
      </c>
      <c r="AZ71" s="204">
        <f t="shared" si="103"/>
        <v>11694.330146465298</v>
      </c>
      <c r="BA71" s="204">
        <f t="shared" si="103"/>
        <v>11786.89740356133</v>
      </c>
      <c r="BB71" s="204">
        <f t="shared" si="103"/>
        <v>11596.517411467159</v>
      </c>
      <c r="BC71" s="204">
        <f t="shared" si="103"/>
        <v>11123.190170182785</v>
      </c>
      <c r="BD71" s="204">
        <f t="shared" si="103"/>
        <v>10649.86292889841</v>
      </c>
      <c r="BE71" s="204">
        <f t="shared" si="103"/>
        <v>10176.535687614038</v>
      </c>
      <c r="BF71" s="204">
        <f t="shared" si="103"/>
        <v>9703.2084463296633</v>
      </c>
      <c r="BG71" s="204">
        <f t="shared" si="103"/>
        <v>9229.8812050452889</v>
      </c>
      <c r="BH71" s="204">
        <f t="shared" si="103"/>
        <v>8756.5539637609145</v>
      </c>
      <c r="BI71" s="204">
        <f t="shared" si="103"/>
        <v>8283.2267224765419</v>
      </c>
      <c r="BJ71" s="204">
        <f t="shared" si="103"/>
        <v>7809.8994811921675</v>
      </c>
      <c r="BK71" s="204">
        <f t="shared" si="103"/>
        <v>7336.572239907794</v>
      </c>
      <c r="BL71" s="204">
        <f t="shared" si="103"/>
        <v>6863.2449986234205</v>
      </c>
      <c r="BM71" s="204">
        <f t="shared" si="103"/>
        <v>6389.9177573390461</v>
      </c>
      <c r="BN71" s="204">
        <f t="shared" si="103"/>
        <v>5916.5905160546727</v>
      </c>
      <c r="BO71" s="204">
        <f t="shared" si="103"/>
        <v>5443.2632747702983</v>
      </c>
      <c r="BP71" s="204">
        <f t="shared" si="103"/>
        <v>4969.9360334859248</v>
      </c>
      <c r="BQ71" s="204">
        <f t="shared" si="103"/>
        <v>4496.6087922015513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4023.2815509171769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3549.9543096328034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3076.627068348429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2603.2998270640564</v>
      </c>
      <c r="BV71" s="204">
        <f t="shared" si="104"/>
        <v>2129.972585779682</v>
      </c>
      <c r="BW71" s="204">
        <f t="shared" si="104"/>
        <v>1656.6453444953077</v>
      </c>
      <c r="BX71" s="204">
        <f t="shared" si="104"/>
        <v>1183.3181032109351</v>
      </c>
      <c r="BY71" s="204">
        <f t="shared" si="104"/>
        <v>709.99086192656068</v>
      </c>
      <c r="BZ71" s="204">
        <f t="shared" si="104"/>
        <v>236.66362064218629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296.33</v>
      </c>
      <c r="CW71" s="204">
        <f t="shared" si="104"/>
        <v>592.66</v>
      </c>
      <c r="CX71" s="204">
        <f t="shared" si="104"/>
        <v>888.99</v>
      </c>
      <c r="CY71" s="204">
        <f t="shared" si="104"/>
        <v>1185.32</v>
      </c>
      <c r="CZ71" s="204">
        <f t="shared" si="104"/>
        <v>1481.6499999999999</v>
      </c>
      <c r="DA71" s="204">
        <f t="shared" si="104"/>
        <v>1777.98</v>
      </c>
    </row>
    <row r="72" spans="1:105" s="204" customFormat="1">
      <c r="A72" s="204" t="str">
        <f>Income!A88</f>
        <v>TOTAL</v>
      </c>
      <c r="F72" s="204">
        <f>SUM(F59:F71)</f>
        <v>44636.798429084607</v>
      </c>
      <c r="G72" s="204">
        <f t="shared" ref="G72:BR72" si="105">SUM(G59:G71)</f>
        <v>44636.798429084607</v>
      </c>
      <c r="H72" s="204">
        <f t="shared" si="105"/>
        <v>44636.798429084607</v>
      </c>
      <c r="I72" s="204">
        <f t="shared" si="105"/>
        <v>44636.798429084607</v>
      </c>
      <c r="J72" s="204">
        <f t="shared" si="105"/>
        <v>44636.798429084607</v>
      </c>
      <c r="K72" s="204">
        <f t="shared" si="105"/>
        <v>44636.798429084607</v>
      </c>
      <c r="L72" s="204">
        <f t="shared" si="105"/>
        <v>44636.798429084607</v>
      </c>
      <c r="M72" s="204">
        <f t="shared" si="105"/>
        <v>44636.798429084607</v>
      </c>
      <c r="N72" s="204">
        <f t="shared" si="105"/>
        <v>44636.798429084607</v>
      </c>
      <c r="O72" s="204">
        <f t="shared" si="105"/>
        <v>44636.798429084607</v>
      </c>
      <c r="P72" s="204">
        <f t="shared" si="105"/>
        <v>44636.798429084607</v>
      </c>
      <c r="Q72" s="204">
        <f t="shared" si="105"/>
        <v>44636.798429084607</v>
      </c>
      <c r="R72" s="204">
        <f t="shared" si="105"/>
        <v>44636.798429084607</v>
      </c>
      <c r="S72" s="204">
        <f t="shared" si="105"/>
        <v>44636.798429084607</v>
      </c>
      <c r="T72" s="204">
        <f t="shared" si="105"/>
        <v>44636.798429084607</v>
      </c>
      <c r="U72" s="204">
        <f t="shared" si="105"/>
        <v>44636.798429084607</v>
      </c>
      <c r="V72" s="204">
        <f t="shared" si="105"/>
        <v>44636.798429084607</v>
      </c>
      <c r="W72" s="204">
        <f t="shared" si="105"/>
        <v>44636.798429084607</v>
      </c>
      <c r="X72" s="204">
        <f t="shared" si="105"/>
        <v>44636.798429084607</v>
      </c>
      <c r="Y72" s="204">
        <f t="shared" si="105"/>
        <v>45198.907108635947</v>
      </c>
      <c r="Z72" s="204">
        <f t="shared" si="105"/>
        <v>45761.015788187287</v>
      </c>
      <c r="AA72" s="204">
        <f t="shared" si="105"/>
        <v>46323.124467738628</v>
      </c>
      <c r="AB72" s="204">
        <f t="shared" si="105"/>
        <v>46885.233147289968</v>
      </c>
      <c r="AC72" s="204">
        <f t="shared" si="105"/>
        <v>47447.341826841308</v>
      </c>
      <c r="AD72" s="204">
        <f t="shared" si="105"/>
        <v>48009.450506392648</v>
      </c>
      <c r="AE72" s="204">
        <f t="shared" si="105"/>
        <v>48571.559185943988</v>
      </c>
      <c r="AF72" s="204">
        <f t="shared" si="105"/>
        <v>49133.667865495336</v>
      </c>
      <c r="AG72" s="204">
        <f t="shared" si="105"/>
        <v>49695.776545046676</v>
      </c>
      <c r="AH72" s="204">
        <f t="shared" si="105"/>
        <v>50257.885224598016</v>
      </c>
      <c r="AI72" s="204">
        <f t="shared" si="105"/>
        <v>50819.993904149356</v>
      </c>
      <c r="AJ72" s="204">
        <f t="shared" si="105"/>
        <v>51382.102583700689</v>
      </c>
      <c r="AK72" s="204">
        <f t="shared" si="105"/>
        <v>51944.211263252029</v>
      </c>
      <c r="AL72" s="204">
        <f t="shared" si="105"/>
        <v>52506.319942803369</v>
      </c>
      <c r="AM72" s="204">
        <f t="shared" si="105"/>
        <v>53068.42862235471</v>
      </c>
      <c r="AN72" s="204">
        <f t="shared" si="105"/>
        <v>53630.53730190605</v>
      </c>
      <c r="AO72" s="204">
        <f t="shared" si="105"/>
        <v>54192.64598145739</v>
      </c>
      <c r="AP72" s="204">
        <f t="shared" si="105"/>
        <v>54754.75466100873</v>
      </c>
      <c r="AQ72" s="204">
        <f t="shared" si="105"/>
        <v>55316.86334056007</v>
      </c>
      <c r="AR72" s="204">
        <f t="shared" si="105"/>
        <v>55878.972020111411</v>
      </c>
      <c r="AS72" s="204">
        <f t="shared" si="105"/>
        <v>56441.080699662751</v>
      </c>
      <c r="AT72" s="204">
        <f t="shared" si="105"/>
        <v>57003.189379214091</v>
      </c>
      <c r="AU72" s="204">
        <f t="shared" si="105"/>
        <v>57565.298058765431</v>
      </c>
      <c r="AV72" s="204">
        <f t="shared" si="105"/>
        <v>58127.406738316771</v>
      </c>
      <c r="AW72" s="204">
        <f t="shared" si="105"/>
        <v>58689.515417868119</v>
      </c>
      <c r="AX72" s="204">
        <f t="shared" si="105"/>
        <v>59251.624097419459</v>
      </c>
      <c r="AY72" s="204">
        <f t="shared" si="105"/>
        <v>59813.732776970799</v>
      </c>
      <c r="AZ72" s="204">
        <f t="shared" si="105"/>
        <v>60375.841456522132</v>
      </c>
      <c r="BA72" s="204">
        <f t="shared" si="105"/>
        <v>60937.950136073472</v>
      </c>
      <c r="BB72" s="204">
        <f t="shared" si="105"/>
        <v>61558.282202226612</v>
      </c>
      <c r="BC72" s="204">
        <f t="shared" si="105"/>
        <v>62236.837654981529</v>
      </c>
      <c r="BD72" s="204">
        <f t="shared" si="105"/>
        <v>62915.39310773644</v>
      </c>
      <c r="BE72" s="204">
        <f t="shared" si="105"/>
        <v>63593.948560491357</v>
      </c>
      <c r="BF72" s="204">
        <f t="shared" si="105"/>
        <v>64272.504013246289</v>
      </c>
      <c r="BG72" s="204">
        <f t="shared" si="105"/>
        <v>64951.059466001207</v>
      </c>
      <c r="BH72" s="204">
        <f t="shared" si="105"/>
        <v>65629.614918756124</v>
      </c>
      <c r="BI72" s="204">
        <f t="shared" si="105"/>
        <v>66308.170371511034</v>
      </c>
      <c r="BJ72" s="204">
        <f t="shared" si="105"/>
        <v>66986.725824265974</v>
      </c>
      <c r="BK72" s="204">
        <f t="shared" si="105"/>
        <v>67665.281277020884</v>
      </c>
      <c r="BL72" s="204">
        <f t="shared" si="105"/>
        <v>68343.836729775794</v>
      </c>
      <c r="BM72" s="204">
        <f t="shared" si="105"/>
        <v>69022.392182530733</v>
      </c>
      <c r="BN72" s="204">
        <f t="shared" si="105"/>
        <v>69700.947635285658</v>
      </c>
      <c r="BO72" s="204">
        <f t="shared" si="105"/>
        <v>70379.503088040568</v>
      </c>
      <c r="BP72" s="204">
        <f t="shared" si="105"/>
        <v>71058.058540795493</v>
      </c>
      <c r="BQ72" s="204">
        <f t="shared" si="105"/>
        <v>71736.613993550418</v>
      </c>
      <c r="BR72" s="204">
        <f t="shared" si="105"/>
        <v>72415.169446305328</v>
      </c>
      <c r="BS72" s="204">
        <f t="shared" ref="BS72:DA72" si="106">SUM(BS59:BS71)</f>
        <v>73093.724899060238</v>
      </c>
      <c r="BT72" s="204">
        <f t="shared" si="106"/>
        <v>73772.280351815178</v>
      </c>
      <c r="BU72" s="204">
        <f t="shared" si="106"/>
        <v>74450.835804570088</v>
      </c>
      <c r="BV72" s="204">
        <f t="shared" si="106"/>
        <v>75129.391257325013</v>
      </c>
      <c r="BW72" s="204">
        <f t="shared" si="106"/>
        <v>75807.946710079937</v>
      </c>
      <c r="BX72" s="204">
        <f t="shared" si="106"/>
        <v>76486.502162834862</v>
      </c>
      <c r="BY72" s="204">
        <f t="shared" si="106"/>
        <v>77165.057615589772</v>
      </c>
      <c r="BZ72" s="204">
        <f t="shared" si="106"/>
        <v>77843.613068344683</v>
      </c>
      <c r="CA72" s="204">
        <f t="shared" si="106"/>
        <v>80606.641607466852</v>
      </c>
      <c r="CB72" s="204">
        <f t="shared" si="106"/>
        <v>85454.143232956223</v>
      </c>
      <c r="CC72" s="204">
        <f t="shared" si="106"/>
        <v>90301.644858445594</v>
      </c>
      <c r="CD72" s="204">
        <f t="shared" si="106"/>
        <v>95149.146483934965</v>
      </c>
      <c r="CE72" s="204">
        <f t="shared" si="106"/>
        <v>99996.648109424321</v>
      </c>
      <c r="CF72" s="204">
        <f t="shared" si="106"/>
        <v>104844.14973491374</v>
      </c>
      <c r="CG72" s="204">
        <f t="shared" si="106"/>
        <v>109691.65136040309</v>
      </c>
      <c r="CH72" s="204">
        <f t="shared" si="106"/>
        <v>114539.15298589246</v>
      </c>
      <c r="CI72" s="204">
        <f t="shared" si="106"/>
        <v>119386.65461138185</v>
      </c>
      <c r="CJ72" s="204">
        <f t="shared" si="106"/>
        <v>124234.15623687123</v>
      </c>
      <c r="CK72" s="204">
        <f t="shared" si="106"/>
        <v>129081.6578623606</v>
      </c>
      <c r="CL72" s="204">
        <f t="shared" si="106"/>
        <v>133929.15948784997</v>
      </c>
      <c r="CM72" s="204">
        <f t="shared" si="106"/>
        <v>138776.66111333936</v>
      </c>
      <c r="CN72" s="204">
        <f t="shared" si="106"/>
        <v>143624.16273882872</v>
      </c>
      <c r="CO72" s="204">
        <f t="shared" si="106"/>
        <v>148471.6643643181</v>
      </c>
      <c r="CP72" s="204">
        <f t="shared" si="106"/>
        <v>153319.16598980746</v>
      </c>
      <c r="CQ72" s="204">
        <f t="shared" si="106"/>
        <v>158166.66761529684</v>
      </c>
      <c r="CR72" s="204">
        <f t="shared" si="106"/>
        <v>163014.1692407862</v>
      </c>
      <c r="CS72" s="204">
        <f t="shared" si="106"/>
        <v>167861.67086627558</v>
      </c>
      <c r="CT72" s="204">
        <f t="shared" si="106"/>
        <v>172709.172491765</v>
      </c>
      <c r="CU72" s="204">
        <f t="shared" si="106"/>
        <v>177556.67411725438</v>
      </c>
      <c r="CV72" s="204">
        <f t="shared" si="106"/>
        <v>187336.47511725433</v>
      </c>
      <c r="CW72" s="204">
        <f t="shared" si="106"/>
        <v>197116.27611725437</v>
      </c>
      <c r="CX72" s="204">
        <f t="shared" si="106"/>
        <v>206896.07711725438</v>
      </c>
      <c r="CY72" s="204">
        <f t="shared" si="106"/>
        <v>216675.87811725435</v>
      </c>
      <c r="CZ72" s="204">
        <f t="shared" si="106"/>
        <v>226455.67911725436</v>
      </c>
      <c r="DA72" s="204">
        <f t="shared" si="106"/>
        <v>236235.48011725437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36</v>
      </c>
      <c r="D107" s="214">
        <f>C23</f>
        <v>59</v>
      </c>
      <c r="E107" s="214">
        <f>D23</f>
        <v>86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-25.166643133497342</v>
      </c>
      <c r="D108" s="212">
        <f>BU42</f>
        <v>35.620854143172473</v>
      </c>
      <c r="E108" s="212">
        <f>CR42</f>
        <v>45.039649088646598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1.7999188879783878</v>
      </c>
      <c r="D109" s="212">
        <f t="shared" ref="D109:D120" si="108">BU43</f>
        <v>73.911869215944535</v>
      </c>
      <c r="E109" s="212">
        <f t="shared" ref="E109:E120" si="109">CR43</f>
        <v>1325.0674383778578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66.099484726442753</v>
      </c>
      <c r="D110" s="212">
        <f t="shared" si="108"/>
        <v>27.573291377170062</v>
      </c>
      <c r="E110" s="212">
        <f t="shared" si="109"/>
        <v>-8.429795063504482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95799.340844084887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0.51426253942239653</v>
      </c>
      <c r="D111" s="212">
        <f t="shared" si="108"/>
        <v>2.1239042878144985</v>
      </c>
      <c r="E111" s="212">
        <f t="shared" si="109"/>
        <v>2.6826317224137828</v>
      </c>
      <c r="F111" s="212">
        <v>0</v>
      </c>
      <c r="AD111" s="217" t="s">
        <v>119</v>
      </c>
      <c r="AE111" s="212">
        <f>AE109/AE110</f>
        <v>0.13936047479431712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102.85250788447931</v>
      </c>
      <c r="D112" s="212">
        <f t="shared" si="108"/>
        <v>288.24415334625331</v>
      </c>
      <c r="E112" s="212">
        <f t="shared" si="109"/>
        <v>2044.3503815636061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14.88436789704547</v>
      </c>
      <c r="D113" s="212">
        <f t="shared" si="108"/>
        <v>-3.7871341531745113</v>
      </c>
      <c r="E113" s="212">
        <f t="shared" si="109"/>
        <v>-16.800512152852619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308.5575236534379</v>
      </c>
      <c r="D117" s="212">
        <f t="shared" si="108"/>
        <v>728.19575582211371</v>
      </c>
      <c r="E117" s="212">
        <f t="shared" si="109"/>
        <v>1362.0368786489839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-30.771151348330942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-1.2332131549463434E-13</v>
      </c>
      <c r="D119" s="212">
        <f t="shared" si="108"/>
        <v>1.4551915228366852E-13</v>
      </c>
      <c r="E119" s="212">
        <f t="shared" si="109"/>
        <v>124.32610465255573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92.567257096031383</v>
      </c>
      <c r="D120" s="212">
        <f t="shared" si="108"/>
        <v>-473.32724128437383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2016-08-09T02:00:01Z</dcterms:modified>
  <cp:category/>
</cp:coreProperties>
</file>