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G57" i="8"/>
  <c r="F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E55" i="12"/>
  <c r="E56" i="12"/>
  <c r="E57" i="12"/>
  <c r="F59" i="12"/>
  <c r="E61" i="12"/>
  <c r="E62" i="12"/>
  <c r="E63" i="12"/>
  <c r="F63" i="12"/>
  <c r="E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E55" i="7"/>
  <c r="E56" i="7"/>
  <c r="E57" i="7"/>
  <c r="F59" i="7"/>
  <c r="E61" i="7"/>
  <c r="E62" i="7"/>
  <c r="E63" i="7"/>
  <c r="F63" i="7"/>
  <c r="E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E55" i="8"/>
  <c r="E56" i="8"/>
  <c r="E57" i="8"/>
  <c r="F59" i="8"/>
  <c r="E61" i="8"/>
  <c r="E62" i="8"/>
  <c r="E63" i="8"/>
  <c r="F63" i="8"/>
  <c r="E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<sst xmlns="http://schemas.openxmlformats.org/spreadsheetml/2006/main" count="849" uniqueCount="194">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</sst>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0.0159547795765878</c:v>
                </c:pt>
                <c:pt idx="2" formatCode="0.0%">
                  <c:v>0.0159547795765878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0.00509477174879914</c:v>
                </c:pt>
                <c:pt idx="2" formatCode="0.0%">
                  <c:v>0.00509477174879914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0.00901288040940224</c:v>
                </c:pt>
                <c:pt idx="2" formatCode="0.0%">
                  <c:v>0.00901288040940224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0.0246428571428571</c:v>
                </c:pt>
                <c:pt idx="2" formatCode="0.0%">
                  <c:v>0.0246428571428571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0.118407758270548</c:v>
                </c:pt>
                <c:pt idx="2" formatCode="0.0%">
                  <c:v>0.118407758270548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0.0438512454011742</c:v>
                </c:pt>
                <c:pt idx="2" formatCode="0.0%">
                  <c:v>0.0438512454011742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0.00833539779398683</c:v>
                </c:pt>
                <c:pt idx="2" formatCode="0.0%">
                  <c:v>0.0089408209170966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0.00271924908824053</c:v>
                </c:pt>
                <c:pt idx="2" formatCode="0.0%">
                  <c:v>0.00296638482921188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0.00569823609677993</c:v>
                </c:pt>
                <c:pt idx="2" formatCode="0.0%">
                  <c:v>0.00629176927592955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0.00840020187689023</c:v>
                </c:pt>
                <c:pt idx="2" formatCode="0.0%">
                  <c:v>0.00840020187689023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0.0043612474648639</c:v>
                </c:pt>
                <c:pt idx="2" formatCode="0.0%">
                  <c:v>0.00436775726272042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0.0244789210104963</c:v>
                </c:pt>
                <c:pt idx="2" formatCode="0.0%">
                  <c:v>0.0281538526575359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0.00770298701298701</c:v>
                </c:pt>
                <c:pt idx="2" formatCode="0.0%">
                  <c:v>0.00770298701298701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0.00491300302437289</c:v>
                </c:pt>
                <c:pt idx="2" formatCode="0.0%">
                  <c:v>0.00492955360419112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0.00662846411157404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0.00811141291585127</c:v>
                </c:pt>
                <c:pt idx="2" formatCode="0.0%">
                  <c:v>0.00811141291585127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0.0135190215264188</c:v>
                </c:pt>
                <c:pt idx="2" formatCode="0.0%">
                  <c:v>0.0135190215264188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0.357185160808138</c:v>
                </c:pt>
                <c:pt idx="2" formatCode="0.0%">
                  <c:v>0.345247253780107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153368"/>
        <c:axId val="-2084150072"/>
      </c:barChart>
      <c:catAx>
        <c:axId val="-208415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5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15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5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0.00366559334156694</c:v>
                </c:pt>
                <c:pt idx="2">
                  <c:v>0.00356893864876802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0.00141583542818023</c:v>
                </c:pt>
                <c:pt idx="2">
                  <c:v>0.00141583542818023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0.0865080028609797</c:v>
                </c:pt>
                <c:pt idx="2">
                  <c:v>0.0877065210516864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0.00256591533909686</c:v>
                </c:pt>
                <c:pt idx="2">
                  <c:v>0.0025079225234175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0.0206299593263387</c:v>
                </c:pt>
                <c:pt idx="2">
                  <c:v>0.0207656625150284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0.00234597973860284</c:v>
                </c:pt>
                <c:pt idx="2">
                  <c:v>0.00234597973860284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0.0209099920190242</c:v>
                </c:pt>
                <c:pt idx="2">
                  <c:v>0.0220127050952995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0.00118273475600692</c:v>
                </c:pt>
                <c:pt idx="2">
                  <c:v>0.0012451076674852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0.00582767212608438</c:v>
                </c:pt>
                <c:pt idx="2">
                  <c:v>0.00560548919878178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0.000869801809863341</c:v>
                </c:pt>
                <c:pt idx="2">
                  <c:v>0.000869801809863341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0.00132644776004159</c:v>
                </c:pt>
                <c:pt idx="2">
                  <c:v>0.00137919828729796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0.0171829347538503</c:v>
                </c:pt>
                <c:pt idx="2">
                  <c:v>0.0180890970720672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0.00306822588429293</c:v>
                </c:pt>
                <c:pt idx="2">
                  <c:v>0.00313737494502247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0.0032943743548574</c:v>
                </c:pt>
                <c:pt idx="2">
                  <c:v>0.00346810706962563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0.00200054416268568</c:v>
                </c:pt>
                <c:pt idx="2">
                  <c:v>0.00200948881730741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0.0043490090493167</c:v>
                </c:pt>
                <c:pt idx="2">
                  <c:v>0.00457835916782262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0.00427914532537447</c:v>
                </c:pt>
                <c:pt idx="2">
                  <c:v>0.00427914532537447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0.00413777146692132</c:v>
                </c:pt>
                <c:pt idx="2">
                  <c:v>0.00413777146692132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0.319346491917312</c:v>
                </c:pt>
                <c:pt idx="2">
                  <c:v>0.319346491917312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0.0675580532338707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0.178719352394271</c:v>
                </c:pt>
                <c:pt idx="2">
                  <c:v>0.178719352394271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502520"/>
        <c:axId val="-2083505656"/>
      </c:barChart>
      <c:catAx>
        <c:axId val="-208350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0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50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0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0.0040570501643866</c:v>
                </c:pt>
                <c:pt idx="2">
                  <c:v>0.00401442627672477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2.63708260685129E-5</c:v>
                </c:pt>
                <c:pt idx="2">
                  <c:v>2.63708260685129E-5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0.0800050292417037</c:v>
                </c:pt>
                <c:pt idx="2">
                  <c:v>0.0798515832461212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0.00743251590115625</c:v>
                </c:pt>
                <c:pt idx="2">
                  <c:v>0.00738136723596206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0.0127196636753849</c:v>
                </c:pt>
                <c:pt idx="2">
                  <c:v>0.0126354843388453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0.000389476815781113</c:v>
                </c:pt>
                <c:pt idx="2">
                  <c:v>0.000389476815781113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0.0458188176031186</c:v>
                </c:pt>
                <c:pt idx="2">
                  <c:v>0.0474234121198084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0.000103883863819414</c:v>
                </c:pt>
                <c:pt idx="2">
                  <c:v>0.000107521920997167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0.0120047426728578</c:v>
                </c:pt>
                <c:pt idx="2">
                  <c:v>0.0119582176158168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0.0129289249475927</c:v>
                </c:pt>
                <c:pt idx="2">
                  <c:v>0.0129326334666322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0.013383314566004</c:v>
                </c:pt>
                <c:pt idx="2">
                  <c:v>0.0138368327307258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0.0154848665511562</c:v>
                </c:pt>
                <c:pt idx="2">
                  <c:v>0.01602715317616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0.0149987081670509</c:v>
                </c:pt>
                <c:pt idx="2">
                  <c:v>0.0150461434969471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0.00320094381613892</c:v>
                </c:pt>
                <c:pt idx="2">
                  <c:v>0.00331304223256027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0.000962689869515464</c:v>
                </c:pt>
                <c:pt idx="2">
                  <c:v>0.000938247357664191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0.00138627341210227</c:v>
                </c:pt>
                <c:pt idx="2">
                  <c:v>0.00143482129771031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0.513148687352143</c:v>
                </c:pt>
                <c:pt idx="2">
                  <c:v>0.513148687352143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0.00327753294043014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0.0493709147108234</c:v>
                </c:pt>
                <c:pt idx="2">
                  <c:v>0.0493709147108234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943720"/>
        <c:axId val="-2081940664"/>
      </c:barChart>
      <c:catAx>
        <c:axId val="-208194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94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94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94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0.0059155302733343</c:v>
                </c:pt>
                <c:pt idx="2">
                  <c:v>0.0059155302733343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0.00209770577068592</c:v>
                </c:pt>
                <c:pt idx="2">
                  <c:v>0.00209770577068592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0.000373320518511901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0.00181060451478272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0.00118218164195435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0.00435540604930552</c:v>
                </c:pt>
                <c:pt idx="2">
                  <c:v>0.00369177665536676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0.00919856301620666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0.0551774392798421</c:v>
                </c:pt>
                <c:pt idx="2">
                  <c:v>0.0551774392798421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0.0331508620438569</c:v>
                </c:pt>
                <c:pt idx="2">
                  <c:v>0.0331508620438569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0.0811998793514708</c:v>
                </c:pt>
                <c:pt idx="2">
                  <c:v>0.0811998793514708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0.0544653439294764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0.720230093445486</c:v>
                </c:pt>
                <c:pt idx="2">
                  <c:v>0.720230093445486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99496"/>
        <c:axId val="-2081796472"/>
      </c:barChart>
      <c:catAx>
        <c:axId val="-20817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9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9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9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3873.174948195231</c:v>
                </c:pt>
                <c:pt idx="5">
                  <c:v>5296.711982763572</c:v>
                </c:pt>
                <c:pt idx="6">
                  <c:v>6588.087191224289</c:v>
                </c:pt>
                <c:pt idx="7">
                  <c:v>8880.73046375126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135.6209405441928</c:v>
                </c:pt>
                <c:pt idx="5">
                  <c:v>28.99999999999998</c:v>
                </c:pt>
                <c:pt idx="6">
                  <c:v>6558.575625379826</c:v>
                </c:pt>
                <c:pt idx="7">
                  <c:v>29208.16630520933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246.4830109797429</c:v>
                </c:pt>
                <c:pt idx="5">
                  <c:v>615.6151109022524</c:v>
                </c:pt>
                <c:pt idx="6">
                  <c:v>1297.817173755153</c:v>
                </c:pt>
                <c:pt idx="7">
                  <c:v>1971.296812072876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385.884081632653</c:v>
                </c:pt>
                <c:pt idx="5">
                  <c:v>2730.284000000001</c:v>
                </c:pt>
                <c:pt idx="6">
                  <c:v>12040.68696075108</c:v>
                </c:pt>
                <c:pt idx="7">
                  <c:v>24195.8968061238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355.2268575101731</c:v>
                </c:pt>
                <c:pt idx="5">
                  <c:v>397.0226601574642</c:v>
                </c:pt>
                <c:pt idx="6">
                  <c:v>42.89777993159561</c:v>
                </c:pt>
                <c:pt idx="7">
                  <c:v>33.94535815731977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6573.830853162562</c:v>
                </c:pt>
                <c:pt idx="5">
                  <c:v>7579.294185925629</c:v>
                </c:pt>
                <c:pt idx="6">
                  <c:v>6566.844630847723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33567.8693877551</c:v>
                </c:pt>
                <c:pt idx="7">
                  <c:v>121836.8783673469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2000.836415724263</c:v>
                </c:pt>
                <c:pt idx="5">
                  <c:v>1615.542857142857</c:v>
                </c:pt>
                <c:pt idx="6">
                  <c:v>7101.31460480478</c:v>
                </c:pt>
                <c:pt idx="7">
                  <c:v>778.1845536206695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26458.34019761547</c:v>
                </c:pt>
                <c:pt idx="5">
                  <c:v>26446.7616597114</c:v>
                </c:pt>
                <c:pt idx="6">
                  <c:v>18785.95203039975</c:v>
                </c:pt>
                <c:pt idx="7">
                  <c:v>11722.1348875426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635208"/>
        <c:axId val="-20836318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35208"/>
        <c:axId val="-2083631832"/>
      </c:lineChart>
      <c:catAx>
        <c:axId val="-208363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6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63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63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191480"/>
        <c:axId val="-20841947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91480"/>
        <c:axId val="-2084194728"/>
      </c:lineChart>
      <c:catAx>
        <c:axId val="-208419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9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19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9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284184"/>
        <c:axId val="-20842874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4184"/>
        <c:axId val="-2084287480"/>
      </c:lineChart>
      <c:catAx>
        <c:axId val="-20842841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28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0.53504784761031</c:v>
                </c:pt>
                <c:pt idx="2">
                  <c:v>0.53504784761031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0.450921336881693</c:v>
                </c:pt>
                <c:pt idx="2">
                  <c:v>0.450921336881693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0.178866075085119</c:v>
                </c:pt>
                <c:pt idx="2">
                  <c:v>0.172887980782422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-0.450921336881693</c:v>
                </c:pt>
                <c:pt idx="2">
                  <c:v>-0.04843724571858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358568"/>
        <c:axId val="-2084361928"/>
      </c:barChart>
      <c:catAx>
        <c:axId val="-208435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36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36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358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0.177249766031469</c:v>
                </c:pt>
                <c:pt idx="2">
                  <c:v>0.177249766031469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0.324163081568131</c:v>
                </c:pt>
                <c:pt idx="2">
                  <c:v>0.32416308156813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0.0577274404151516</c:v>
                </c:pt>
                <c:pt idx="2">
                  <c:v>0.0871180945027975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0.066171661498492</c:v>
                </c:pt>
                <c:pt idx="2">
                  <c:v>0.0396234274699263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421848"/>
        <c:axId val="-2084425272"/>
      </c:barChart>
      <c:catAx>
        <c:axId val="-208442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2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42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2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0.503407862885557</c:v>
                </c:pt>
                <c:pt idx="2">
                  <c:v>0.52878309045278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0.0291727953903416</c:v>
                </c:pt>
                <c:pt idx="2">
                  <c:v>0.00618791184304083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81384"/>
        <c:axId val="-2081777880"/>
      </c:barChart>
      <c:catAx>
        <c:axId val="-208178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7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7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81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0.595596152088692</c:v>
                </c:pt>
                <c:pt idx="2">
                  <c:v>0.595596152088692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0.501949525338581</c:v>
                </c:pt>
                <c:pt idx="2">
                  <c:v>0.501949525338581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0.205902927734435</c:v>
                </c:pt>
                <c:pt idx="2">
                  <c:v>0.247691360837065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-0.501949525338581</c:v>
                </c:pt>
                <c:pt idx="2">
                  <c:v>-0.207789981874594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16136"/>
        <c:axId val="-2081712760"/>
      </c:barChart>
      <c:catAx>
        <c:axId val="-208171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1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1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1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0.03071498950873</c:v>
                </c:pt>
                <c:pt idx="2" formatCode="0.0%">
                  <c:v>0.0307778383493178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0.0232135706025872</c:v>
                </c:pt>
                <c:pt idx="2" formatCode="0.0%">
                  <c:v>0.0232135706025872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0.0239285714285714</c:v>
                </c:pt>
                <c:pt idx="2" formatCode="0.0%">
                  <c:v>0.0239285714285714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0.142953864763</c:v>
                </c:pt>
                <c:pt idx="2" formatCode="0.0%">
                  <c:v>0.141042322098906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0.00995043788598876</c:v>
                </c:pt>
                <c:pt idx="2" formatCode="0.0%">
                  <c:v>0.00940759505417032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0.0476991041686787</c:v>
                </c:pt>
                <c:pt idx="2" formatCode="0.0%">
                  <c:v>0.0480623820630671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0.0196458435204717</c:v>
                </c:pt>
                <c:pt idx="2" formatCode="0.0%">
                  <c:v>0.0192832513646627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0.00825938522377817</c:v>
                </c:pt>
                <c:pt idx="2" formatCode="0.0%">
                  <c:v>0.008162179674814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0.0150034349850193</c:v>
                </c:pt>
                <c:pt idx="2" formatCode="0.0%">
                  <c:v>0.0147435546359491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0.00543288459094721</c:v>
                </c:pt>
                <c:pt idx="2" formatCode="0.0%">
                  <c:v>0.00536975294762514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0.00443721259562355</c:v>
                </c:pt>
                <c:pt idx="2" formatCode="0.0%">
                  <c:v>0.00437838381677095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0.0299220665743259</c:v>
                </c:pt>
                <c:pt idx="2" formatCode="0.0%">
                  <c:v>0.0275201211475492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0.0198378295676926</c:v>
                </c:pt>
                <c:pt idx="2" formatCode="0.0%">
                  <c:v>0.0198378295676926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-1.78793808930795E-5</c:v>
                </c:pt>
                <c:pt idx="2" formatCode="0.0%">
                  <c:v>-1.88222711193678E-5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0.00209483418767537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0.010815217221135</c:v>
                </c:pt>
                <c:pt idx="2" formatCode="0.0%">
                  <c:v>0.010815217221135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0.0270380430528376</c:v>
                </c:pt>
                <c:pt idx="2" formatCode="0.0%">
                  <c:v>0.027716366021773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0.0220164435575978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0.0197390463416836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0.232286867101936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0.339663204405793</c:v>
                </c:pt>
                <c:pt idx="2" formatCode="0.0%">
                  <c:v>0.203389487874389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873384"/>
        <c:axId val="-2083870088"/>
      </c:barChart>
      <c:catAx>
        <c:axId val="-208387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7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87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7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622040"/>
        <c:axId val="-20816186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22040"/>
        <c:axId val="-20816186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22040"/>
        <c:axId val="-2081618616"/>
      </c:scatterChart>
      <c:catAx>
        <c:axId val="-2081622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18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618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22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015384"/>
        <c:axId val="-20810120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15384"/>
        <c:axId val="-2081012008"/>
      </c:lineChart>
      <c:catAx>
        <c:axId val="-208101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012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012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0153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16120"/>
        <c:axId val="-20808127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09160"/>
        <c:axId val="-2080806264"/>
      </c:scatterChart>
      <c:valAx>
        <c:axId val="-20808161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12776"/>
        <c:crosses val="autoZero"/>
        <c:crossBetween val="midCat"/>
      </c:valAx>
      <c:valAx>
        <c:axId val="-2080812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16120"/>
        <c:crosses val="autoZero"/>
        <c:crossBetween val="midCat"/>
      </c:valAx>
      <c:valAx>
        <c:axId val="-20808091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0806264"/>
        <c:crosses val="autoZero"/>
        <c:crossBetween val="midCat"/>
      </c:valAx>
      <c:valAx>
        <c:axId val="-20808062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091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25592"/>
        <c:axId val="-20807197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25592"/>
        <c:axId val="-2080719736"/>
      </c:lineChart>
      <c:catAx>
        <c:axId val="-208072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19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0719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255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0.0447721135899108</c:v>
                </c:pt>
                <c:pt idx="2" formatCode="0.0%">
                  <c:v>0.044850368448515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0.00777623056395659</c:v>
                </c:pt>
                <c:pt idx="2" formatCode="0.0%">
                  <c:v>0.00777623056395659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0.043638055302289</c:v>
                </c:pt>
                <c:pt idx="2" formatCode="0.0%">
                  <c:v>0.043638055302289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0.046699016307893</c:v>
                </c:pt>
                <c:pt idx="2" formatCode="0.0%">
                  <c:v>0.0421539741201625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0.166527150433642</c:v>
                </c:pt>
                <c:pt idx="2" formatCode="0.0%">
                  <c:v>0.148309809918415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0.0280878776285358</c:v>
                </c:pt>
                <c:pt idx="2" formatCode="0.0%">
                  <c:v>0.0280878776285358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0.0624827428927237</c:v>
                </c:pt>
                <c:pt idx="2" formatCode="0.0%">
                  <c:v>0.0626671134787631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0.0404506316491727</c:v>
                </c:pt>
                <c:pt idx="2" formatCode="0.0%">
                  <c:v>0.0391265374206515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0.0194019792296744</c:v>
                </c:pt>
                <c:pt idx="2" formatCode="0.0%">
                  <c:v>0.0186320886025166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0.00942215699065014</c:v>
                </c:pt>
                <c:pt idx="2" formatCode="0.0%">
                  <c:v>0.00914280317249258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0.00644702081480163</c:v>
                </c:pt>
                <c:pt idx="2" formatCode="0.0%">
                  <c:v>0.00628735673597765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0.00959276618929016</c:v>
                </c:pt>
                <c:pt idx="2" formatCode="0.0%">
                  <c:v>0.00954229782861748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0.0438853061021171</c:v>
                </c:pt>
                <c:pt idx="2" formatCode="0.0%">
                  <c:v>0.0434297620065858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0.0231164095356698</c:v>
                </c:pt>
                <c:pt idx="2" formatCode="0.0%">
                  <c:v>0.0231563195135579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0.00312841531755915</c:v>
                </c:pt>
                <c:pt idx="2" formatCode="0.0%">
                  <c:v>0.00313819881033421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0.00165765913514008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0.0323086494101194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0.0261304971416558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0.276913343538364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0.338242692680456</c:v>
                </c:pt>
                <c:pt idx="2" formatCode="0.0%">
                  <c:v>0.0717454716236194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830648"/>
        <c:axId val="-2082827304"/>
      </c:barChart>
      <c:catAx>
        <c:axId val="-208283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2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82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3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0.00618986888454011</c:v>
                </c:pt>
                <c:pt idx="2" formatCode="0.0%">
                  <c:v>0.00618986888454011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0.0012402027219356</c:v>
                </c:pt>
                <c:pt idx="2" formatCode="0.0%">
                  <c:v>0.0012402027219356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0.00460647291645487</c:v>
                </c:pt>
                <c:pt idx="2" formatCode="0.0%">
                  <c:v>0.00460647291645487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0.0258333333333333</c:v>
                </c:pt>
                <c:pt idx="2" formatCode="0.0%">
                  <c:v>0.0258333333333333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0.0737312949384959</c:v>
                </c:pt>
                <c:pt idx="2" formatCode="0.0%">
                  <c:v>0.0737312949384959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0.0231623749345566</c:v>
                </c:pt>
                <c:pt idx="2" formatCode="0.0%">
                  <c:v>0.0231623749345566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0.00712262497776196</c:v>
                </c:pt>
                <c:pt idx="2" formatCode="0.0%">
                  <c:v>0.00890328122220245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0.0118200425064173</c:v>
                </c:pt>
                <c:pt idx="2" formatCode="0.0%">
                  <c:v>0.0127103706286375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0.00327853505985208</c:v>
                </c:pt>
                <c:pt idx="2" formatCode="0.0%">
                  <c:v>0.0033373769029405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0.005456216229954</c:v>
                </c:pt>
                <c:pt idx="2" formatCode="0.0%">
                  <c:v>0.00567175503269481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0.00253339626909294</c:v>
                </c:pt>
                <c:pt idx="2" formatCode="0.0%">
                  <c:v>0.00253339626909294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0.00369858701298701</c:v>
                </c:pt>
                <c:pt idx="2" formatCode="0.0%">
                  <c:v>0.00370291825933708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0.0178723298885557</c:v>
                </c:pt>
                <c:pt idx="2" formatCode="0.0%">
                  <c:v>0.0178723298885557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0.0029545703611457</c:v>
                </c:pt>
                <c:pt idx="2" formatCode="0.0%">
                  <c:v>0.0029545703611457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0.00868491727450631</c:v>
                </c:pt>
                <c:pt idx="2" formatCode="0.0%">
                  <c:v>0.00872637348957123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0.0008452464335115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0.0168987769080235</c:v>
                </c:pt>
                <c:pt idx="2" formatCode="0.0%">
                  <c:v>0.0168987769080235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0.369376014140425</c:v>
                </c:pt>
                <c:pt idx="2" formatCode="0.0%">
                  <c:v>0.444341654631616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809720"/>
        <c:axId val="-2083806424"/>
      </c:barChart>
      <c:catAx>
        <c:axId val="-208380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0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80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0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0.0108492501120797</c:v>
                </c:pt>
                <c:pt idx="1">
                  <c:v>0.0108492501120797</c:v>
                </c:pt>
                <c:pt idx="2">
                  <c:v>0.0210603090410959</c:v>
                </c:pt>
                <c:pt idx="3">
                  <c:v>0.0210603090410959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0.0985714285714285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0.473631033082192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0.117521337675147</c:v>
                </c:pt>
                <c:pt idx="3">
                  <c:v>0.0578836439295499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0.0357632836683864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0.00296638482921188</c:v>
                </c:pt>
                <c:pt idx="1">
                  <c:v>0.00296638482921188</c:v>
                </c:pt>
                <c:pt idx="2">
                  <c:v>0.00296638482921188</c:v>
                </c:pt>
                <c:pt idx="3">
                  <c:v>0.00296638482921188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0.0251670771037182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0.00988199748797367</c:v>
                </c:pt>
                <c:pt idx="1">
                  <c:v>0.0059305425250845</c:v>
                </c:pt>
                <c:pt idx="2">
                  <c:v>0.00790627000652909</c:v>
                </c:pt>
                <c:pt idx="3">
                  <c:v>0.00988199748797367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-0.593502966678361</c:v>
                </c:pt>
                <c:pt idx="1">
                  <c:v>-0.590402951885841</c:v>
                </c:pt>
                <c:pt idx="2">
                  <c:v>-0.701803714052071</c:v>
                </c:pt>
                <c:pt idx="3">
                  <c:v>3.266698647736701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772616"/>
        <c:axId val="-2082769208"/>
      </c:barChart>
      <c:catAx>
        <c:axId val="-2082772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69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76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7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0.00420911084148728</c:v>
                </c:pt>
                <c:pt idx="1">
                  <c:v>0.00420911084148728</c:v>
                </c:pt>
                <c:pt idx="2">
                  <c:v>0.00817062692759295</c:v>
                </c:pt>
                <c:pt idx="3">
                  <c:v>0.00817062692759295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0.0184258916658195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0.103333333333333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0.294925179753984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0.0620751648246118</c:v>
                </c:pt>
                <c:pt idx="3">
                  <c:v>0.0305743349136147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0.0356131248888098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0.05084148251455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0.0033373769029405</c:v>
                </c:pt>
                <c:pt idx="1">
                  <c:v>0.0033373769029405</c:v>
                </c:pt>
                <c:pt idx="2">
                  <c:v>0.0033373769029405</c:v>
                </c:pt>
                <c:pt idx="3">
                  <c:v>0.0033373769029405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0.0675951076320939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0.203275700918216</c:v>
                </c:pt>
                <c:pt idx="1">
                  <c:v>0.605110093251092</c:v>
                </c:pt>
                <c:pt idx="2">
                  <c:v>0.589725722252185</c:v>
                </c:pt>
                <c:pt idx="3">
                  <c:v>0.548481461040606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34872"/>
        <c:axId val="-2082631496"/>
      </c:barChart>
      <c:catAx>
        <c:axId val="-2082634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31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63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3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0.0209289300775361</c:v>
                </c:pt>
                <c:pt idx="1">
                  <c:v>0.0209289300775361</c:v>
                </c:pt>
                <c:pt idx="2">
                  <c:v>0.0406267466210996</c:v>
                </c:pt>
                <c:pt idx="3">
                  <c:v>0.0406267466210996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0.0723653798604169</c:v>
                </c:pt>
                <c:pt idx="1">
                  <c:v>0.0204889025499321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0.0745943047965528</c:v>
                </c:pt>
                <c:pt idx="1">
                  <c:v>0.0211199809177329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0.439681658191139</c:v>
                </c:pt>
                <c:pt idx="1">
                  <c:v>0.124487630204487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0.0293269915827658</c:v>
                </c:pt>
                <c:pt idx="1">
                  <c:v>0.00830338863391553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0.12880718392902</c:v>
                </c:pt>
                <c:pt idx="3">
                  <c:v>0.0634423443232485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0.0771330054586509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0.008162179674814</c:v>
                </c:pt>
                <c:pt idx="1">
                  <c:v>0.008162179674814</c:v>
                </c:pt>
                <c:pt idx="2">
                  <c:v>0.008162179674814</c:v>
                </c:pt>
                <c:pt idx="3">
                  <c:v>0.008162179674814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0.0589742185437963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0.00631697736758622</c:v>
                </c:pt>
                <c:pt idx="1">
                  <c:v>0.00379104558102335</c:v>
                </c:pt>
                <c:pt idx="2">
                  <c:v>0.00505401147430479</c:v>
                </c:pt>
                <c:pt idx="3">
                  <c:v>0.00631697736758622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0.0394780926833672</c:v>
                </c:pt>
                <c:pt idx="3">
                  <c:v>0.0394780926833672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0.232286867101936</c:v>
                </c:pt>
                <c:pt idx="1">
                  <c:v>0.232286867101936</c:v>
                </c:pt>
                <c:pt idx="2">
                  <c:v>0.232286867101936</c:v>
                </c:pt>
                <c:pt idx="3">
                  <c:v>0.232286867101936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0.366961358452719</c:v>
                </c:pt>
                <c:pt idx="2">
                  <c:v>0.429248207168205</c:v>
                </c:pt>
                <c:pt idx="3">
                  <c:v>0.396835438924695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523912"/>
        <c:axId val="-2082520536"/>
      </c:barChart>
      <c:catAx>
        <c:axId val="-2082523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20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52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23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0.0304982505449902</c:v>
                </c:pt>
                <c:pt idx="1">
                  <c:v>0.0304982505449902</c:v>
                </c:pt>
                <c:pt idx="2">
                  <c:v>0.0592024863520398</c:v>
                </c:pt>
                <c:pt idx="3">
                  <c:v>0.0592024863520398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0.0966308449692957</c:v>
                </c:pt>
                <c:pt idx="1">
                  <c:v>0.0710746890094301</c:v>
                </c:pt>
                <c:pt idx="2">
                  <c:v>0.00684668723043025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0.0933445386103505</c:v>
                </c:pt>
                <c:pt idx="1">
                  <c:v>0.0686575187722666</c:v>
                </c:pt>
                <c:pt idx="2">
                  <c:v>0.00661383909803296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0.32841294485688</c:v>
                </c:pt>
                <c:pt idx="1">
                  <c:v>0.241556905869867</c:v>
                </c:pt>
                <c:pt idx="2">
                  <c:v>0.023269388946915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0.0621969821945119</c:v>
                </c:pt>
                <c:pt idx="1">
                  <c:v>0.0457476199054727</c:v>
                </c:pt>
                <c:pt idx="2">
                  <c:v>0.00440690841415878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0.167947864123085</c:v>
                </c:pt>
                <c:pt idx="3">
                  <c:v>0.0827205897919673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0.156506149682606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0.0186320886025166</c:v>
                </c:pt>
                <c:pt idx="1">
                  <c:v>0.0186320886025166</c:v>
                </c:pt>
                <c:pt idx="2">
                  <c:v>0.0186320886025166</c:v>
                </c:pt>
                <c:pt idx="3">
                  <c:v>0.0186320886025166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0.0365712126899703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0.00739644646420411</c:v>
                </c:pt>
                <c:pt idx="1">
                  <c:v>0.00443887385560022</c:v>
                </c:pt>
                <c:pt idx="2">
                  <c:v>0.00591766015990217</c:v>
                </c:pt>
                <c:pt idx="3">
                  <c:v>0.00739644646420411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0.0522609942833117</c:v>
                </c:pt>
                <c:pt idx="3">
                  <c:v>0.0522609942833117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0.276913343538364</c:v>
                </c:pt>
                <c:pt idx="1">
                  <c:v>0.276913343538364</c:v>
                </c:pt>
                <c:pt idx="2">
                  <c:v>0.276913343538364</c:v>
                </c:pt>
                <c:pt idx="3">
                  <c:v>0.276913343538364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1.11022302462516E-16</c:v>
                </c:pt>
                <c:pt idx="2">
                  <c:v>0.292014179032356</c:v>
                </c:pt>
                <c:pt idx="3">
                  <c:v>0.349223355802913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188744"/>
        <c:axId val="-2083192136"/>
      </c:barChart>
      <c:catAx>
        <c:axId val="-2083188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92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19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8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2.06112047230019E-5</c:v>
                </c:pt>
                <c:pt idx="2">
                  <c:v>2.06112047230019E-5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0.0478179949573644</c:v>
                </c:pt>
                <c:pt idx="2">
                  <c:v>0.0478179949573644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0.00247334456676023</c:v>
                </c:pt>
                <c:pt idx="2">
                  <c:v>0.00247334456676023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0.010356718149214</c:v>
                </c:pt>
                <c:pt idx="2">
                  <c:v>0.00600033391896031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0.00857426116476878</c:v>
                </c:pt>
                <c:pt idx="2">
                  <c:v>0.00857426116476878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0.00123248017394493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0.000860779804025028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0.00300783851974655</c:v>
                </c:pt>
                <c:pt idx="2">
                  <c:v>-0.0011248826984418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0.00599122306778784</c:v>
                </c:pt>
                <c:pt idx="2">
                  <c:v>0.00183404787789423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0.00806981066273464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0.10378279565409</c:v>
                </c:pt>
                <c:pt idx="2">
                  <c:v>0.10378279565409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0.0707292703904721</c:v>
                </c:pt>
                <c:pt idx="2">
                  <c:v>0.0707292703904721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0.646728361322244</c:v>
                </c:pt>
                <c:pt idx="2">
                  <c:v>0.646728361322244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355256"/>
        <c:axId val="-2083358392"/>
      </c:barChart>
      <c:catAx>
        <c:axId val="-208335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5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35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5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6.1898688845401168E-3</v>
      </c>
      <c r="J6" s="24">
        <f t="shared" ref="J6:J13" si="3">IF(I$32&lt;=1+I$131,I6,B6*H6+J$33*(I6-B6*H6))</f>
        <v>6.1898688845401168E-3</v>
      </c>
      <c r="K6" s="22">
        <f t="shared" ref="K6:K31" si="4">B6</f>
        <v>1.2379737769080234E-2</v>
      </c>
      <c r="L6" s="22">
        <f t="shared" ref="L6:L29" si="5">IF(K6="","",K6*H6)</f>
        <v>6.1898688845401168E-3</v>
      </c>
      <c r="M6" s="177">
        <f t="shared" ref="M6:M31" si="6">J6</f>
        <v>6.1898688845401168E-3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2.4759475538160467E-2</v>
      </c>
      <c r="Z6" s="156">
        <f>Poor!Z6</f>
        <v>0.17</v>
      </c>
      <c r="AA6" s="121">
        <f>$M6*Z6*4</f>
        <v>4.2091108414872794E-3</v>
      </c>
      <c r="AB6" s="156">
        <f>Poor!AB6</f>
        <v>0.17</v>
      </c>
      <c r="AC6" s="121">
        <f t="shared" ref="AC6:AC29" si="7">$M6*AB6*4</f>
        <v>4.2091108414872794E-3</v>
      </c>
      <c r="AD6" s="156">
        <f>Poor!AD6</f>
        <v>0.33</v>
      </c>
      <c r="AE6" s="121">
        <f t="shared" ref="AE6:AE29" si="8">$M6*AD6*4</f>
        <v>8.1706269275929541E-3</v>
      </c>
      <c r="AF6" s="122">
        <f>1-SUM(Z6,AB6,AD6)</f>
        <v>0.32999999999999996</v>
      </c>
      <c r="AG6" s="121">
        <f>$M6*AF6*4</f>
        <v>8.1706269275929524E-3</v>
      </c>
      <c r="AH6" s="123">
        <f>SUM(Z6,AB6,AD6,AF6)</f>
        <v>1</v>
      </c>
      <c r="AI6" s="183">
        <f>SUM(AA6,AC6,AE6,AG6)/4</f>
        <v>6.1898688845401159E-3</v>
      </c>
      <c r="AJ6" s="120">
        <f>(AA6+AC6)/2</f>
        <v>4.2091108414872794E-3</v>
      </c>
      <c r="AK6" s="119">
        <f>(AE6+AG6)/2</f>
        <v>8.1706269275929541E-3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1.2402027219355987E-3</v>
      </c>
      <c r="J7" s="24">
        <f t="shared" si="3"/>
        <v>1.2402027219355987E-3</v>
      </c>
      <c r="K7" s="22">
        <f t="shared" si="4"/>
        <v>2.4804054438711974E-3</v>
      </c>
      <c r="L7" s="22">
        <f t="shared" si="5"/>
        <v>1.2402027219355987E-3</v>
      </c>
      <c r="M7" s="177">
        <f t="shared" si="6"/>
        <v>1.2402027219355987E-3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3811.9224627611393</v>
      </c>
      <c r="T7" s="221">
        <f>IF($B$81=0,0,(SUMIF($N$6:$N$28,$U7,M$6:M$28)+SUMIF($N$91:$N$118,$U7,M$91:M$118))*$I$83*Poor!$B$81/$B$81)</f>
        <v>3873.1749481952306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4.9608108877423947E-3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4.9608108877423947E-3</v>
      </c>
      <c r="AH7" s="123">
        <f t="shared" ref="AH7:AH30" si="12">SUM(Z7,AB7,AD7,AF7)</f>
        <v>1</v>
      </c>
      <c r="AI7" s="183">
        <f t="shared" ref="AI7:AI30" si="13">SUM(AA7,AC7,AE7,AG7)/4</f>
        <v>1.2402027219355987E-3</v>
      </c>
      <c r="AJ7" s="120">
        <f t="shared" ref="AJ7:AJ31" si="14">(AA7+AC7)/2</f>
        <v>0</v>
      </c>
      <c r="AK7" s="119">
        <f t="shared" ref="AK7:AK31" si="15">(AE7+AG7)/2</f>
        <v>2.4804054438711974E-3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4.6064729164548759E-3</v>
      </c>
      <c r="J8" s="24">
        <f t="shared" si="3"/>
        <v>4.6064729164548759E-3</v>
      </c>
      <c r="K8" s="22">
        <f t="shared" si="4"/>
        <v>9.2129458329097517E-3</v>
      </c>
      <c r="L8" s="22">
        <f t="shared" si="5"/>
        <v>4.6064729164548759E-3</v>
      </c>
      <c r="M8" s="223">
        <f t="shared" si="6"/>
        <v>4.6064729164548759E-3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283.65714285714284</v>
      </c>
      <c r="T8" s="221">
        <f>IF($B$81=0,0,(SUMIF($N$6:$N$28,$U8,M$6:M$28)+SUMIF($N$91:$N$118,$U8,M$91:M$118))*$I$83*Poor!$B$81/$B$81)</f>
        <v>135.62094054419282</v>
      </c>
      <c r="U8" s="222">
        <v>2</v>
      </c>
      <c r="V8" s="56"/>
      <c r="W8" s="115"/>
      <c r="X8" s="118">
        <f>Poor!X8</f>
        <v>1</v>
      </c>
      <c r="Y8" s="183">
        <f t="shared" si="9"/>
        <v>1.8425891665819503E-2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1.8425891665819503E-2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4.6064729164548759E-3</v>
      </c>
      <c r="AJ8" s="120">
        <f t="shared" si="14"/>
        <v>9.2129458329097517E-3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2.5833333333333337E-2</v>
      </c>
      <c r="J9" s="24">
        <f t="shared" si="3"/>
        <v>2.5833333333333337E-2</v>
      </c>
      <c r="K9" s="22">
        <f t="shared" si="4"/>
        <v>2.5833333333333337E-2</v>
      </c>
      <c r="L9" s="22">
        <f t="shared" si="5"/>
        <v>2.5833333333333337E-2</v>
      </c>
      <c r="M9" s="223">
        <f t="shared" si="6"/>
        <v>2.5833333333333337E-2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246.48301097974294</v>
      </c>
      <c r="T9" s="221">
        <f>IF($B$81=0,0,(SUMIF($N$6:$N$28,$U9,M$6:M$28)+SUMIF($N$91:$N$118,$U9,M$91:M$118))*$I$83*Poor!$B$81/$B$81)</f>
        <v>246.48301097974294</v>
      </c>
      <c r="U9" s="222">
        <v>3</v>
      </c>
      <c r="V9" s="56"/>
      <c r="W9" s="115"/>
      <c r="X9" s="118">
        <f>Poor!X9</f>
        <v>1</v>
      </c>
      <c r="Y9" s="183">
        <f t="shared" si="9"/>
        <v>0.10333333333333335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0.10333333333333335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2.5833333333333337E-2</v>
      </c>
      <c r="AJ9" s="120">
        <f t="shared" si="14"/>
        <v>5.1666666666666673E-2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7.373129493849595E-2</v>
      </c>
      <c r="J10" s="24">
        <f t="shared" si="3"/>
        <v>7.373129493849595E-2</v>
      </c>
      <c r="K10" s="22">
        <f t="shared" si="4"/>
        <v>6.7643389851831145E-2</v>
      </c>
      <c r="L10" s="22">
        <f t="shared" si="5"/>
        <v>7.373129493849595E-2</v>
      </c>
      <c r="M10" s="223">
        <f t="shared" si="6"/>
        <v>7.373129493849595E-2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0.2949251797539838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0.2949251797539838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7.373129493849595E-2</v>
      </c>
      <c r="AJ10" s="120">
        <f t="shared" si="14"/>
        <v>0.1474625898769919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385.88408163265302</v>
      </c>
      <c r="T11" s="221">
        <f>IF($B$81=0,0,(SUMIF($N$6:$N$28,$U11,M$6:M$28)+SUMIF($N$91:$N$118,$U11,M$91:M$118))*$I$83*Poor!$B$81/$B$81)</f>
        <v>385.88408163265302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1</v>
      </c>
      <c r="H12" s="24">
        <f t="shared" si="1"/>
        <v>1</v>
      </c>
      <c r="I12" s="22">
        <f t="shared" si="2"/>
        <v>2.3162374934556636E-2</v>
      </c>
      <c r="J12" s="24">
        <f t="shared" si="3"/>
        <v>2.3162374934556636E-2</v>
      </c>
      <c r="K12" s="22">
        <f t="shared" si="4"/>
        <v>2.3162374934556636E-2</v>
      </c>
      <c r="L12" s="22">
        <f t="shared" si="5"/>
        <v>2.3162374934556636E-2</v>
      </c>
      <c r="M12" s="223">
        <f t="shared" si="6"/>
        <v>2.3162374934556636E-2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355.22685751017309</v>
      </c>
      <c r="U12" s="222">
        <v>6</v>
      </c>
      <c r="V12" s="56"/>
      <c r="W12" s="117"/>
      <c r="X12" s="118">
        <v>1</v>
      </c>
      <c r="Y12" s="183">
        <f t="shared" si="9"/>
        <v>9.2649499738226546E-2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6.2075164824611791E-2</v>
      </c>
      <c r="AF12" s="122">
        <f>1-SUM(Z12,AB12,AD12)</f>
        <v>0.32999999999999996</v>
      </c>
      <c r="AG12" s="121">
        <f>$M12*AF12*4</f>
        <v>3.0574334913614755E-2</v>
      </c>
      <c r="AH12" s="123">
        <f t="shared" si="12"/>
        <v>1</v>
      </c>
      <c r="AI12" s="183">
        <f t="shared" si="13"/>
        <v>2.3162374934556636E-2</v>
      </c>
      <c r="AJ12" s="120">
        <f t="shared" si="14"/>
        <v>0</v>
      </c>
      <c r="AK12" s="119">
        <f t="shared" si="15"/>
        <v>4.6324749869113273E-2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1</v>
      </c>
      <c r="H13" s="24">
        <f t="shared" si="1"/>
        <v>1</v>
      </c>
      <c r="I13" s="22">
        <f t="shared" si="2"/>
        <v>8.9032812222024551E-3</v>
      </c>
      <c r="J13" s="24">
        <f t="shared" si="3"/>
        <v>8.9032812222024551E-3</v>
      </c>
      <c r="K13" s="22">
        <f t="shared" si="4"/>
        <v>7.1226249777619644E-3</v>
      </c>
      <c r="L13" s="22">
        <f t="shared" si="5"/>
        <v>7.1226249777619644E-3</v>
      </c>
      <c r="M13" s="224">
        <f t="shared" si="6"/>
        <v>8.9032812222024551E-3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6573.8308531625617</v>
      </c>
      <c r="T13" s="221">
        <f>IF($B$81=0,0,(SUMIF($N$6:$N$28,$U13,M$6:M$28)+SUMIF($N$91:$N$118,$U13,M$91:M$118))*$I$83*Poor!$B$81/$B$81)</f>
        <v>6573.8308531625617</v>
      </c>
      <c r="U13" s="222">
        <v>7</v>
      </c>
      <c r="V13" s="56"/>
      <c r="W13" s="110"/>
      <c r="X13" s="118"/>
      <c r="Y13" s="183">
        <f t="shared" si="9"/>
        <v>3.561312488880982E-2</v>
      </c>
      <c r="Z13" s="156">
        <f>Poor!Z13</f>
        <v>1</v>
      </c>
      <c r="AA13" s="121">
        <f>$M13*Z13*4</f>
        <v>3.561312488880982E-2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8.9032812222024551E-3</v>
      </c>
      <c r="AJ13" s="120">
        <f t="shared" si="14"/>
        <v>1.780656244440491E-2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1</v>
      </c>
      <c r="F14" s="22"/>
      <c r="H14" s="24">
        <f t="shared" si="1"/>
        <v>1</v>
      </c>
      <c r="I14" s="22">
        <f t="shared" si="2"/>
        <v>1.2710370628637507E-2</v>
      </c>
      <c r="J14" s="24">
        <f>IF(I$32&lt;=1+I131,I14,B14*H14+J$33*(I14-B14*H14))</f>
        <v>1.2710370628637507E-2</v>
      </c>
      <c r="K14" s="22">
        <f t="shared" si="4"/>
        <v>1.1820042506417262E-2</v>
      </c>
      <c r="L14" s="22">
        <f t="shared" si="5"/>
        <v>1.1820042506417262E-2</v>
      </c>
      <c r="M14" s="224">
        <f t="shared" si="6"/>
        <v>1.2710370628637507E-2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5.0841482514550028E-2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5.0841482514550028E-2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1.2710370628637507E-2</v>
      </c>
      <c r="AJ14" s="120">
        <f t="shared" si="14"/>
        <v>2.5420741257275014E-2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1</v>
      </c>
      <c r="F15" s="22"/>
      <c r="H15" s="24">
        <f t="shared" si="1"/>
        <v>1</v>
      </c>
      <c r="I15" s="22">
        <f t="shared" si="2"/>
        <v>3.3373769029405036E-3</v>
      </c>
      <c r="J15" s="24">
        <f t="shared" ref="J15:J25" si="17">IF(I$32&lt;=1+I131,I15,B15*H15+J$33*(I15-B15*H15))</f>
        <v>3.3373769029405036E-3</v>
      </c>
      <c r="K15" s="22">
        <f t="shared" si="4"/>
        <v>3.278535059852085E-3</v>
      </c>
      <c r="L15" s="22">
        <f t="shared" si="5"/>
        <v>3.278535059852085E-3</v>
      </c>
      <c r="M15" s="225">
        <f t="shared" si="6"/>
        <v>3.3373769029405036E-3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1.3349507611762014E-2</v>
      </c>
      <c r="Z15" s="156">
        <f>Poor!Z15</f>
        <v>0.25</v>
      </c>
      <c r="AA15" s="121">
        <f t="shared" si="16"/>
        <v>3.3373769029405036E-3</v>
      </c>
      <c r="AB15" s="156">
        <f>Poor!AB15</f>
        <v>0.25</v>
      </c>
      <c r="AC15" s="121">
        <f t="shared" si="7"/>
        <v>3.3373769029405036E-3</v>
      </c>
      <c r="AD15" s="156">
        <f>Poor!AD15</f>
        <v>0.25</v>
      </c>
      <c r="AE15" s="121">
        <f t="shared" si="8"/>
        <v>3.3373769029405036E-3</v>
      </c>
      <c r="AF15" s="122">
        <f t="shared" si="10"/>
        <v>0.25</v>
      </c>
      <c r="AG15" s="121">
        <f t="shared" si="11"/>
        <v>3.3373769029405036E-3</v>
      </c>
      <c r="AH15" s="123">
        <f t="shared" si="12"/>
        <v>1</v>
      </c>
      <c r="AI15" s="183">
        <f t="shared" si="13"/>
        <v>3.3373769029405036E-3</v>
      </c>
      <c r="AJ15" s="120">
        <f t="shared" si="14"/>
        <v>3.3373769029405036E-3</v>
      </c>
      <c r="AK15" s="119">
        <f t="shared" si="15"/>
        <v>3.3373769029405036E-3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6.3857994891605473E-3</v>
      </c>
      <c r="J16" s="24">
        <f t="shared" si="17"/>
        <v>5.6717550326948101E-3</v>
      </c>
      <c r="K16" s="22">
        <f t="shared" ref="K16:K25" si="21">B16</f>
        <v>5.4562162299540001E-3</v>
      </c>
      <c r="L16" s="22">
        <f t="shared" ref="L16:L25" si="22">IF(K16="","",K16*H16)</f>
        <v>5.4562162299540001E-3</v>
      </c>
      <c r="M16" s="225">
        <f t="shared" ref="M16:M25" si="23">J16</f>
        <v>5.6717550326948101E-3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2000.8364157242634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1</v>
      </c>
      <c r="F17" s="22"/>
      <c r="H17" s="24">
        <f t="shared" si="19"/>
        <v>1</v>
      </c>
      <c r="I17" s="22">
        <f t="shared" si="20"/>
        <v>2.5333962690929422E-3</v>
      </c>
      <c r="J17" s="24">
        <f t="shared" si="17"/>
        <v>2.5333962690929422E-3</v>
      </c>
      <c r="K17" s="22">
        <f t="shared" si="21"/>
        <v>2.5333962690929422E-3</v>
      </c>
      <c r="L17" s="22">
        <f t="shared" si="22"/>
        <v>2.5333962690929422E-3</v>
      </c>
      <c r="M17" s="225">
        <f t="shared" si="23"/>
        <v>2.5333962690929422E-3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1</v>
      </c>
      <c r="F18" s="22"/>
      <c r="H18" s="24">
        <f t="shared" si="19"/>
        <v>1</v>
      </c>
      <c r="I18" s="22">
        <f t="shared" si="20"/>
        <v>3.7172669631738127E-3</v>
      </c>
      <c r="J18" s="24">
        <f t="shared" si="17"/>
        <v>3.7029182593370791E-3</v>
      </c>
      <c r="K18" s="22">
        <f t="shared" si="21"/>
        <v>3.6985870129870131E-3</v>
      </c>
      <c r="L18" s="22">
        <f t="shared" si="22"/>
        <v>3.6985870129870131E-3</v>
      </c>
      <c r="M18" s="225">
        <f t="shared" si="23"/>
        <v>3.7029182593370791E-3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1</v>
      </c>
      <c r="F19" s="22"/>
      <c r="H19" s="24">
        <f t="shared" si="19"/>
        <v>1</v>
      </c>
      <c r="I19" s="22">
        <f t="shared" si="20"/>
        <v>1.7872329888555669E-2</v>
      </c>
      <c r="J19" s="24">
        <f t="shared" si="17"/>
        <v>1.7872329888555669E-2</v>
      </c>
      <c r="K19" s="22">
        <f t="shared" si="21"/>
        <v>1.7872329888555669E-2</v>
      </c>
      <c r="L19" s="22">
        <f t="shared" si="22"/>
        <v>1.7872329888555669E-2</v>
      </c>
      <c r="M19" s="225">
        <f t="shared" si="23"/>
        <v>1.7872329888555669E-2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1</v>
      </c>
      <c r="F20" s="22"/>
      <c r="H20" s="24">
        <f t="shared" si="19"/>
        <v>1</v>
      </c>
      <c r="I20" s="22">
        <f t="shared" si="20"/>
        <v>2.9545703611457037E-3</v>
      </c>
      <c r="J20" s="24">
        <f t="shared" si="17"/>
        <v>2.9545703611457037E-3</v>
      </c>
      <c r="K20" s="22">
        <f t="shared" si="21"/>
        <v>2.9545703611457037E-3</v>
      </c>
      <c r="L20" s="22">
        <f t="shared" si="22"/>
        <v>2.9545703611457037E-3</v>
      </c>
      <c r="M20" s="225">
        <f t="shared" si="23"/>
        <v>2.9545703611457037E-3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26458.340197615471</v>
      </c>
      <c r="T20" s="221">
        <f>IF($B$81=0,0,(SUMIF($N$6:$N$28,$U20,M$6:M$28)+SUMIF($N$91:$N$118,$U20,M$91:M$118))*$I$83*Poor!$B$81/$B$81)</f>
        <v>26458.340197615471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1</v>
      </c>
      <c r="F21" s="22"/>
      <c r="H21" s="24">
        <f t="shared" si="19"/>
        <v>1</v>
      </c>
      <c r="I21" s="22">
        <f t="shared" si="20"/>
        <v>8.8637110834371112E-3</v>
      </c>
      <c r="J21" s="24">
        <f t="shared" si="17"/>
        <v>8.7263734895712316E-3</v>
      </c>
      <c r="K21" s="22">
        <f t="shared" si="21"/>
        <v>8.6849172745063156E-3</v>
      </c>
      <c r="L21" s="22">
        <f t="shared" si="22"/>
        <v>8.6849172745063156E-3</v>
      </c>
      <c r="M21" s="225">
        <f t="shared" si="23"/>
        <v>8.7263734895712316E-3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8.4524643351149994E-4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8.4524643351149994E-4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48473.458101282646</v>
      </c>
      <c r="T23" s="179">
        <f>SUM(T7:T22)</f>
        <v>48562.852881806029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1</v>
      </c>
      <c r="F24" s="22"/>
      <c r="H24" s="24">
        <f t="shared" si="19"/>
        <v>1</v>
      </c>
      <c r="I24" s="22">
        <f t="shared" si="20"/>
        <v>1.6898776908023484E-2</v>
      </c>
      <c r="J24" s="24">
        <f t="shared" si="17"/>
        <v>1.6898776908023484E-2</v>
      </c>
      <c r="K24" s="22">
        <f t="shared" si="21"/>
        <v>1.6898776908023484E-2</v>
      </c>
      <c r="L24" s="22">
        <f t="shared" si="22"/>
        <v>1.6898776908023484E-2</v>
      </c>
      <c r="M24" s="225">
        <f t="shared" si="23"/>
        <v>1.6898776908023484E-2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6.7595107632093934E-2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6.7595107632093934E-2</v>
      </c>
      <c r="AH24" s="123">
        <f t="shared" si="12"/>
        <v>1</v>
      </c>
      <c r="AI24" s="183">
        <f t="shared" si="13"/>
        <v>1.6898776908023484E-2</v>
      </c>
      <c r="AJ24" s="120">
        <f t="shared" si="14"/>
        <v>0</v>
      </c>
      <c r="AK24" s="119">
        <f t="shared" si="15"/>
        <v>3.3797553816046967E-2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0.99628409738633805</v>
      </c>
      <c r="J30" s="230">
        <f>IF(I$32&lt;=1,I30,1-SUM(J6:J29))</f>
        <v>0.44434165463161557</v>
      </c>
      <c r="K30" s="22">
        <f t="shared" si="4"/>
        <v>0.64712844882837317</v>
      </c>
      <c r="L30" s="22">
        <f>IF(L124=L119,0,IF(K30="",0,(L119-L124)/(B119-B124)*K30))</f>
        <v>0.36937601414042515</v>
      </c>
      <c r="M30" s="175">
        <f t="shared" si="6"/>
        <v>0.44434165463161557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1.7773666185264623</v>
      </c>
      <c r="Z30" s="122">
        <f>IF($Y30=0,0,AA30/($Y$30))</f>
        <v>0.11436903270229237</v>
      </c>
      <c r="AA30" s="187">
        <f>IF(AA79*4/$I$83+SUM(AA6:AA29)&lt;1,AA79*4/$I$83,1-SUM(AA6:AA29))</f>
        <v>0.20327570091821578</v>
      </c>
      <c r="AB30" s="122">
        <f>IF($Y30=0,0,AC30/($Y$30))</f>
        <v>0.34045316646757007</v>
      </c>
      <c r="AC30" s="187">
        <f>IF(AC79*4/$I$83+SUM(AC6:AC29)&lt;1,AC79*4/$I$83,1-SUM(AC6:AC29))</f>
        <v>0.60511009325109177</v>
      </c>
      <c r="AD30" s="122">
        <f>IF($Y30=0,0,AE30/($Y$30))</f>
        <v>0.33179745591323234</v>
      </c>
      <c r="AE30" s="187">
        <f>IF(AE79*4/$I$83+SUM(AE6:AE29)&lt;1,AE79*4/$I$83,1-SUM(AE6:AE29))</f>
        <v>0.58972572225218467</v>
      </c>
      <c r="AF30" s="122">
        <f>IF($Y30=0,0,AG30/($Y$30))</f>
        <v>0.30859219213609845</v>
      </c>
      <c r="AG30" s="187">
        <f>IF(AG79*4/$I$83+SUM(AG6:AG29)&lt;1,AG79*4/$I$83,1-SUM(AG6:AG29))</f>
        <v>0.54848146104060569</v>
      </c>
      <c r="AH30" s="123">
        <f t="shared" si="12"/>
        <v>1.0952118472191934</v>
      </c>
      <c r="AI30" s="183">
        <f t="shared" si="13"/>
        <v>0.48664824436552451</v>
      </c>
      <c r="AJ30" s="120">
        <f t="shared" si="14"/>
        <v>0.40419289708465378</v>
      </c>
      <c r="AK30" s="119">
        <f t="shared" si="15"/>
        <v>0.56910359164639512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7.3612662343915281E-2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7722.7581738713488</v>
      </c>
      <c r="T31" s="233">
        <f>IF(T25&gt;T$23,T25-T$23,0)</f>
        <v>7633.363393347965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1.5531257177773388</v>
      </c>
      <c r="J32" s="17"/>
      <c r="L32" s="22">
        <f>SUM(L6:L30)</f>
        <v>0.92638733765608472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41796.919806524391</v>
      </c>
      <c r="T32" s="233">
        <f t="shared" si="24"/>
        <v>41707.525026001007</v>
      </c>
      <c r="V32" s="56"/>
      <c r="W32" s="110"/>
      <c r="X32" s="118"/>
      <c r="Y32" s="115">
        <f>SUM(Y6:Y31)</f>
        <v>3.8307736410643645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0.23186605460686174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6679.192969179483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190.14857142857142</v>
      </c>
      <c r="J41" s="38">
        <f t="shared" si="32"/>
        <v>190.14857142857144</v>
      </c>
      <c r="K41" s="40">
        <f t="shared" si="33"/>
        <v>6.2664515607354894E-3</v>
      </c>
      <c r="L41" s="22">
        <f t="shared" si="34"/>
        <v>5.9155302733343018E-3</v>
      </c>
      <c r="M41" s="24">
        <f t="shared" si="35"/>
        <v>5.9155302733343027E-3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190.14857142857144</v>
      </c>
      <c r="AH41" s="123">
        <f t="shared" si="37"/>
        <v>1</v>
      </c>
      <c r="AI41" s="112">
        <f t="shared" si="37"/>
        <v>190.14857142857144</v>
      </c>
      <c r="AJ41" s="148">
        <f t="shared" si="38"/>
        <v>0</v>
      </c>
      <c r="AK41" s="147">
        <f t="shared" si="39"/>
        <v>190.14857142857144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67.428571428571431</v>
      </c>
      <c r="J42" s="38">
        <f t="shared" si="32"/>
        <v>67.428571428571431</v>
      </c>
      <c r="K42" s="40">
        <f t="shared" si="33"/>
        <v>2.2221459435232235E-3</v>
      </c>
      <c r="L42" s="22">
        <f t="shared" si="34"/>
        <v>2.0977057706859231E-3</v>
      </c>
      <c r="M42" s="24">
        <f t="shared" si="35"/>
        <v>2.0977057706859231E-3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16.857142857142858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33.714285714285715</v>
      </c>
      <c r="AF42" s="122">
        <f t="shared" si="29"/>
        <v>0.25</v>
      </c>
      <c r="AG42" s="147">
        <f t="shared" si="36"/>
        <v>16.857142857142858</v>
      </c>
      <c r="AH42" s="123">
        <f t="shared" si="37"/>
        <v>1</v>
      </c>
      <c r="AI42" s="112">
        <f t="shared" si="37"/>
        <v>67.428571428571431</v>
      </c>
      <c r="AJ42" s="148">
        <f t="shared" si="38"/>
        <v>16.857142857142858</v>
      </c>
      <c r="AK42" s="147">
        <f t="shared" si="39"/>
        <v>50.571428571428569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3.733205185119015E-4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1.8106045147827223E-3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1.1821816419543547E-3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48.000000000000007</v>
      </c>
      <c r="J52" s="38">
        <f t="shared" si="32"/>
        <v>118.66832297616872</v>
      </c>
      <c r="K52" s="40">
        <f t="shared" si="33"/>
        <v>3.1110043209325129E-3</v>
      </c>
      <c r="L52" s="22">
        <f t="shared" si="34"/>
        <v>4.355406049305518E-3</v>
      </c>
      <c r="M52" s="24">
        <f t="shared" si="35"/>
        <v>3.691776655366759E-3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29.667080744042181</v>
      </c>
      <c r="AB52" s="156">
        <f>Poor!AB57</f>
        <v>0.25</v>
      </c>
      <c r="AC52" s="147">
        <f t="shared" si="41"/>
        <v>29.667080744042181</v>
      </c>
      <c r="AD52" s="156">
        <f>Poor!AD57</f>
        <v>0.25</v>
      </c>
      <c r="AE52" s="147">
        <f t="shared" si="42"/>
        <v>29.667080744042181</v>
      </c>
      <c r="AF52" s="122">
        <f t="shared" si="29"/>
        <v>0.25</v>
      </c>
      <c r="AG52" s="147">
        <f t="shared" si="36"/>
        <v>29.667080744042181</v>
      </c>
      <c r="AH52" s="123">
        <f t="shared" si="37"/>
        <v>1</v>
      </c>
      <c r="AI52" s="112">
        <f t="shared" si="37"/>
        <v>118.66832297616872</v>
      </c>
      <c r="AJ52" s="148">
        <f t="shared" si="38"/>
        <v>59.334161488084362</v>
      </c>
      <c r="AK52" s="147">
        <f t="shared" si="39"/>
        <v>59.334161488084362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295.67824622787504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9.1985630162066661E-3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1773.6214285714289</v>
      </c>
      <c r="J55" s="38">
        <f t="shared" si="32"/>
        <v>1773.6214285714289</v>
      </c>
      <c r="K55" s="40">
        <f t="shared" si="33"/>
        <v>4.9709404756614506E-2</v>
      </c>
      <c r="L55" s="22">
        <f t="shared" si="34"/>
        <v>5.517743927984211E-2</v>
      </c>
      <c r="M55" s="24">
        <f t="shared" si="35"/>
        <v>5.517743927984211E-2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1065.6000000000001</v>
      </c>
      <c r="J56" s="38">
        <f t="shared" si="32"/>
        <v>1065.6000000000001</v>
      </c>
      <c r="K56" s="40">
        <f t="shared" si="33"/>
        <v>2.9865641480952124E-2</v>
      </c>
      <c r="L56" s="22">
        <f t="shared" si="34"/>
        <v>3.3150862043856859E-2</v>
      </c>
      <c r="M56" s="24">
        <f t="shared" si="35"/>
        <v>3.3150862043856859E-2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2610.0857142857149</v>
      </c>
      <c r="J57" s="38">
        <f t="shared" si="32"/>
        <v>2610.0857142857149</v>
      </c>
      <c r="K57" s="40">
        <f t="shared" si="33"/>
        <v>7.3153044460784522E-2</v>
      </c>
      <c r="L57" s="22">
        <f t="shared" si="34"/>
        <v>8.1199879351470827E-2</v>
      </c>
      <c r="M57" s="24">
        <f t="shared" si="35"/>
        <v>8.1199879351470827E-2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1750.7318637587305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5.4465343929476419E-2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437.68296593968262</v>
      </c>
      <c r="AB59" s="156">
        <f>Poor!AB59</f>
        <v>0.25</v>
      </c>
      <c r="AC59" s="147">
        <f t="shared" si="41"/>
        <v>437.68296593968262</v>
      </c>
      <c r="AD59" s="156">
        <f>Poor!AD59</f>
        <v>0.25</v>
      </c>
      <c r="AE59" s="147">
        <f t="shared" si="42"/>
        <v>437.68296593968262</v>
      </c>
      <c r="AF59" s="122">
        <f t="shared" si="29"/>
        <v>0.25</v>
      </c>
      <c r="AG59" s="147">
        <f t="shared" si="36"/>
        <v>437.68296593968262</v>
      </c>
      <c r="AH59" s="123">
        <f t="shared" ref="AH59:AI64" si="43">SUM(Z59,AB59,AD59,AF59)</f>
        <v>1</v>
      </c>
      <c r="AI59" s="112">
        <f t="shared" si="43"/>
        <v>1750.7318637587305</v>
      </c>
      <c r="AJ59" s="148">
        <f t="shared" si="38"/>
        <v>875.36593187936523</v>
      </c>
      <c r="AK59" s="147">
        <f t="shared" si="39"/>
        <v>875.36593187936523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23151.047672913537</v>
      </c>
      <c r="J61" s="38">
        <f t="shared" si="32"/>
        <v>23151.047672913537</v>
      </c>
      <c r="K61" s="40">
        <f t="shared" si="33"/>
        <v>0.61036448597075088</v>
      </c>
      <c r="L61" s="22">
        <f t="shared" si="34"/>
        <v>0.72023009344548605</v>
      </c>
      <c r="M61" s="24">
        <f t="shared" si="35"/>
        <v>0.72023009344548605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5787.7619182283843</v>
      </c>
      <c r="AB61" s="156">
        <f>Poor!AB61</f>
        <v>0.25</v>
      </c>
      <c r="AC61" s="147">
        <f t="shared" si="41"/>
        <v>5787.7619182283843</v>
      </c>
      <c r="AD61" s="156">
        <f>Poor!AD61</f>
        <v>0.25</v>
      </c>
      <c r="AE61" s="147">
        <f t="shared" si="42"/>
        <v>5787.7619182283843</v>
      </c>
      <c r="AF61" s="122">
        <f t="shared" si="29"/>
        <v>0.25</v>
      </c>
      <c r="AG61" s="147">
        <f t="shared" si="36"/>
        <v>5787.7619182283843</v>
      </c>
      <c r="AH61" s="123">
        <f t="shared" si="43"/>
        <v>1</v>
      </c>
      <c r="AI61" s="112">
        <f t="shared" si="43"/>
        <v>23151.047672913537</v>
      </c>
      <c r="AJ61" s="148">
        <f t="shared" si="38"/>
        <v>11575.523836456769</v>
      </c>
      <c r="AK61" s="147">
        <f t="shared" si="39"/>
        <v>11575.523836456769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36996.389101484965</v>
      </c>
      <c r="J65" s="39">
        <f>SUM(J37:J64)</f>
        <v>36562.053248733457</v>
      </c>
      <c r="K65" s="40">
        <f>SUM(K37:K64)</f>
        <v>0.99999999999999989</v>
      </c>
      <c r="L65" s="22">
        <f>SUM(L37:L64)</f>
        <v>1.136734418493333</v>
      </c>
      <c r="M65" s="24">
        <f>SUM(M37:M64)</f>
        <v>1.1374470563897441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7656.7298220549665</v>
      </c>
      <c r="AB65" s="137"/>
      <c r="AC65" s="153">
        <f>SUM(AC37:AC64)</f>
        <v>7639.8726791978233</v>
      </c>
      <c r="AD65" s="137"/>
      <c r="AE65" s="153">
        <f>SUM(AE37:AE64)</f>
        <v>7673.5869649121087</v>
      </c>
      <c r="AF65" s="137"/>
      <c r="AG65" s="153">
        <f>SUM(AG37:AG64)</f>
        <v>7846.8783934835374</v>
      </c>
      <c r="AH65" s="137"/>
      <c r="AI65" s="153">
        <f>SUM(AI37:AI64)</f>
        <v>30817.067859648436</v>
      </c>
      <c r="AJ65" s="153">
        <f>SUM(AJ37:AJ64)</f>
        <v>15296.60250125279</v>
      </c>
      <c r="AK65" s="153">
        <f>SUM(AK37:AK64)</f>
        <v>15520.465358395646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0.42542582292049425</v>
      </c>
      <c r="L70" s="22">
        <f t="shared" ref="L70:L74" si="45">(L124*G$37*F$9/F$7)/B$130</f>
        <v>0.59559615208869199</v>
      </c>
      <c r="M70" s="24">
        <f>J70/B$76</f>
        <v>0.59559615208869199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0.42538095367676371</v>
      </c>
      <c r="L71" s="22">
        <f t="shared" si="45"/>
        <v>0.50194952533858117</v>
      </c>
      <c r="M71" s="24">
        <f t="shared" ref="M71:M72" si="48">J71/B$76</f>
        <v>0.50194952533858117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17851.569916207722</v>
      </c>
      <c r="J74" s="51">
        <f t="shared" si="44"/>
        <v>7961.7813183499711</v>
      </c>
      <c r="K74" s="40">
        <f>B74/B$76</f>
        <v>0.2186252804617024</v>
      </c>
      <c r="L74" s="22">
        <f t="shared" si="45"/>
        <v>0.20590292773443528</v>
      </c>
      <c r="M74" s="24">
        <f>J74/B$76</f>
        <v>0.24769136083706519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910.58122796686837</v>
      </c>
      <c r="AB74" s="156"/>
      <c r="AC74" s="147">
        <f>AC30*$I$83/4</f>
        <v>2710.6136605545921</v>
      </c>
      <c r="AD74" s="156"/>
      <c r="AE74" s="147">
        <f>AE30*$I$83/4</f>
        <v>2641.6987859660212</v>
      </c>
      <c r="AF74" s="156"/>
      <c r="AG74" s="147">
        <f>AG30*$I$83/4</f>
        <v>2456.9435503378536</v>
      </c>
      <c r="AH74" s="155"/>
      <c r="AI74" s="147">
        <f>SUM(AA74,AC74,AE74,AG74)</f>
        <v>8719.8372248253363</v>
      </c>
      <c r="AJ74" s="148">
        <f>(AA74+AC74)</f>
        <v>3621.1948885214606</v>
      </c>
      <c r="AK74" s="147">
        <f>(AE74+AG74)</f>
        <v>5098.6423363038748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2563.6738445951564</v>
      </c>
      <c r="AB75" s="158"/>
      <c r="AC75" s="149">
        <f>AA75+AC65-SUM(AC70,AC74)</f>
        <v>2706.728066919075</v>
      </c>
      <c r="AD75" s="158"/>
      <c r="AE75" s="149">
        <f>AC75+AE65-SUM(AE70,AE74)</f>
        <v>2952.4114495458498</v>
      </c>
      <c r="AF75" s="158"/>
      <c r="AG75" s="149">
        <f>IF(SUM(AG6:AG29)+((AG65-AG70-$J$75)*4/I$83)&lt;1,0,AG65-AG70-$J$75-(1-SUM(AG6:AG29))*I$83/4)</f>
        <v>603.73004682637111</v>
      </c>
      <c r="AH75" s="134"/>
      <c r="AI75" s="149">
        <f>AI76-SUM(AI70,AI74)</f>
        <v>2952.4114495458489</v>
      </c>
      <c r="AJ75" s="151">
        <f>AJ76-SUM(AJ70,AJ74)</f>
        <v>2102.9980200927039</v>
      </c>
      <c r="AK75" s="149">
        <f>AJ75+AK76-SUM(AK70,AK74)</f>
        <v>2952.4114495458489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36996.389101484972</v>
      </c>
      <c r="J76" s="51">
        <f t="shared" si="44"/>
        <v>36562.053248733464</v>
      </c>
      <c r="K76" s="40">
        <f>SUM(K70:K75)</f>
        <v>1.8893594673001592</v>
      </c>
      <c r="L76" s="22">
        <f>SUM(L70:L75)</f>
        <v>1.3034486051617085</v>
      </c>
      <c r="M76" s="24">
        <f>SUM(M70:M75)</f>
        <v>1.3452370382643384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7656.7298220549665</v>
      </c>
      <c r="AB76" s="137"/>
      <c r="AC76" s="153">
        <f>AC65</f>
        <v>7639.8726791978233</v>
      </c>
      <c r="AD76" s="137"/>
      <c r="AE76" s="153">
        <f>AE65</f>
        <v>7673.5869649121087</v>
      </c>
      <c r="AF76" s="137"/>
      <c r="AG76" s="153">
        <f>AG65</f>
        <v>7846.8783934835374</v>
      </c>
      <c r="AH76" s="137"/>
      <c r="AI76" s="153">
        <f>SUM(AA76,AC76,AE76,AG76)</f>
        <v>30817.067859648436</v>
      </c>
      <c r="AJ76" s="154">
        <f>SUM(AA76,AC76)</f>
        <v>15296.60250125279</v>
      </c>
      <c r="AK76" s="154">
        <f>SUM(AE76,AG76)</f>
        <v>15520.465358395646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6679.192969179483</v>
      </c>
      <c r="K77" s="40"/>
      <c r="L77" s="22">
        <f>-(L131*G$37*F$9/F$7)/B$130</f>
        <v>-0.50194952533858106</v>
      </c>
      <c r="M77" s="24">
        <f>-J77/B$76</f>
        <v>-0.20778998187459433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603.73004682637111</v>
      </c>
      <c r="AB78" s="112"/>
      <c r="AC78" s="112">
        <f>IF(AA75&lt;0,0,AA75)</f>
        <v>2563.6738445951564</v>
      </c>
      <c r="AD78" s="112"/>
      <c r="AE78" s="112">
        <f>AC75</f>
        <v>2706.728066919075</v>
      </c>
      <c r="AF78" s="112"/>
      <c r="AG78" s="112">
        <f>AE75</f>
        <v>2952.4114495458498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3474.2550725620249</v>
      </c>
      <c r="AB79" s="112"/>
      <c r="AC79" s="112">
        <f>AA79-AA74+AC65-AC70</f>
        <v>5417.3417274736676</v>
      </c>
      <c r="AD79" s="112"/>
      <c r="AE79" s="112">
        <f>AC79-AC74+AE65-AE70</f>
        <v>5594.110235511871</v>
      </c>
      <c r="AF79" s="112"/>
      <c r="AG79" s="112">
        <f>AE79-AE74+AG65-AG70</f>
        <v>6013.0850467100736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0.57212121212121214</v>
      </c>
      <c r="I95" s="22">
        <f t="shared" si="54"/>
        <v>1.0612063742529364E-2</v>
      </c>
      <c r="J95" s="24">
        <f t="shared" si="55"/>
        <v>1.0612063742529364E-2</v>
      </c>
      <c r="K95" s="22">
        <f t="shared" si="56"/>
        <v>1.8548628363531196E-2</v>
      </c>
      <c r="L95" s="22">
        <f t="shared" si="57"/>
        <v>1.0612063742529364E-2</v>
      </c>
      <c r="M95" s="227">
        <f t="shared" si="49"/>
        <v>1.0612063742529364E-2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0.57212121212121214</v>
      </c>
      <c r="I96" s="22">
        <f t="shared" si="54"/>
        <v>3.7631431711097033E-3</v>
      </c>
      <c r="J96" s="24">
        <f t="shared" si="55"/>
        <v>3.7631431711097033E-3</v>
      </c>
      <c r="K96" s="22">
        <f t="shared" si="56"/>
        <v>6.5775277884862395E-3</v>
      </c>
      <c r="L96" s="22">
        <f t="shared" si="57"/>
        <v>3.7631431711097033E-3</v>
      </c>
      <c r="M96" s="227">
        <f t="shared" si="49"/>
        <v>3.7631431711097033E-3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0.92484848484848492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0.92484848484848492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6.6971192028223532E-4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3.2481028133688411E-3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2.1207544142270787E-3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0.84848484848484851</v>
      </c>
      <c r="I106" s="22">
        <f t="shared" si="54"/>
        <v>2.6788476811289426E-3</v>
      </c>
      <c r="J106" s="24">
        <f>IF(I$32&lt;=1+I132,I106,L106+J$33*(I106-L106))</f>
        <v>6.6227992047535392E-3</v>
      </c>
      <c r="K106" s="22">
        <f t="shared" si="56"/>
        <v>9.2085389038807364E-3</v>
      </c>
      <c r="L106" s="22">
        <f t="shared" si="57"/>
        <v>7.8133057366260791E-3</v>
      </c>
      <c r="M106" s="227">
        <f>(J106)</f>
        <v>6.6227992047535392E-3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1.6501603838912818E-2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1.6501603838912818E-2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0.67272727272727284</v>
      </c>
      <c r="I109" s="22">
        <f t="shared" si="61"/>
        <v>9.8984617731857766E-2</v>
      </c>
      <c r="J109" s="24">
        <f t="shared" si="62"/>
        <v>9.8984617731857766E-2</v>
      </c>
      <c r="K109" s="22">
        <f t="shared" si="63"/>
        <v>0.14713929662843719</v>
      </c>
      <c r="L109" s="22">
        <f t="shared" si="64"/>
        <v>9.8984617731857766E-2</v>
      </c>
      <c r="M109" s="227">
        <f t="shared" si="65"/>
        <v>9.8984617731857766E-2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0.67272727272727284</v>
      </c>
      <c r="I110" s="22">
        <f t="shared" si="61"/>
        <v>5.947041852106251E-2</v>
      </c>
      <c r="J110" s="24">
        <f t="shared" si="62"/>
        <v>5.947041852106251E-2</v>
      </c>
      <c r="K110" s="22">
        <f t="shared" si="63"/>
        <v>8.8401973477255064E-2</v>
      </c>
      <c r="L110" s="22">
        <f t="shared" si="64"/>
        <v>5.947041852106251E-2</v>
      </c>
      <c r="M110" s="227">
        <f t="shared" si="65"/>
        <v>5.947041852106251E-2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0.67272727272727284</v>
      </c>
      <c r="I111" s="22">
        <f t="shared" si="61"/>
        <v>0.14566712631795967</v>
      </c>
      <c r="J111" s="24">
        <f t="shared" si="62"/>
        <v>0.14566712631795967</v>
      </c>
      <c r="K111" s="22">
        <f t="shared" si="63"/>
        <v>0.21653221479696702</v>
      </c>
      <c r="L111" s="22">
        <f t="shared" si="64"/>
        <v>0.14566712631795967</v>
      </c>
      <c r="M111" s="227">
        <f t="shared" si="65"/>
        <v>0.14566712631795967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9.770716653142969E-2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9.770716653142969E-2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0.7151515151515152</v>
      </c>
      <c r="I115" s="22">
        <f t="shared" si="61"/>
        <v>1.2920443827977084</v>
      </c>
      <c r="J115" s="24">
        <f t="shared" si="62"/>
        <v>1.2920443827977084</v>
      </c>
      <c r="K115" s="22">
        <f t="shared" si="63"/>
        <v>1.8066722301832363</v>
      </c>
      <c r="L115" s="22">
        <f t="shared" si="64"/>
        <v>1.2920443827977084</v>
      </c>
      <c r="M115" s="227">
        <f t="shared" si="65"/>
        <v>1.2920443827977084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2.0647435657220221</v>
      </c>
      <c r="J119" s="24">
        <f>SUM(J91:J118)</f>
        <v>2.0405035742225524</v>
      </c>
      <c r="K119" s="22">
        <f>SUM(K91:K118)</f>
        <v>2.9599891076719906</v>
      </c>
      <c r="L119" s="22">
        <f>SUM(L91:L118)</f>
        <v>2.0392251497309819</v>
      </c>
      <c r="M119" s="57">
        <f t="shared" si="49"/>
        <v>2.0405035742225524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9">
        <f>(B124)</f>
        <v>1.2592558019670561</v>
      </c>
      <c r="L124" s="29">
        <f>IF(SUMPRODUCT($B$124:$B124,$H$124:$H124)&lt;L$119,($B124*$H124),L$119)</f>
        <v>1.0684594683356841</v>
      </c>
      <c r="M124" s="239">
        <f t="shared" si="66"/>
        <v>1.0684594683356841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239">
        <f t="shared" si="66"/>
        <v>0.90046371369898559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0.99628409738633805</v>
      </c>
      <c r="J128" s="227">
        <f>(J30)</f>
        <v>0.44434165463161557</v>
      </c>
      <c r="K128" s="29">
        <f>(B128)</f>
        <v>0.64712844882837317</v>
      </c>
      <c r="L128" s="29">
        <f>IF(L124=L119,0,(L119-L124)/(B119-B124)*K128)</f>
        <v>0.36937601414042515</v>
      </c>
      <c r="M128" s="239">
        <f t="shared" si="66"/>
        <v>0.44434165463161557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2.0647435657220221</v>
      </c>
      <c r="J130" s="227">
        <f>(J119)</f>
        <v>2.0405035742225524</v>
      </c>
      <c r="K130" s="29">
        <f>(B130)</f>
        <v>2.9599891076719906</v>
      </c>
      <c r="L130" s="29">
        <f>(L119)</f>
        <v>2.0392251497309819</v>
      </c>
      <c r="M130" s="239">
        <f t="shared" si="66"/>
        <v>2.0405035742225524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0.37276126244373309</v>
      </c>
      <c r="K131" s="29"/>
      <c r="L131" s="29">
        <f>IF(I131&lt;SUM(L126:L127),0,I131-(SUM(L126:L127)))</f>
        <v>0.90046371369898548</v>
      </c>
      <c r="M131" s="236">
        <f>IF(I131&lt;SUM(M126:M127),0,I131-(SUM(M126:M127)))</f>
        <v>0.90046371369898548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1.5954779576587794E-2</v>
      </c>
      <c r="J6" s="24">
        <f t="shared" ref="J6:J13" si="3">IF(I$32&lt;=1+I$131,I6,B6*H6+J$33*(I6-B6*H6))</f>
        <v>1.5954779576587794E-2</v>
      </c>
      <c r="K6" s="22">
        <f t="shared" ref="K6:K31" si="4">B6</f>
        <v>3.1909559153175587E-2</v>
      </c>
      <c r="L6" s="22">
        <f t="shared" ref="L6:L29" si="5">IF(K6="","",K6*H6)</f>
        <v>1.5954779576587794E-2</v>
      </c>
      <c r="M6" s="223">
        <f t="shared" ref="M6:M31" si="6">J6</f>
        <v>1.5954779576587794E-2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6.3819118306351175E-2</v>
      </c>
      <c r="Z6" s="116">
        <v>0.17</v>
      </c>
      <c r="AA6" s="121">
        <f>$M6*Z6*4</f>
        <v>1.0849250112079701E-2</v>
      </c>
      <c r="AB6" s="116">
        <v>0.17</v>
      </c>
      <c r="AC6" s="121">
        <f t="shared" ref="AC6:AC29" si="7">$M6*AB6*4</f>
        <v>1.0849250112079701E-2</v>
      </c>
      <c r="AD6" s="116">
        <v>0.33</v>
      </c>
      <c r="AE6" s="121">
        <f t="shared" ref="AE6:AE29" si="8">$M6*AD6*4</f>
        <v>2.106030904109589E-2</v>
      </c>
      <c r="AF6" s="122">
        <f>1-SUM(Z6,AB6,AD6)</f>
        <v>0.32999999999999996</v>
      </c>
      <c r="AG6" s="121">
        <f>$M6*AF6*4</f>
        <v>2.1060309041095886E-2</v>
      </c>
      <c r="AH6" s="123">
        <f>SUM(Z6,AB6,AD6,AF6)</f>
        <v>1</v>
      </c>
      <c r="AI6" s="183">
        <f>SUM(AA6,AC6,AE6,AG6)/4</f>
        <v>1.5954779576587794E-2</v>
      </c>
      <c r="AJ6" s="120">
        <f>(AA6+AC6)/2</f>
        <v>1.0849250112079701E-2</v>
      </c>
      <c r="AK6" s="119">
        <f>(AE6+AG6)/2</f>
        <v>2.106030904109589E-2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0.5</v>
      </c>
      <c r="F7" s="27">
        <v>8800</v>
      </c>
      <c r="H7" s="24">
        <f t="shared" si="1"/>
        <v>0.5</v>
      </c>
      <c r="I7" s="22">
        <f t="shared" si="2"/>
        <v>5.0947717487991456E-3</v>
      </c>
      <c r="J7" s="24">
        <f t="shared" si="3"/>
        <v>5.0947717487991456E-3</v>
      </c>
      <c r="K7" s="22">
        <f t="shared" si="4"/>
        <v>1.0189543497598291E-2</v>
      </c>
      <c r="L7" s="22">
        <f t="shared" si="5"/>
        <v>5.0947717487991456E-3</v>
      </c>
      <c r="M7" s="223">
        <f t="shared" si="6"/>
        <v>5.0947717487991456E-3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5191.372005215655</v>
      </c>
      <c r="T7" s="221">
        <f>IF($B$81=0,0,(SUMIF($N$6:$N$28,$U7,M$6:M$28)+SUMIF($N$91:$N$118,$U7,M$91:M$118))*$I$83*Poor!$B$81/$B$81)</f>
        <v>5296.7119827635725</v>
      </c>
      <c r="U7" s="222">
        <v>1</v>
      </c>
      <c r="V7" s="56"/>
      <c r="W7" s="115"/>
      <c r="X7" s="124">
        <v>4</v>
      </c>
      <c r="Y7" s="183">
        <f t="shared" ref="Y7:Y29" si="9">M7*4</f>
        <v>2.0379086995196583E-2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2.0379086995196583E-2</v>
      </c>
      <c r="AH7" s="123">
        <f t="shared" ref="AH7:AH30" si="12">SUM(Z7,AB7,AD7,AF7)</f>
        <v>1</v>
      </c>
      <c r="AI7" s="183">
        <f t="shared" ref="AI7:AI30" si="13">SUM(AA7,AC7,AE7,AG7)/4</f>
        <v>5.0947717487991456E-3</v>
      </c>
      <c r="AJ7" s="120">
        <f t="shared" ref="AJ7:AJ31" si="14">(AA7+AC7)/2</f>
        <v>0</v>
      </c>
      <c r="AK7" s="119">
        <f t="shared" ref="AK7:AK31" si="15">(AE7+AG7)/2</f>
        <v>1.0189543497598291E-2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9.0128804094022404E-3</v>
      </c>
      <c r="J8" s="24">
        <f t="shared" si="3"/>
        <v>9.0128804094022404E-3</v>
      </c>
      <c r="K8" s="22">
        <f t="shared" si="4"/>
        <v>1.8025760818804481E-2</v>
      </c>
      <c r="L8" s="22">
        <f t="shared" si="5"/>
        <v>9.0128804094022404E-3</v>
      </c>
      <c r="M8" s="223">
        <f t="shared" si="6"/>
        <v>9.0128804094022404E-3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783.6</v>
      </c>
      <c r="T8" s="221">
        <f>IF($B$81=0,0,(SUMIF($N$6:$N$28,$U8,M$6:M$28)+SUMIF($N$91:$N$118,$U8,M$91:M$118))*$I$83*Poor!$B$81/$B$81)</f>
        <v>28.999999999999982</v>
      </c>
      <c r="U8" s="222">
        <v>2</v>
      </c>
      <c r="V8" s="184"/>
      <c r="W8" s="115"/>
      <c r="X8" s="124">
        <v>1</v>
      </c>
      <c r="Y8" s="183">
        <f t="shared" si="9"/>
        <v>3.6051521637608962E-2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3.6051521637608962E-2</v>
      </c>
      <c r="AH8" s="123">
        <f t="shared" si="12"/>
        <v>1</v>
      </c>
      <c r="AI8" s="183">
        <f t="shared" si="13"/>
        <v>9.0128804094022404E-3</v>
      </c>
      <c r="AJ8" s="120">
        <f t="shared" si="14"/>
        <v>0</v>
      </c>
      <c r="AK8" s="119">
        <f t="shared" si="15"/>
        <v>1.8025760818804481E-2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1</v>
      </c>
      <c r="F9" s="28">
        <v>8800</v>
      </c>
      <c r="H9" s="24">
        <f t="shared" si="1"/>
        <v>1</v>
      </c>
      <c r="I9" s="22">
        <f t="shared" si="2"/>
        <v>2.4642857142857143E-2</v>
      </c>
      <c r="J9" s="24">
        <f t="shared" si="3"/>
        <v>2.4642857142857143E-2</v>
      </c>
      <c r="K9" s="22">
        <f t="shared" si="4"/>
        <v>2.4642857142857143E-2</v>
      </c>
      <c r="L9" s="22">
        <f t="shared" si="5"/>
        <v>2.4642857142857143E-2</v>
      </c>
      <c r="M9" s="223">
        <f t="shared" si="6"/>
        <v>2.4642857142857143E-2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615.61511090225247</v>
      </c>
      <c r="T9" s="221">
        <f>IF($B$81=0,0,(SUMIF($N$6:$N$28,$U9,M$6:M$28)+SUMIF($N$91:$N$118,$U9,M$91:M$118))*$I$83*Poor!$B$81/$B$81)</f>
        <v>615.61511090225247</v>
      </c>
      <c r="U9" s="222">
        <v>3</v>
      </c>
      <c r="V9" s="56"/>
      <c r="W9" s="115"/>
      <c r="X9" s="124">
        <v>1</v>
      </c>
      <c r="Y9" s="183">
        <f t="shared" si="9"/>
        <v>9.8571428571428574E-2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9.8571428571428574E-2</v>
      </c>
      <c r="AH9" s="123">
        <f t="shared" si="12"/>
        <v>1</v>
      </c>
      <c r="AI9" s="183">
        <f t="shared" si="13"/>
        <v>2.4642857142857143E-2</v>
      </c>
      <c r="AJ9" s="120">
        <f t="shared" si="14"/>
        <v>0</v>
      </c>
      <c r="AK9" s="119">
        <f t="shared" si="15"/>
        <v>4.9285714285714287E-2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1.0900000000000001</v>
      </c>
      <c r="H10" s="24">
        <f t="shared" si="1"/>
        <v>1.0900000000000001</v>
      </c>
      <c r="I10" s="22">
        <f t="shared" si="2"/>
        <v>0.11840775827054796</v>
      </c>
      <c r="J10" s="24">
        <f t="shared" si="3"/>
        <v>0.11840775827054796</v>
      </c>
      <c r="K10" s="22">
        <f t="shared" si="4"/>
        <v>0.10863097089041096</v>
      </c>
      <c r="L10" s="22">
        <f t="shared" si="5"/>
        <v>0.11840775827054796</v>
      </c>
      <c r="M10" s="223">
        <f t="shared" si="6"/>
        <v>0.11840775827054796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0.84285714285714286</v>
      </c>
      <c r="T10" s="221">
        <f>IF($B$81=0,0,(SUMIF($N$6:$N$28,$U10,M$6:M$28)+SUMIF($N$91:$N$118,$U10,M$91:M$118))*$I$83*Poor!$B$81/$B$81)</f>
        <v>0.84285714285714286</v>
      </c>
      <c r="U10" s="222">
        <v>4</v>
      </c>
      <c r="V10" s="56"/>
      <c r="W10" s="115"/>
      <c r="X10" s="124">
        <v>1</v>
      </c>
      <c r="Y10" s="183">
        <f t="shared" si="9"/>
        <v>0.47363103308219184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0.47363103308219184</v>
      </c>
      <c r="AH10" s="123">
        <f t="shared" si="12"/>
        <v>1</v>
      </c>
      <c r="AI10" s="183">
        <f t="shared" si="13"/>
        <v>0.11840775827054796</v>
      </c>
      <c r="AJ10" s="120">
        <f t="shared" si="14"/>
        <v>0</v>
      </c>
      <c r="AK10" s="119">
        <f t="shared" si="15"/>
        <v>0.23681551654109592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2908.4302857142861</v>
      </c>
      <c r="T11" s="221">
        <f>IF($B$81=0,0,(SUMIF($N$6:$N$28,$U11,M$6:M$28)+SUMIF($N$91:$N$118,$U11,M$91:M$118))*$I$83*Poor!$B$81/$B$81)</f>
        <v>2730.2840000000006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1</v>
      </c>
      <c r="H12" s="24">
        <f t="shared" si="1"/>
        <v>1</v>
      </c>
      <c r="I12" s="22">
        <f t="shared" si="2"/>
        <v>4.3851245401174167E-2</v>
      </c>
      <c r="J12" s="24">
        <f t="shared" si="3"/>
        <v>4.3851245401174167E-2</v>
      </c>
      <c r="K12" s="22">
        <f t="shared" si="4"/>
        <v>4.3851245401174167E-2</v>
      </c>
      <c r="L12" s="22">
        <f t="shared" si="5"/>
        <v>4.3851245401174167E-2</v>
      </c>
      <c r="M12" s="223">
        <f t="shared" si="6"/>
        <v>4.3851245401174167E-2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397.02266015746426</v>
      </c>
      <c r="U12" s="222">
        <v>6</v>
      </c>
      <c r="V12" s="56"/>
      <c r="W12" s="117"/>
      <c r="X12" s="118"/>
      <c r="Y12" s="183">
        <f t="shared" si="9"/>
        <v>0.17540498160469667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0.11752133767514678</v>
      </c>
      <c r="AF12" s="122">
        <f>1-SUM(Z12,AB12,AD12)</f>
        <v>0.32999999999999996</v>
      </c>
      <c r="AG12" s="121">
        <f>$M12*AF12*4</f>
        <v>5.7883643929549894E-2</v>
      </c>
      <c r="AH12" s="123">
        <f t="shared" si="12"/>
        <v>1</v>
      </c>
      <c r="AI12" s="183">
        <f t="shared" si="13"/>
        <v>4.3851245401174167E-2</v>
      </c>
      <c r="AJ12" s="120">
        <f t="shared" si="14"/>
        <v>0</v>
      </c>
      <c r="AK12" s="119">
        <f t="shared" si="15"/>
        <v>8.7702490802348335E-2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7579.2941859256289</v>
      </c>
      <c r="T13" s="221">
        <f>IF($B$81=0,0,(SUMIF($N$6:$N$28,$U13,M$6:M$28)+SUMIF($N$91:$N$118,$U13,M$91:M$118))*$I$83*Poor!$B$81/$B$81)</f>
        <v>7579.2941859256289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1</v>
      </c>
      <c r="F14" s="22"/>
      <c r="H14" s="24">
        <f t="shared" si="1"/>
        <v>1</v>
      </c>
      <c r="I14" s="22">
        <f t="shared" si="2"/>
        <v>8.9408209170966021E-3</v>
      </c>
      <c r="J14" s="24">
        <f>IF(I$32&lt;=1+I131,I14,B14*H14+J$33*(I14-B14*H14))</f>
        <v>8.9408209170966021E-3</v>
      </c>
      <c r="K14" s="22">
        <f t="shared" si="4"/>
        <v>8.3353977939868342E-3</v>
      </c>
      <c r="L14" s="22">
        <f t="shared" si="5"/>
        <v>8.3353977939868342E-3</v>
      </c>
      <c r="M14" s="224">
        <f t="shared" si="6"/>
        <v>8.9408209170966021E-3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3.5763283668386409E-2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3.5763283668386409E-2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8.9408209170966021E-3</v>
      </c>
      <c r="AJ14" s="120">
        <f t="shared" si="14"/>
        <v>1.7881641834193204E-2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1</v>
      </c>
      <c r="F15" s="22"/>
      <c r="H15" s="24">
        <f t="shared" si="1"/>
        <v>1</v>
      </c>
      <c r="I15" s="22">
        <f t="shared" si="2"/>
        <v>2.9663848292118839E-3</v>
      </c>
      <c r="J15" s="24">
        <f>IF(I$32&lt;=1+I131,I15,B15*H15+J$33*(I15-B15*H15))</f>
        <v>2.9663848292118839E-3</v>
      </c>
      <c r="K15" s="22">
        <f t="shared" si="4"/>
        <v>2.7192490882405264E-3</v>
      </c>
      <c r="L15" s="22">
        <f t="shared" si="5"/>
        <v>2.7192490882405264E-3</v>
      </c>
      <c r="M15" s="225">
        <f t="shared" si="6"/>
        <v>2.9663848292118839E-3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1.1865539316847536E-2</v>
      </c>
      <c r="Z15" s="116">
        <v>0.25</v>
      </c>
      <c r="AA15" s="121">
        <f t="shared" si="16"/>
        <v>2.9663848292118839E-3</v>
      </c>
      <c r="AB15" s="116">
        <v>0.25</v>
      </c>
      <c r="AC15" s="121">
        <f t="shared" si="7"/>
        <v>2.9663848292118839E-3</v>
      </c>
      <c r="AD15" s="116">
        <v>0.25</v>
      </c>
      <c r="AE15" s="121">
        <f t="shared" si="8"/>
        <v>2.9663848292118839E-3</v>
      </c>
      <c r="AF15" s="122">
        <f t="shared" si="10"/>
        <v>0.25</v>
      </c>
      <c r="AG15" s="121">
        <f t="shared" si="11"/>
        <v>2.9663848292118839E-3</v>
      </c>
      <c r="AH15" s="123">
        <f t="shared" si="12"/>
        <v>1</v>
      </c>
      <c r="AI15" s="183">
        <f t="shared" si="13"/>
        <v>2.9663848292118839E-3</v>
      </c>
      <c r="AJ15" s="120">
        <f t="shared" si="14"/>
        <v>2.9663848292118839E-3</v>
      </c>
      <c r="AK15" s="119">
        <f t="shared" si="15"/>
        <v>2.9663848292118839E-3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1</v>
      </c>
      <c r="F16" s="22"/>
      <c r="H16" s="24">
        <f t="shared" si="1"/>
        <v>1</v>
      </c>
      <c r="I16" s="22">
        <f t="shared" si="2"/>
        <v>6.29176927592955E-3</v>
      </c>
      <c r="J16" s="24">
        <f>IF(I$32&lt;=1+I131,I16,B16*H16+J$33*(I16-B16*H16))</f>
        <v>6.29176927592955E-3</v>
      </c>
      <c r="K16" s="22">
        <f t="shared" si="4"/>
        <v>5.6982360967799319E-3</v>
      </c>
      <c r="L16" s="22">
        <f t="shared" si="5"/>
        <v>5.6982360967799319E-3</v>
      </c>
      <c r="M16" s="223">
        <f t="shared" si="6"/>
        <v>6.29176927592955E-3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2.51670771037182E-2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2.51670771037182E-2</v>
      </c>
      <c r="AH16" s="123">
        <f t="shared" si="12"/>
        <v>1</v>
      </c>
      <c r="AI16" s="183">
        <f t="shared" si="13"/>
        <v>6.29176927592955E-3</v>
      </c>
      <c r="AJ16" s="120">
        <f t="shared" si="14"/>
        <v>0</v>
      </c>
      <c r="AK16" s="119">
        <f t="shared" si="15"/>
        <v>1.25835385518591E-2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1</v>
      </c>
      <c r="F17" s="22"/>
      <c r="H17" s="24">
        <f t="shared" si="1"/>
        <v>1</v>
      </c>
      <c r="I17" s="22">
        <f t="shared" si="2"/>
        <v>8.4002018768902335E-3</v>
      </c>
      <c r="J17" s="24">
        <f t="shared" ref="J17:J25" si="17">IF(I$32&lt;=1+I131,I17,B17*H17+J$33*(I17-B17*H17))</f>
        <v>8.4002018768902335E-3</v>
      </c>
      <c r="K17" s="22">
        <f t="shared" si="4"/>
        <v>8.4002018768902335E-3</v>
      </c>
      <c r="L17" s="22">
        <f t="shared" si="5"/>
        <v>8.4002018768902335E-3</v>
      </c>
      <c r="M17" s="224">
        <f t="shared" si="6"/>
        <v>8.4002018768902335E-3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3.3600807507560934E-2</v>
      </c>
      <c r="Z17" s="116">
        <v>0.29409999999999997</v>
      </c>
      <c r="AA17" s="121">
        <f t="shared" si="16"/>
        <v>9.8819974879736702E-3</v>
      </c>
      <c r="AB17" s="116">
        <v>0.17649999999999999</v>
      </c>
      <c r="AC17" s="121">
        <f t="shared" si="7"/>
        <v>5.930542525084505E-3</v>
      </c>
      <c r="AD17" s="116">
        <v>0.23530000000000001</v>
      </c>
      <c r="AE17" s="121">
        <f t="shared" si="8"/>
        <v>7.906270006529088E-3</v>
      </c>
      <c r="AF17" s="122">
        <f t="shared" si="10"/>
        <v>0.29410000000000003</v>
      </c>
      <c r="AG17" s="121">
        <f t="shared" si="11"/>
        <v>9.8819974879736719E-3</v>
      </c>
      <c r="AH17" s="123">
        <f t="shared" si="12"/>
        <v>1</v>
      </c>
      <c r="AI17" s="183">
        <f t="shared" si="13"/>
        <v>8.4002018768902335E-3</v>
      </c>
      <c r="AJ17" s="120">
        <f t="shared" si="14"/>
        <v>7.906270006529088E-3</v>
      </c>
      <c r="AK17" s="119">
        <f t="shared" si="15"/>
        <v>8.8941337472513808E-3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4.4210233054616625E-3</v>
      </c>
      <c r="J18" s="24">
        <f t="shared" si="17"/>
        <v>4.3677572627204174E-3</v>
      </c>
      <c r="K18" s="22">
        <f t="shared" ref="K18:K20" si="21">B18</f>
        <v>4.3612474648639038E-3</v>
      </c>
      <c r="L18" s="22">
        <f t="shared" ref="L18:L20" si="22">IF(K18="","",K18*H18)</f>
        <v>4.3612474648639038E-3</v>
      </c>
      <c r="M18" s="224">
        <f t="shared" ref="M18:M20" si="23">J18</f>
        <v>4.3677572627204174E-3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1.7471029050881669E-2</v>
      </c>
      <c r="Z18" s="116">
        <v>1.2941</v>
      </c>
      <c r="AA18" s="121">
        <f t="shared" ref="AA18:AA20" si="25">$M18*Z18*4</f>
        <v>2.2609258694745969E-2</v>
      </c>
      <c r="AB18" s="116">
        <v>1.1765000000000001</v>
      </c>
      <c r="AC18" s="121">
        <f t="shared" ref="AC18:AC20" si="26">$M18*AB18*4</f>
        <v>2.0554665678362286E-2</v>
      </c>
      <c r="AD18" s="116">
        <v>1.2353000000000001</v>
      </c>
      <c r="AE18" s="121">
        <f t="shared" ref="AE18:AE20" si="27">$M18*AD18*4</f>
        <v>2.1581962186554126E-2</v>
      </c>
      <c r="AF18" s="122">
        <f t="shared" ref="AF18:AF20" si="28">1-SUM(Z18,AB18,AD18)</f>
        <v>-2.7059000000000002</v>
      </c>
      <c r="AG18" s="121">
        <f t="shared" ref="AG18:AG20" si="29">$M18*AF18*4</f>
        <v>-4.7274857508780715E-2</v>
      </c>
      <c r="AH18" s="123">
        <f t="shared" ref="AH18:AH20" si="30">SUM(Z18,AB18,AD18,AF18)</f>
        <v>1</v>
      </c>
      <c r="AI18" s="183">
        <f t="shared" ref="AI18:AI20" si="31">SUM(AA18,AC18,AE18,AG18)/4</f>
        <v>4.3677572627204182E-3</v>
      </c>
      <c r="AJ18" s="120">
        <f t="shared" ref="AJ18:AJ20" si="32">(AA18+AC18)/2</f>
        <v>2.1581962186554129E-2</v>
      </c>
      <c r="AK18" s="119">
        <f t="shared" ref="AK18:AK20" si="33">(AE18+AG18)/2</f>
        <v>-1.2846447661113295E-2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1</v>
      </c>
      <c r="F19" s="22"/>
      <c r="H19" s="24">
        <f t="shared" si="19"/>
        <v>1</v>
      </c>
      <c r="I19" s="22">
        <f t="shared" si="20"/>
        <v>5.8223767345668032E-2</v>
      </c>
      <c r="J19" s="24">
        <f t="shared" si="17"/>
        <v>2.8153852657535863E-2</v>
      </c>
      <c r="K19" s="22">
        <f t="shared" si="21"/>
        <v>2.4478921010496351E-2</v>
      </c>
      <c r="L19" s="22">
        <f t="shared" si="22"/>
        <v>2.4478921010496351E-2</v>
      </c>
      <c r="M19" s="224">
        <f t="shared" si="23"/>
        <v>2.8153852657535863E-2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0.11261541063014345</v>
      </c>
      <c r="Z19" s="116">
        <v>2.2940999999999998</v>
      </c>
      <c r="AA19" s="121">
        <f t="shared" si="25"/>
        <v>0.25835101352661205</v>
      </c>
      <c r="AB19" s="116">
        <v>2.1764999999999999</v>
      </c>
      <c r="AC19" s="121">
        <f t="shared" si="26"/>
        <v>0.24510744123650721</v>
      </c>
      <c r="AD19" s="116">
        <v>2.2353000000000001</v>
      </c>
      <c r="AE19" s="121">
        <f t="shared" si="27"/>
        <v>0.25172922738155967</v>
      </c>
      <c r="AF19" s="122">
        <f t="shared" si="28"/>
        <v>-5.7058999999999997</v>
      </c>
      <c r="AG19" s="121">
        <f t="shared" si="29"/>
        <v>-0.64257227151453544</v>
      </c>
      <c r="AH19" s="123">
        <f t="shared" si="30"/>
        <v>1</v>
      </c>
      <c r="AI19" s="183">
        <f t="shared" si="31"/>
        <v>2.8153852657535866E-2</v>
      </c>
      <c r="AJ19" s="120">
        <f t="shared" si="32"/>
        <v>0.25172922738155962</v>
      </c>
      <c r="AK19" s="119">
        <f t="shared" si="33"/>
        <v>-0.19542152206648788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1</v>
      </c>
      <c r="F20" s="22"/>
      <c r="H20" s="24">
        <f t="shared" si="19"/>
        <v>1</v>
      </c>
      <c r="I20" s="22">
        <f t="shared" si="20"/>
        <v>7.7029870129870131E-3</v>
      </c>
      <c r="J20" s="24">
        <f t="shared" si="17"/>
        <v>7.7029870129870131E-3</v>
      </c>
      <c r="K20" s="22">
        <f t="shared" si="21"/>
        <v>7.7029870129870131E-3</v>
      </c>
      <c r="L20" s="22">
        <f t="shared" si="22"/>
        <v>7.7029870129870131E-3</v>
      </c>
      <c r="M20" s="224">
        <f t="shared" si="23"/>
        <v>7.7029870129870131E-3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26446.761659711399</v>
      </c>
      <c r="T20" s="221">
        <f>IF($B$81=0,0,(SUMIF($N$6:$N$28,$U20,M$6:M$28)+SUMIF($N$91:$N$118,$U20,M$91:M$118))*$I$83*Poor!$B$81/$B$81)</f>
        <v>26446.761659711399</v>
      </c>
      <c r="U20" s="222">
        <v>14</v>
      </c>
      <c r="V20" s="56"/>
      <c r="W20" s="110"/>
      <c r="X20" s="118"/>
      <c r="Y20" s="183">
        <f t="shared" si="24"/>
        <v>3.0811948051948052E-2</v>
      </c>
      <c r="Z20" s="116">
        <v>3.2940999999999998</v>
      </c>
      <c r="AA20" s="121">
        <f t="shared" si="25"/>
        <v>0.10149763807792207</v>
      </c>
      <c r="AB20" s="116">
        <v>3.1764999999999999</v>
      </c>
      <c r="AC20" s="121">
        <f t="shared" si="26"/>
        <v>9.7874152987012977E-2</v>
      </c>
      <c r="AD20" s="116">
        <v>3.2353000000000001</v>
      </c>
      <c r="AE20" s="121">
        <f t="shared" si="27"/>
        <v>9.9685895532467539E-2</v>
      </c>
      <c r="AF20" s="122">
        <f t="shared" si="28"/>
        <v>-8.7058999999999997</v>
      </c>
      <c r="AG20" s="121">
        <f t="shared" si="29"/>
        <v>-0.26824573854545453</v>
      </c>
      <c r="AH20" s="123">
        <f t="shared" si="30"/>
        <v>1</v>
      </c>
      <c r="AI20" s="183">
        <f t="shared" si="31"/>
        <v>7.7029870129870226E-3</v>
      </c>
      <c r="AJ20" s="120">
        <f t="shared" si="32"/>
        <v>9.9685895532467525E-2</v>
      </c>
      <c r="AK20" s="119">
        <f t="shared" si="33"/>
        <v>-8.4279921506493494E-2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5.0649777619640622E-3</v>
      </c>
      <c r="J21" s="24">
        <f t="shared" si="17"/>
        <v>4.9295536041911213E-3</v>
      </c>
      <c r="K21" s="22">
        <f t="shared" ref="K21:K25" si="37">B21</f>
        <v>4.9130030243728865E-3</v>
      </c>
      <c r="L21" s="22">
        <f t="shared" ref="L21:L25" si="38">IF(K21="","",K21*H21)</f>
        <v>4.9130030243728865E-3</v>
      </c>
      <c r="M21" s="224">
        <f t="shared" ref="M21:M25" si="39">J21</f>
        <v>4.9295536041911213E-3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1.9718214416764485E-2</v>
      </c>
      <c r="Z21" s="116">
        <v>4.2941000000000003</v>
      </c>
      <c r="AA21" s="121">
        <f t="shared" ref="AA21:AA25" si="41">$M21*Z21*4</f>
        <v>8.4671984527028385E-2</v>
      </c>
      <c r="AB21" s="116">
        <v>4.1764999999999999</v>
      </c>
      <c r="AC21" s="121">
        <f t="shared" ref="AC21:AC25" si="42">$M21*AB21*4</f>
        <v>8.2353122511616875E-2</v>
      </c>
      <c r="AD21" s="116">
        <v>4.2352999999999996</v>
      </c>
      <c r="AE21" s="121">
        <f t="shared" ref="AE21:AE25" si="43">$M21*AD21*4</f>
        <v>8.3512553519322616E-2</v>
      </c>
      <c r="AF21" s="122">
        <f t="shared" ref="AF21:AF25" si="44">1-SUM(Z21,AB21,AD21)</f>
        <v>-11.7059</v>
      </c>
      <c r="AG21" s="121">
        <f t="shared" ref="AG21:AG25" si="45">$M21*AF21*4</f>
        <v>-0.23081944614120339</v>
      </c>
      <c r="AH21" s="123">
        <f t="shared" ref="AH21:AH25" si="46">SUM(Z21,AB21,AD21,AF21)</f>
        <v>1</v>
      </c>
      <c r="AI21" s="183">
        <f t="shared" ref="AI21:AI25" si="47">SUM(AA21,AC21,AE21,AG21)/4</f>
        <v>4.9295536041911239E-3</v>
      </c>
      <c r="AJ21" s="120">
        <f t="shared" ref="AJ21:AJ25" si="48">(AA21+AC21)/2</f>
        <v>8.351255351932263E-2</v>
      </c>
      <c r="AK21" s="119">
        <f t="shared" ref="AK21:AK25" si="49">(AE21+AG21)/2</f>
        <v>-7.3653446310940396E-2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6.628464111574044E-3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6.628464111574044E-3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2.6513856446296176E-2</v>
      </c>
      <c r="Z22" s="116">
        <v>5.2941000000000003</v>
      </c>
      <c r="AA22" s="121">
        <f t="shared" si="41"/>
        <v>0.1403670074123366</v>
      </c>
      <c r="AB22" s="116">
        <v>5.1764999999999999</v>
      </c>
      <c r="AC22" s="121">
        <f t="shared" si="42"/>
        <v>0.13724897789425214</v>
      </c>
      <c r="AD22" s="116">
        <v>5.2352999999999996</v>
      </c>
      <c r="AE22" s="121">
        <f t="shared" si="43"/>
        <v>0.13880799265329435</v>
      </c>
      <c r="AF22" s="122">
        <f t="shared" si="44"/>
        <v>-14.7059</v>
      </c>
      <c r="AG22" s="121">
        <f t="shared" si="45"/>
        <v>-0.38991012151358695</v>
      </c>
      <c r="AH22" s="123">
        <f t="shared" si="46"/>
        <v>1</v>
      </c>
      <c r="AI22" s="183">
        <f t="shared" si="47"/>
        <v>6.6284641115740284E-3</v>
      </c>
      <c r="AJ22" s="120">
        <f t="shared" si="48"/>
        <v>0.13880799265329435</v>
      </c>
      <c r="AK22" s="119">
        <f t="shared" si="49"/>
        <v>-0.1255510644301463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1</v>
      </c>
      <c r="F23" s="22"/>
      <c r="H23" s="24">
        <f t="shared" si="35"/>
        <v>1</v>
      </c>
      <c r="I23" s="22">
        <f t="shared" si="36"/>
        <v>8.1114129158512717E-3</v>
      </c>
      <c r="J23" s="24">
        <f t="shared" si="17"/>
        <v>8.1114129158512717E-3</v>
      </c>
      <c r="K23" s="22">
        <f t="shared" si="37"/>
        <v>8.1114129158512717E-3</v>
      </c>
      <c r="L23" s="22">
        <f t="shared" si="38"/>
        <v>8.1114129158512717E-3</v>
      </c>
      <c r="M23" s="224">
        <f t="shared" si="39"/>
        <v>8.1114129158512717E-3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54622.376967176002</v>
      </c>
      <c r="T23" s="179">
        <f>SUM(T7:T22)</f>
        <v>54215.464587763789</v>
      </c>
      <c r="U23" s="56"/>
      <c r="V23" s="56"/>
      <c r="W23" s="110"/>
      <c r="X23" s="118"/>
      <c r="Y23" s="183">
        <f t="shared" si="40"/>
        <v>3.2445651663405087E-2</v>
      </c>
      <c r="Z23" s="116">
        <v>6.2941000000000003</v>
      </c>
      <c r="AA23" s="121">
        <f t="shared" si="41"/>
        <v>0.20421617613463797</v>
      </c>
      <c r="AB23" s="116">
        <v>6.1764999999999999</v>
      </c>
      <c r="AC23" s="121">
        <f t="shared" si="42"/>
        <v>0.20040056749902152</v>
      </c>
      <c r="AD23" s="116">
        <v>6.2352999999999996</v>
      </c>
      <c r="AE23" s="121">
        <f t="shared" si="43"/>
        <v>0.20230837181682973</v>
      </c>
      <c r="AF23" s="122">
        <f t="shared" si="44"/>
        <v>-17.7059</v>
      </c>
      <c r="AG23" s="121">
        <f t="shared" si="45"/>
        <v>-0.57447946378708414</v>
      </c>
      <c r="AH23" s="123">
        <f t="shared" si="46"/>
        <v>1</v>
      </c>
      <c r="AI23" s="183">
        <f t="shared" si="47"/>
        <v>8.1114129158512682E-3</v>
      </c>
      <c r="AJ23" s="120">
        <f t="shared" si="48"/>
        <v>0.20230837181682976</v>
      </c>
      <c r="AK23" s="119">
        <f t="shared" si="49"/>
        <v>-0.18608554598512722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1</v>
      </c>
      <c r="F24" s="22"/>
      <c r="H24" s="24">
        <f t="shared" si="35"/>
        <v>1</v>
      </c>
      <c r="I24" s="22">
        <f t="shared" si="36"/>
        <v>1.3519021526418786E-2</v>
      </c>
      <c r="J24" s="24">
        <f t="shared" si="17"/>
        <v>1.3519021526418786E-2</v>
      </c>
      <c r="K24" s="22">
        <f t="shared" si="37"/>
        <v>1.3519021526418786E-2</v>
      </c>
      <c r="L24" s="22">
        <f t="shared" si="38"/>
        <v>1.3519021526418786E-2</v>
      </c>
      <c r="M24" s="224">
        <f t="shared" si="39"/>
        <v>1.3519021526418786E-2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5.4076086105675145E-2</v>
      </c>
      <c r="Z24" s="116">
        <v>7.2941000000000003</v>
      </c>
      <c r="AA24" s="121">
        <f t="shared" si="41"/>
        <v>0.39443637966340511</v>
      </c>
      <c r="AB24" s="116">
        <v>7.1764999999999999</v>
      </c>
      <c r="AC24" s="121">
        <f t="shared" si="42"/>
        <v>0.38807703193737769</v>
      </c>
      <c r="AD24" s="116">
        <v>7.2352999999999996</v>
      </c>
      <c r="AE24" s="121">
        <f t="shared" si="43"/>
        <v>0.39125670580039135</v>
      </c>
      <c r="AF24" s="122">
        <f t="shared" si="44"/>
        <v>-20.7059</v>
      </c>
      <c r="AG24" s="121">
        <f t="shared" si="45"/>
        <v>-1.119694031295499</v>
      </c>
      <c r="AH24" s="123">
        <f t="shared" si="46"/>
        <v>1</v>
      </c>
      <c r="AI24" s="183">
        <f t="shared" si="47"/>
        <v>1.3519021526418762E-2</v>
      </c>
      <c r="AJ24" s="120">
        <f t="shared" si="48"/>
        <v>0.3912567058003914</v>
      </c>
      <c r="AK24" s="119">
        <f t="shared" si="49"/>
        <v>-0.36421866274755388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1.1489846017171068</v>
      </c>
      <c r="J30" s="230">
        <f>IF(I$32&lt;=1,I30,1-SUM(J6:J29))</f>
        <v>0.34524725378010668</v>
      </c>
      <c r="K30" s="22">
        <f t="shared" si="4"/>
        <v>0.61940969298167581</v>
      </c>
      <c r="L30" s="22">
        <f>IF(L124=L119,0,IF(K30="",0,(L119-L124)/(B119-B124)*K30))</f>
        <v>0.35718516080813845</v>
      </c>
      <c r="M30" s="175">
        <f t="shared" si="6"/>
        <v>0.34524725378010668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1.3809890151204267</v>
      </c>
      <c r="Z30" s="122">
        <f>IF($Y30=0,0,AA30/($Y$30))</f>
        <v>-0.42976660942274458</v>
      </c>
      <c r="AA30" s="187">
        <f>IF(AA79*4/$I$83+SUM(AA6:AA29)&lt;1,AA79*4/$I$83,1-SUM(AA6:AA29))</f>
        <v>-0.59350296667836111</v>
      </c>
      <c r="AB30" s="122">
        <f>IF($Y30=0,0,AC30/($Y$30))</f>
        <v>-0.42752183067463162</v>
      </c>
      <c r="AC30" s="187">
        <f>IF(AC79*4/$I$83+SUM(AC6:AC29)&lt;1,AC79*4/$I$83,1-SUM(AC6:AC29))</f>
        <v>-0.59040295188584135</v>
      </c>
      <c r="AD30" s="122">
        <f>IF($Y30=0,0,AE30/($Y$30))</f>
        <v>-0.5081892081457805</v>
      </c>
      <c r="AE30" s="187">
        <f>IF(AE79*4/$I$83+SUM(AE6:AE29)&lt;1,AE79*4/$I$83,1-SUM(AE6:AE29))</f>
        <v>-0.70180371405207098</v>
      </c>
      <c r="AF30" s="122">
        <f>IF($Y30=0,0,AG30/($Y$30))</f>
        <v>2.3654776482431572</v>
      </c>
      <c r="AG30" s="187">
        <f>IF(AG79*4/$I$83+SUM(AG6:AG29)&lt;1,AG79*4/$I$83,1-SUM(AG6:AG29))</f>
        <v>3.2666986477367006</v>
      </c>
      <c r="AH30" s="123">
        <f t="shared" si="12"/>
        <v>1.0000000000000004</v>
      </c>
      <c r="AI30" s="183">
        <f t="shared" si="13"/>
        <v>0.34524725378010679</v>
      </c>
      <c r="AJ30" s="120">
        <f t="shared" si="14"/>
        <v>-0.59195295928210123</v>
      </c>
      <c r="AK30" s="119">
        <f t="shared" si="15"/>
        <v>1.2824474668423149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-3.2583024253014958E-2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1573.8393079780217</v>
      </c>
      <c r="T31" s="233">
        <f>IF(T25&gt;T$23,T25-T$23,0)</f>
        <v>1980.751687390235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1.8331315876288565</v>
      </c>
      <c r="J32" s="17"/>
      <c r="L32" s="22">
        <f>SUM(L6:L30)</f>
        <v>1.032583024253015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35648.00094063102</v>
      </c>
      <c r="T32" s="233">
        <f t="shared" si="50"/>
        <v>36054.913320043233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0.10890349330793048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1980.7516873902412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0.84285714285714286</v>
      </c>
      <c r="J38" s="38">
        <f t="shared" si="53"/>
        <v>0.84285714285714286</v>
      </c>
      <c r="K38" s="40">
        <f t="shared" si="54"/>
        <v>3.493424529322354E-5</v>
      </c>
      <c r="L38" s="22">
        <f t="shared" si="55"/>
        <v>2.0611204723001887E-5</v>
      </c>
      <c r="M38" s="24">
        <f t="shared" si="56"/>
        <v>2.061120472300189E-5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0.84285714285714286</v>
      </c>
      <c r="AH38" s="123">
        <f t="shared" ref="AH38:AI58" si="61">SUM(Z38,AB38,AD38,AF38)</f>
        <v>1</v>
      </c>
      <c r="AI38" s="112">
        <f t="shared" si="61"/>
        <v>0.84285714285714286</v>
      </c>
      <c r="AJ38" s="148">
        <f t="shared" ref="AJ38:AJ64" si="62">(AA38+AC38)</f>
        <v>0</v>
      </c>
      <c r="AK38" s="147">
        <f t="shared" ref="AK38:AK64" si="63">(AE38+AG38)</f>
        <v>0.84285714285714286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1955.4285714285716</v>
      </c>
      <c r="J39" s="38">
        <f t="shared" si="53"/>
        <v>1955.4285714285716</v>
      </c>
      <c r="K39" s="40">
        <f t="shared" si="54"/>
        <v>5.0654655675174139E-2</v>
      </c>
      <c r="L39" s="22">
        <f t="shared" si="55"/>
        <v>4.7817994957364385E-2</v>
      </c>
      <c r="M39" s="24">
        <f t="shared" si="56"/>
        <v>4.7817994957364385E-2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1955.4285714285716</v>
      </c>
      <c r="AH39" s="123">
        <f t="shared" si="61"/>
        <v>1</v>
      </c>
      <c r="AI39" s="112">
        <f t="shared" si="61"/>
        <v>1955.4285714285716</v>
      </c>
      <c r="AJ39" s="148">
        <f t="shared" si="62"/>
        <v>0</v>
      </c>
      <c r="AK39" s="147">
        <f t="shared" si="63"/>
        <v>1955.4285714285716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101.14285714285714</v>
      </c>
      <c r="J40" s="38">
        <f t="shared" si="53"/>
        <v>101.14285714285714</v>
      </c>
      <c r="K40" s="40">
        <f t="shared" si="54"/>
        <v>2.6200683969917656E-3</v>
      </c>
      <c r="L40" s="22">
        <f t="shared" si="55"/>
        <v>2.4733445667602266E-3</v>
      </c>
      <c r="M40" s="24">
        <f t="shared" si="56"/>
        <v>2.4733445667602266E-3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101.14285714285714</v>
      </c>
      <c r="AH40" s="123">
        <f t="shared" si="61"/>
        <v>1</v>
      </c>
      <c r="AI40" s="112">
        <f t="shared" si="61"/>
        <v>101.14285714285714</v>
      </c>
      <c r="AJ40" s="148">
        <f t="shared" si="62"/>
        <v>0</v>
      </c>
      <c r="AK40" s="147">
        <f t="shared" si="63"/>
        <v>101.14285714285714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245.37257142857143</v>
      </c>
      <c r="J41" s="38">
        <f t="shared" si="53"/>
        <v>245.37257142857143</v>
      </c>
      <c r="K41" s="40">
        <f t="shared" si="54"/>
        <v>1.0971099734336853E-2</v>
      </c>
      <c r="L41" s="22">
        <f t="shared" si="55"/>
        <v>1.0356718149213989E-2</v>
      </c>
      <c r="M41" s="24">
        <f t="shared" si="56"/>
        <v>6.0003339189603098E-3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245.37257142857143</v>
      </c>
      <c r="AH41" s="123">
        <f t="shared" si="61"/>
        <v>1</v>
      </c>
      <c r="AI41" s="112">
        <f t="shared" si="61"/>
        <v>245.37257142857143</v>
      </c>
      <c r="AJ41" s="148">
        <f t="shared" si="62"/>
        <v>0</v>
      </c>
      <c r="AK41" s="147">
        <f t="shared" si="63"/>
        <v>245.37257142857143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0.8</v>
      </c>
      <c r="F42" s="26">
        <v>1.18</v>
      </c>
      <c r="G42" s="22">
        <f t="shared" si="59"/>
        <v>1.65</v>
      </c>
      <c r="H42" s="24">
        <f t="shared" si="51"/>
        <v>0.94399999999999995</v>
      </c>
      <c r="I42" s="39">
        <f t="shared" si="52"/>
        <v>350.62857142857143</v>
      </c>
      <c r="J42" s="38">
        <f t="shared" si="53"/>
        <v>350.62857142857143</v>
      </c>
      <c r="K42" s="40">
        <f t="shared" si="54"/>
        <v>9.0829037762381205E-3</v>
      </c>
      <c r="L42" s="22">
        <f t="shared" si="55"/>
        <v>8.5742611647687851E-3</v>
      </c>
      <c r="M42" s="24">
        <f t="shared" si="56"/>
        <v>8.5742611647687868E-3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87.657142857142858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175.31428571428572</v>
      </c>
      <c r="AF42" s="122">
        <f t="shared" si="57"/>
        <v>0.25</v>
      </c>
      <c r="AG42" s="147">
        <f t="shared" si="60"/>
        <v>87.657142857142858</v>
      </c>
      <c r="AH42" s="123">
        <f t="shared" si="61"/>
        <v>1</v>
      </c>
      <c r="AI42" s="112">
        <f t="shared" si="61"/>
        <v>350.62857142857143</v>
      </c>
      <c r="AJ42" s="148">
        <f t="shared" si="62"/>
        <v>87.657142857142858</v>
      </c>
      <c r="AK42" s="147">
        <f t="shared" si="63"/>
        <v>262.97142857142859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1.0900000000000001</v>
      </c>
      <c r="F44" s="26">
        <v>1.4</v>
      </c>
      <c r="G44" s="22">
        <f t="shared" si="59"/>
        <v>1.65</v>
      </c>
      <c r="H44" s="24">
        <f t="shared" si="51"/>
        <v>1.526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1.0900000000000001</v>
      </c>
      <c r="F45" s="26">
        <v>1.4</v>
      </c>
      <c r="G45" s="22">
        <f t="shared" si="59"/>
        <v>1.65</v>
      </c>
      <c r="H45" s="24">
        <f t="shared" si="51"/>
        <v>1.526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1.2324801739449264E-3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8.6077980402502797E-4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-46</v>
      </c>
      <c r="J50" s="38">
        <f t="shared" ref="J50:J64" si="70">J104*I$83</f>
        <v>-45.999999999999993</v>
      </c>
      <c r="K50" s="40">
        <f t="shared" ref="K50:K64" si="71">(B50/B$65)</f>
        <v>2.1484560855332476E-3</v>
      </c>
      <c r="L50" s="22">
        <f t="shared" ref="L50:L64" si="72">(K50*H50)</f>
        <v>3.0078385197465462E-3</v>
      </c>
      <c r="M50" s="24">
        <f t="shared" ref="M50:M64" si="73">J50/B$65</f>
        <v>-1.1248826984417979E-3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74.999999999999986</v>
      </c>
      <c r="J52" s="38">
        <f t="shared" si="70"/>
        <v>74.999999999999972</v>
      </c>
      <c r="K52" s="40">
        <f t="shared" si="71"/>
        <v>4.2794450484198842E-3</v>
      </c>
      <c r="L52" s="22">
        <f t="shared" si="72"/>
        <v>5.9912230677878374E-3</v>
      </c>
      <c r="M52" s="24">
        <f t="shared" si="73"/>
        <v>1.8340478778942353E-3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1</v>
      </c>
      <c r="F53" s="26">
        <v>1.4</v>
      </c>
      <c r="G53" s="22">
        <f t="shared" si="59"/>
        <v>1.65</v>
      </c>
      <c r="H53" s="24">
        <f t="shared" si="68"/>
        <v>1.4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8.0698106627346382E-3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4244.0057142857149</v>
      </c>
      <c r="J55" s="38">
        <f t="shared" si="70"/>
        <v>4244.0057142857149</v>
      </c>
      <c r="K55" s="40">
        <f t="shared" si="71"/>
        <v>9.3498014102783494E-2</v>
      </c>
      <c r="L55" s="22">
        <f t="shared" si="72"/>
        <v>0.10378279565408968</v>
      </c>
      <c r="M55" s="24">
        <f t="shared" si="73"/>
        <v>0.10378279565408968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1061.0014285714287</v>
      </c>
      <c r="AB55" s="116">
        <v>0.25</v>
      </c>
      <c r="AC55" s="147">
        <f t="shared" si="65"/>
        <v>1061.0014285714287</v>
      </c>
      <c r="AD55" s="116">
        <v>0.25</v>
      </c>
      <c r="AE55" s="147">
        <f t="shared" si="66"/>
        <v>1061.0014285714287</v>
      </c>
      <c r="AF55" s="122">
        <f t="shared" si="57"/>
        <v>0.25</v>
      </c>
      <c r="AG55" s="147">
        <f t="shared" si="60"/>
        <v>1061.0014285714287</v>
      </c>
      <c r="AH55" s="123">
        <f t="shared" si="61"/>
        <v>1</v>
      </c>
      <c r="AI55" s="112">
        <f t="shared" si="61"/>
        <v>4244.0057142857149</v>
      </c>
      <c r="AJ55" s="148">
        <f t="shared" si="62"/>
        <v>2122.0028571428575</v>
      </c>
      <c r="AK55" s="147">
        <f t="shared" si="63"/>
        <v>2122.0028571428575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2892.3428571428576</v>
      </c>
      <c r="J57" s="38">
        <f t="shared" si="70"/>
        <v>2892.3428571428572</v>
      </c>
      <c r="K57" s="40">
        <f t="shared" si="71"/>
        <v>6.3720063414839739E-2</v>
      </c>
      <c r="L57" s="22">
        <f t="shared" si="72"/>
        <v>7.0729270390472124E-2</v>
      </c>
      <c r="M57" s="24">
        <f t="shared" si="73"/>
        <v>7.072927039047211E-2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723.08571428571429</v>
      </c>
      <c r="AB57" s="116">
        <v>0.25</v>
      </c>
      <c r="AC57" s="147">
        <f t="shared" si="65"/>
        <v>723.08571428571429</v>
      </c>
      <c r="AD57" s="116">
        <v>0.25</v>
      </c>
      <c r="AE57" s="147">
        <f t="shared" si="66"/>
        <v>723.08571428571429</v>
      </c>
      <c r="AF57" s="122">
        <f t="shared" si="57"/>
        <v>0.25</v>
      </c>
      <c r="AG57" s="147">
        <f t="shared" si="60"/>
        <v>723.08571428571429</v>
      </c>
      <c r="AH57" s="123">
        <f t="shared" si="61"/>
        <v>1</v>
      </c>
      <c r="AI57" s="112">
        <f t="shared" si="61"/>
        <v>2892.3428571428572</v>
      </c>
      <c r="AJ57" s="148">
        <f t="shared" si="62"/>
        <v>1446.1714285714286</v>
      </c>
      <c r="AK57" s="147">
        <f t="shared" si="63"/>
        <v>1446.1714285714286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26446.761659711396</v>
      </c>
      <c r="J61" s="38">
        <f t="shared" si="70"/>
        <v>26446.761659711399</v>
      </c>
      <c r="K61" s="40">
        <f t="shared" si="71"/>
        <v>0.54807488247647829</v>
      </c>
      <c r="L61" s="22">
        <f t="shared" si="72"/>
        <v>0.64672836132224432</v>
      </c>
      <c r="M61" s="24">
        <f t="shared" si="73"/>
        <v>0.64672836132224443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6611.6904149278498</v>
      </c>
      <c r="AB61" s="116">
        <v>0.25</v>
      </c>
      <c r="AC61" s="147">
        <f t="shared" si="65"/>
        <v>6611.6904149278498</v>
      </c>
      <c r="AD61" s="116">
        <v>0.25</v>
      </c>
      <c r="AE61" s="147">
        <f t="shared" si="66"/>
        <v>6611.6904149278498</v>
      </c>
      <c r="AF61" s="122">
        <f t="shared" si="57"/>
        <v>0.25</v>
      </c>
      <c r="AG61" s="147">
        <f t="shared" si="60"/>
        <v>6611.6904149278498</v>
      </c>
      <c r="AH61" s="123">
        <f t="shared" si="74"/>
        <v>1</v>
      </c>
      <c r="AI61" s="112">
        <f t="shared" si="74"/>
        <v>26446.761659711399</v>
      </c>
      <c r="AJ61" s="148">
        <f t="shared" si="62"/>
        <v>13223.3808298557</v>
      </c>
      <c r="AK61" s="147">
        <f t="shared" si="63"/>
        <v>13223.3808298557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45408.571373997111</v>
      </c>
      <c r="J65" s="39">
        <f>SUM(J37:J64)</f>
        <v>45408.571373997118</v>
      </c>
      <c r="K65" s="40">
        <f>SUM(K37:K64)</f>
        <v>1</v>
      </c>
      <c r="L65" s="22">
        <f>SUM(L37:L64)</f>
        <v>1.1228936250224317</v>
      </c>
      <c r="M65" s="24">
        <f>SUM(M37:M64)</f>
        <v>1.1104199195558446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10703.874700642138</v>
      </c>
      <c r="AB65" s="137"/>
      <c r="AC65" s="153">
        <f>SUM(AC37:AC64)</f>
        <v>10616.217557784994</v>
      </c>
      <c r="AD65" s="137"/>
      <c r="AE65" s="153">
        <f>SUM(AE37:AE64)</f>
        <v>10791.531843499279</v>
      </c>
      <c r="AF65" s="137"/>
      <c r="AG65" s="153">
        <f>SUM(AG37:AG64)</f>
        <v>13006.661557784993</v>
      </c>
      <c r="AH65" s="137"/>
      <c r="AI65" s="153">
        <f>SUM(AI37:AI64)</f>
        <v>45118.285659711408</v>
      </c>
      <c r="AJ65" s="153">
        <f>SUM(AJ37:AJ64)</f>
        <v>21320.092258427128</v>
      </c>
      <c r="AK65" s="153">
        <f>SUM(AK37:AK64)</f>
        <v>23798.193401284272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21879.79335460256</v>
      </c>
      <c r="J70" s="51">
        <f t="shared" ref="J70:J77" si="75">J124*I$83</f>
        <v>21879.79335460256</v>
      </c>
      <c r="K70" s="40">
        <f>B70/B$76</f>
        <v>0.38217703400736408</v>
      </c>
      <c r="L70" s="22">
        <f t="shared" ref="L70:L75" si="76">(L124*G$37*F$9/F$7)/B$130</f>
        <v>0.53504784761030977</v>
      </c>
      <c r="M70" s="24">
        <f>J70/B$76</f>
        <v>0.53504784761030977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5469.9483386506399</v>
      </c>
      <c r="AB70" s="116">
        <v>0.25</v>
      </c>
      <c r="AC70" s="147">
        <f>$J70*AB70</f>
        <v>5469.9483386506399</v>
      </c>
      <c r="AD70" s="116">
        <v>0.25</v>
      </c>
      <c r="AE70" s="147">
        <f>$J70*AD70</f>
        <v>5469.9483386506399</v>
      </c>
      <c r="AF70" s="122">
        <f>1-SUM(Z70,AB70,AD70)</f>
        <v>0.25</v>
      </c>
      <c r="AG70" s="147">
        <f>$J70*AF70</f>
        <v>5469.9483386506399</v>
      </c>
      <c r="AH70" s="155">
        <f>SUM(Z70,AB70,AD70,AF70)</f>
        <v>1</v>
      </c>
      <c r="AI70" s="147">
        <f>SUM(AA70,AC70,AE70,AG70)</f>
        <v>21879.79335460256</v>
      </c>
      <c r="AJ70" s="148">
        <f>(AA70+AC70)</f>
        <v>10939.89667730128</v>
      </c>
      <c r="AK70" s="147">
        <f>(AE70+AG70)</f>
        <v>10939.89667730128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18439.595102040854</v>
      </c>
      <c r="J71" s="51">
        <f t="shared" si="75"/>
        <v>18439.595102040854</v>
      </c>
      <c r="K71" s="40">
        <f t="shared" ref="K71:K72" si="78">B71/B$76</f>
        <v>0.38213672617092626</v>
      </c>
      <c r="L71" s="22">
        <f t="shared" si="76"/>
        <v>0.450921336881693</v>
      </c>
      <c r="M71" s="24">
        <f t="shared" ref="M71:M72" si="79">J71/B$76</f>
        <v>0.450921336881693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23528.778019394558</v>
      </c>
      <c r="J74" s="51">
        <f t="shared" si="75"/>
        <v>7069.9346047439412</v>
      </c>
      <c r="K74" s="40">
        <f>B74/B$76</f>
        <v>0.18798734850327262</v>
      </c>
      <c r="L74" s="22">
        <f t="shared" si="76"/>
        <v>0.17886607508511917</v>
      </c>
      <c r="M74" s="24">
        <f>J74/B$76</f>
        <v>0.17288798078242198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-3038.4218239213355</v>
      </c>
      <c r="AB74" s="156"/>
      <c r="AC74" s="147">
        <f>AC30*$I$83/4</f>
        <v>-3022.5513849700578</v>
      </c>
      <c r="AD74" s="156"/>
      <c r="AE74" s="147">
        <f>AE30*$I$83/4</f>
        <v>-3592.8644684272754</v>
      </c>
      <c r="AF74" s="156"/>
      <c r="AG74" s="147">
        <f>AG30*$I$83/4</f>
        <v>16723.772282062611</v>
      </c>
      <c r="AH74" s="155"/>
      <c r="AI74" s="147">
        <f>SUM(AA74,AC74,AE74,AG74)</f>
        <v>7069.9346047439431</v>
      </c>
      <c r="AJ74" s="148">
        <f>(AA74+AC74)</f>
        <v>-6060.9732088913934</v>
      </c>
      <c r="AK74" s="147">
        <f>(AE74+AG74)</f>
        <v>13130.907813635336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8272.3481859128333</v>
      </c>
      <c r="AB75" s="158"/>
      <c r="AC75" s="149">
        <f>AA75+AC65-SUM(AC70,AC74)</f>
        <v>16441.168790017247</v>
      </c>
      <c r="AD75" s="158"/>
      <c r="AE75" s="149">
        <f>AC75+AE65-SUM(AE70,AE74)</f>
        <v>25355.616763293165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16168.557700364905</v>
      </c>
      <c r="AJ75" s="151">
        <f>AJ76-SUM(AJ70,AJ74)</f>
        <v>16441.168790017247</v>
      </c>
      <c r="AK75" s="149">
        <f>AJ75+AK76-SUM(AK70,AK74)</f>
        <v>16168.557700364909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45408.571373997118</v>
      </c>
      <c r="J76" s="51">
        <f t="shared" si="75"/>
        <v>45408.571373997118</v>
      </c>
      <c r="K76" s="40">
        <f>SUM(K70:K75)</f>
        <v>1.7092698103325998</v>
      </c>
      <c r="L76" s="22">
        <f>SUM(L70:L75)</f>
        <v>1.1648352595771219</v>
      </c>
      <c r="M76" s="24">
        <f>SUM(M70:M75)</f>
        <v>1.1588571652744248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10703.874700642138</v>
      </c>
      <c r="AB76" s="137"/>
      <c r="AC76" s="153">
        <f>AC65</f>
        <v>10616.217557784994</v>
      </c>
      <c r="AD76" s="137"/>
      <c r="AE76" s="153">
        <f>AE65</f>
        <v>10791.531843499279</v>
      </c>
      <c r="AF76" s="137"/>
      <c r="AG76" s="153">
        <f>AG65</f>
        <v>13006.661557784993</v>
      </c>
      <c r="AH76" s="137"/>
      <c r="AI76" s="153">
        <f>SUM(AA76,AC76,AE76,AG76)</f>
        <v>45118.285659711408</v>
      </c>
      <c r="AJ76" s="154">
        <f>SUM(AA76,AC76)</f>
        <v>21320.092258427132</v>
      </c>
      <c r="AK76" s="154">
        <f>SUM(AE76,AG76)</f>
        <v>23798.193401284272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18439.595102040854</v>
      </c>
      <c r="J77" s="100">
        <f t="shared" si="75"/>
        <v>1980.7516873902412</v>
      </c>
      <c r="K77" s="40"/>
      <c r="L77" s="22">
        <f>-(L131*G$37*F$9/F$7)/B$130</f>
        <v>-0.450921336881693</v>
      </c>
      <c r="M77" s="24">
        <f>-J77/B$76</f>
        <v>-4.8437245718579984E-2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8272.3481859128333</v>
      </c>
      <c r="AD78" s="112"/>
      <c r="AE78" s="112">
        <f>AC75</f>
        <v>16441.168790017247</v>
      </c>
      <c r="AF78" s="112"/>
      <c r="AG78" s="112">
        <f>AE75</f>
        <v>25355.616763293165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5233.9263619914982</v>
      </c>
      <c r="AB79" s="112"/>
      <c r="AC79" s="112">
        <f>AA79-AA74+AC65-AC70</f>
        <v>13418.617405047189</v>
      </c>
      <c r="AD79" s="112"/>
      <c r="AE79" s="112">
        <f>AC79-AC74+AE65-AE70</f>
        <v>21762.752294865888</v>
      </c>
      <c r="AF79" s="112"/>
      <c r="AG79" s="112">
        <f>AE79-AE74+AG65-AG70</f>
        <v>32892.329982427516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0.3575757575757576</v>
      </c>
      <c r="I92" s="22">
        <f t="shared" ref="I92:I118" si="88">(D92*H92)</f>
        <v>4.1159378434012382E-5</v>
      </c>
      <c r="J92" s="24">
        <f t="shared" ref="J92:J118" si="89">IF(I$32&lt;=1+I$131,I92,L92+J$33*(I92-L92))</f>
        <v>4.1159378434012382E-5</v>
      </c>
      <c r="K92" s="22">
        <f t="shared" ref="K92:K118" si="90">IF(B92="",0,B92)</f>
        <v>1.151067362985092E-4</v>
      </c>
      <c r="L92" s="22">
        <f t="shared" ref="L92:L118" si="91">(K92*H92)</f>
        <v>4.1159378434012382E-5</v>
      </c>
      <c r="M92" s="226">
        <f t="shared" ref="M92:M118" si="92">(J92)</f>
        <v>4.1159378434012382E-5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0.57212121212121214</v>
      </c>
      <c r="I93" s="22">
        <f t="shared" si="88"/>
        <v>9.5489757966908728E-2</v>
      </c>
      <c r="J93" s="24">
        <f t="shared" si="89"/>
        <v>9.5489757966908728E-2</v>
      </c>
      <c r="K93" s="22">
        <f t="shared" si="90"/>
        <v>0.16690476763283835</v>
      </c>
      <c r="L93" s="22">
        <f t="shared" si="91"/>
        <v>9.5489757966908728E-2</v>
      </c>
      <c r="M93" s="226">
        <f t="shared" si="92"/>
        <v>9.5489757966908728E-2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0.57212121212121214</v>
      </c>
      <c r="I94" s="22">
        <f t="shared" si="88"/>
        <v>4.9391254120814852E-3</v>
      </c>
      <c r="J94" s="24">
        <f t="shared" si="89"/>
        <v>4.9391254120814852E-3</v>
      </c>
      <c r="K94" s="22">
        <f t="shared" si="90"/>
        <v>8.6330052223881886E-3</v>
      </c>
      <c r="L94" s="22">
        <f t="shared" si="91"/>
        <v>4.9391254120814852E-3</v>
      </c>
      <c r="M94" s="226">
        <f t="shared" si="92"/>
        <v>4.9391254120814852E-3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0.57212121212121214</v>
      </c>
      <c r="I95" s="22">
        <f t="shared" si="88"/>
        <v>1.1982318249709684E-2</v>
      </c>
      <c r="J95" s="24">
        <f t="shared" si="89"/>
        <v>1.1982318249709684E-2</v>
      </c>
      <c r="K95" s="22">
        <f t="shared" si="90"/>
        <v>3.6149270534546814E-2</v>
      </c>
      <c r="L95" s="22">
        <f t="shared" si="91"/>
        <v>2.068176447552254E-2</v>
      </c>
      <c r="M95" s="226">
        <f t="shared" si="92"/>
        <v>1.1982318249709684E-2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0.57212121212121214</v>
      </c>
      <c r="I96" s="22">
        <f t="shared" si="88"/>
        <v>1.7122301428549151E-2</v>
      </c>
      <c r="J96" s="24">
        <f t="shared" si="89"/>
        <v>1.7122301428549151E-2</v>
      </c>
      <c r="K96" s="22">
        <f t="shared" si="90"/>
        <v>2.9927751437612393E-2</v>
      </c>
      <c r="L96" s="22">
        <f t="shared" si="91"/>
        <v>1.7122301428549151E-2</v>
      </c>
      <c r="M96" s="226">
        <f t="shared" si="92"/>
        <v>1.7122301428549151E-2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0.92484848484848492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0.92484848484848492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2.4611913070372148E-3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1.7189272620577374E-3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0.84848484848484851</v>
      </c>
      <c r="I104" s="22">
        <f t="shared" si="88"/>
        <v>-2.2463253992799975E-3</v>
      </c>
      <c r="J104" s="24">
        <f t="shared" si="89"/>
        <v>-2.2463253992799975E-3</v>
      </c>
      <c r="K104" s="22">
        <f t="shared" si="90"/>
        <v>7.079064282358315E-3</v>
      </c>
      <c r="L104" s="22">
        <f t="shared" si="91"/>
        <v>6.0064787850312978E-3</v>
      </c>
      <c r="M104" s="226">
        <f t="shared" si="92"/>
        <v>-2.2463253992799975E-3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0.84848484848484851</v>
      </c>
      <c r="I106" s="22">
        <f t="shared" si="88"/>
        <v>3.6624870640434735E-3</v>
      </c>
      <c r="J106" s="24">
        <f t="shared" si="89"/>
        <v>3.6624870640434735E-3</v>
      </c>
      <c r="K106" s="22">
        <f t="shared" si="90"/>
        <v>1.4100575196567376E-2</v>
      </c>
      <c r="L106" s="22">
        <f t="shared" si="91"/>
        <v>1.1964124409208682E-2</v>
      </c>
      <c r="M106" s="226">
        <f t="shared" si="92"/>
        <v>3.6624870640434735E-3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0.84848484848484851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1.6114943081791289E-2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0.67272727272727284</v>
      </c>
      <c r="I109" s="22">
        <f t="shared" si="88"/>
        <v>0.20724821371064023</v>
      </c>
      <c r="J109" s="24">
        <f t="shared" si="89"/>
        <v>0.20724821371064023</v>
      </c>
      <c r="K109" s="22">
        <f t="shared" si="90"/>
        <v>0.30807166902933003</v>
      </c>
      <c r="L109" s="22">
        <f t="shared" si="91"/>
        <v>0.20724821371064023</v>
      </c>
      <c r="M109" s="226">
        <f t="shared" si="92"/>
        <v>0.20724821371064023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0.67272727272727284</v>
      </c>
      <c r="I111" s="22">
        <f t="shared" si="88"/>
        <v>0.14124224398752344</v>
      </c>
      <c r="J111" s="24">
        <f t="shared" si="89"/>
        <v>0.14124224398752344</v>
      </c>
      <c r="K111" s="22">
        <f t="shared" si="90"/>
        <v>0.20995468700848077</v>
      </c>
      <c r="L111" s="22">
        <f t="shared" si="91"/>
        <v>0.14124224398752344</v>
      </c>
      <c r="M111" s="226">
        <f t="shared" si="92"/>
        <v>0.14124224398752344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0.7151515151515152</v>
      </c>
      <c r="I115" s="22">
        <f t="shared" si="88"/>
        <v>1.2914789661937858</v>
      </c>
      <c r="J115" s="24">
        <f t="shared" si="89"/>
        <v>1.2914789661937858</v>
      </c>
      <c r="K115" s="22">
        <f t="shared" si="90"/>
        <v>1.8058816052709714</v>
      </c>
      <c r="L115" s="22">
        <f t="shared" si="91"/>
        <v>1.2914789661937858</v>
      </c>
      <c r="M115" s="226">
        <f t="shared" si="92"/>
        <v>1.2914789661937858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2.2174440700527902</v>
      </c>
      <c r="J119" s="24">
        <f>SUM(J91:J118)</f>
        <v>2.2174440700527902</v>
      </c>
      <c r="K119" s="22">
        <f>SUM(K91:K118)</f>
        <v>3.2949541440598207</v>
      </c>
      <c r="L119" s="22">
        <f>SUM(L91:L118)</f>
        <v>2.2423533352157676</v>
      </c>
      <c r="M119" s="57">
        <f t="shared" si="80"/>
        <v>2.2174440700527902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1.0684594683356834</v>
      </c>
      <c r="J124" s="236">
        <f>IF(SUMPRODUCT($B$124:$B124,$H$124:$H124)&lt;J$119,($B124*$H124),J$119)</f>
        <v>1.0684594683356834</v>
      </c>
      <c r="K124" s="29">
        <f>(B124)</f>
        <v>1.2592558019670554</v>
      </c>
      <c r="L124" s="29">
        <f>IF(SUMPRODUCT($B$124:$B124,$H$124:$H124)&lt;L$119,($B124*$H124),L$119)</f>
        <v>1.0684594683356834</v>
      </c>
      <c r="M124" s="239">
        <f t="shared" si="93"/>
        <v>1.0684594683356834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0.90046371369898726</v>
      </c>
      <c r="J125" s="236">
        <f>IF(SUMPRODUCT($B$124:$B125,$H$124:$H125)&lt;J$119,($B125*$H125),IF(SUMPRODUCT($B$124:$B124,$H$124:$H124)&lt;J$119,J$119-SUMPRODUCT($B$124:$B124,$H$124:$H124),0))</f>
        <v>0.90046371369898726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0.90046371369898726</v>
      </c>
      <c r="M125" s="239">
        <f t="shared" si="93"/>
        <v>0.90046371369898726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1.1489846017171068</v>
      </c>
      <c r="J128" s="227">
        <f>(J30)</f>
        <v>0.34524725378010668</v>
      </c>
      <c r="K128" s="29">
        <f>(B128)</f>
        <v>0.61940969298167581</v>
      </c>
      <c r="L128" s="29">
        <f>IF(L124=L119,0,(L119-L124)/(B119-B124)*K128)</f>
        <v>0.35718516080813845</v>
      </c>
      <c r="M128" s="239">
        <f t="shared" si="93"/>
        <v>0.34524725378010668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2.2174440700527902</v>
      </c>
      <c r="J130" s="227">
        <f>(J119)</f>
        <v>2.2174440700527902</v>
      </c>
      <c r="K130" s="29">
        <f>(B130)</f>
        <v>3.2949541440598207</v>
      </c>
      <c r="L130" s="29">
        <f>(L119)</f>
        <v>2.2423533352157676</v>
      </c>
      <c r="M130" s="239">
        <f t="shared" si="93"/>
        <v>2.2174440700527902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0.90046371369898726</v>
      </c>
      <c r="J131" s="236">
        <f>IF(SUMPRODUCT($B124:$B125,$H124:$H125)&gt;(J119-J128),SUMPRODUCT($B124:$B125,$H124:$H125)+J128-J119,0)</f>
        <v>9.6726365761987232E-2</v>
      </c>
      <c r="K131" s="29"/>
      <c r="L131" s="29">
        <f>IF(I131&lt;SUM(L126:L127),0,I131-(SUM(L126:L127)))</f>
        <v>0.90046371369898726</v>
      </c>
      <c r="M131" s="236">
        <f>IF(I131&lt;SUM(M126:M127),0,I131-(SUM(M126:M127)))</f>
        <v>0.90046371369898726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2.9523230035326701E-2</v>
      </c>
      <c r="J6" s="24">
        <f t="shared" ref="J6:J13" si="3">IF(I$32&lt;=1+I$131,I6,B6*H6+J$33*(I6-B6*H6))</f>
        <v>3.0777838349317854E-2</v>
      </c>
      <c r="K6" s="22">
        <f t="shared" ref="K6:K31" si="4">B6</f>
        <v>6.1429979017460022E-2</v>
      </c>
      <c r="L6" s="22">
        <f t="shared" ref="L6:L29" si="5">IF(K6="","",K6*H6)</f>
        <v>3.0714989508730011E-2</v>
      </c>
      <c r="M6" s="223">
        <f t="shared" ref="M6:M31" si="6">J6</f>
        <v>3.0777838349317854E-2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0.12311135339727142</v>
      </c>
      <c r="Z6" s="156">
        <f>Poor!Z6</f>
        <v>0.17</v>
      </c>
      <c r="AA6" s="121">
        <f>$M6*Z6*4</f>
        <v>2.0928930077536143E-2</v>
      </c>
      <c r="AB6" s="156">
        <f>Poor!AB6</f>
        <v>0.17</v>
      </c>
      <c r="AC6" s="121">
        <f t="shared" ref="AC6:AC29" si="7">$M6*AB6*4</f>
        <v>2.0928930077536143E-2</v>
      </c>
      <c r="AD6" s="156">
        <f>Poor!AD6</f>
        <v>0.33</v>
      </c>
      <c r="AE6" s="121">
        <f t="shared" ref="AE6:AE29" si="8">$M6*AD6*4</f>
        <v>4.0626746621099573E-2</v>
      </c>
      <c r="AF6" s="122">
        <f>1-SUM(Z6,AB6,AD6)</f>
        <v>0.32999999999999996</v>
      </c>
      <c r="AG6" s="121">
        <f>$M6*AF6*4</f>
        <v>4.0626746621099566E-2</v>
      </c>
      <c r="AH6" s="123">
        <f>SUM(Z6,AB6,AD6,AF6)</f>
        <v>1</v>
      </c>
      <c r="AI6" s="183">
        <f>SUM(AA6,AC6,AE6,AG6)/4</f>
        <v>3.0777838349317858E-2</v>
      </c>
      <c r="AJ6" s="120">
        <f>(AA6+AC6)/2</f>
        <v>2.0928930077536143E-2</v>
      </c>
      <c r="AK6" s="119">
        <f>(AE6+AG6)/2</f>
        <v>4.0626746621099566E-2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3">
        <f t="shared" si="6"/>
        <v>9.3851058530510564E-3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6697.3497149119576</v>
      </c>
      <c r="T7" s="221">
        <f>IF($B$81=0,0,(SUMIF($N$6:$N$28,$U7,M$6:M$28)+SUMIF($N$91:$N$118,$U7,M$91:M$118))*$I$83*Poor!$B$81/$B$81)</f>
        <v>6588.0871912242892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2.3213570602587243E-2</v>
      </c>
      <c r="J8" s="24">
        <f t="shared" si="3"/>
        <v>2.3213570602587243E-2</v>
      </c>
      <c r="K8" s="22">
        <f t="shared" si="4"/>
        <v>4.6427141205174487E-2</v>
      </c>
      <c r="L8" s="22">
        <f t="shared" si="5"/>
        <v>2.3213570602587243E-2</v>
      </c>
      <c r="M8" s="223">
        <f t="shared" si="6"/>
        <v>2.3213570602587243E-2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6308.0891428571422</v>
      </c>
      <c r="T8" s="221">
        <f>IF($B$81=0,0,(SUMIF($N$6:$N$28,$U8,M$6:M$28)+SUMIF($N$91:$N$118,$U8,M$91:M$118))*$I$83*Poor!$B$81/$B$81)</f>
        <v>6558.5756253798263</v>
      </c>
      <c r="U8" s="222">
        <v>2</v>
      </c>
      <c r="V8" s="56"/>
      <c r="W8" s="115"/>
      <c r="X8" s="118">
        <f>Poor!X8</f>
        <v>1</v>
      </c>
      <c r="Y8" s="183">
        <f t="shared" si="9"/>
        <v>9.2854282410348973E-2</v>
      </c>
      <c r="Z8" s="125">
        <f>IF($Y8=0,0,AA8/$Y8)</f>
        <v>0.77934348294905897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7.2365379860416912E-2</v>
      </c>
      <c r="AB8" s="125">
        <f>IF($Y8=0,0,AC8/$Y8)</f>
        <v>0.22065651705094103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2.0488902549932062E-2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2.3213570602587243E-2</v>
      </c>
      <c r="AJ8" s="120">
        <f t="shared" si="14"/>
        <v>4.6427141205174487E-2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2.3928571428571431E-2</v>
      </c>
      <c r="J9" s="24">
        <f t="shared" si="3"/>
        <v>2.3928571428571431E-2</v>
      </c>
      <c r="K9" s="22">
        <f t="shared" si="4"/>
        <v>2.3928571428571431E-2</v>
      </c>
      <c r="L9" s="22">
        <f t="shared" si="5"/>
        <v>2.3928571428571431E-2</v>
      </c>
      <c r="M9" s="223">
        <f t="shared" si="6"/>
        <v>2.3928571428571431E-2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1296.5301622349311</v>
      </c>
      <c r="T9" s="221">
        <f>IF($B$81=0,0,(SUMIF($N$6:$N$28,$U9,M$6:M$28)+SUMIF($N$91:$N$118,$U9,M$91:M$118))*$I$83*Poor!$B$81/$B$81)</f>
        <v>1297.8171737551531</v>
      </c>
      <c r="U9" s="222">
        <v>3</v>
      </c>
      <c r="V9" s="56"/>
      <c r="W9" s="115"/>
      <c r="X9" s="118">
        <f>Poor!X9</f>
        <v>1</v>
      </c>
      <c r="Y9" s="183">
        <f t="shared" si="9"/>
        <v>9.5714285714285724E-2</v>
      </c>
      <c r="Z9" s="125">
        <f>IF($Y9=0,0,AA9/$Y9)</f>
        <v>0.77934348294905886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7.4594304796552782E-2</v>
      </c>
      <c r="AB9" s="125">
        <f>IF($Y9=0,0,AC9/$Y9)</f>
        <v>0.22065651705094116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2.1119980917732942E-2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2.3928571428571431E-2</v>
      </c>
      <c r="AJ9" s="120">
        <f t="shared" si="14"/>
        <v>4.7857142857142862E-2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0.17920113770296339</v>
      </c>
      <c r="J10" s="24">
        <f t="shared" si="3"/>
        <v>0.14104232209890638</v>
      </c>
      <c r="K10" s="22">
        <f t="shared" si="4"/>
        <v>0.13115033464495388</v>
      </c>
      <c r="L10" s="22">
        <f t="shared" si="5"/>
        <v>0.14295386476299973</v>
      </c>
      <c r="M10" s="223">
        <f t="shared" si="6"/>
        <v>0.14104232209890638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534.13061224489797</v>
      </c>
      <c r="T10" s="221">
        <f>IF($B$81=0,0,(SUMIF($N$6:$N$28,$U10,M$6:M$28)+SUMIF($N$91:$N$118,$U10,M$91:M$118))*$I$83*Poor!$B$81/$B$81)</f>
        <v>523.97082597604526</v>
      </c>
      <c r="U10" s="222">
        <v>4</v>
      </c>
      <c r="V10" s="56"/>
      <c r="W10" s="115"/>
      <c r="X10" s="118">
        <f>Poor!X10</f>
        <v>1</v>
      </c>
      <c r="Y10" s="183">
        <f t="shared" si="9"/>
        <v>0.56416928839562552</v>
      </c>
      <c r="Z10" s="125">
        <f>IF($Y10=0,0,AA10/$Y10)</f>
        <v>0.77934348294905897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0.43968165819113891</v>
      </c>
      <c r="AB10" s="125">
        <f>IF($Y10=0,0,AC10/$Y10)</f>
        <v>0.22065651705094103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0.12448763020448661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0.14104232209890638</v>
      </c>
      <c r="AJ10" s="120">
        <f t="shared" si="14"/>
        <v>0.28208464419781276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2.0243994319770257E-2</v>
      </c>
      <c r="J11" s="24">
        <f t="shared" si="3"/>
        <v>9.4075950541703222E-3</v>
      </c>
      <c r="K11" s="22">
        <f t="shared" si="4"/>
        <v>9.1288420972374003E-3</v>
      </c>
      <c r="L11" s="22">
        <f t="shared" si="5"/>
        <v>9.9504378859887662E-3</v>
      </c>
      <c r="M11" s="223">
        <f t="shared" si="6"/>
        <v>9.4075950541703222E-3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11906.537142857147</v>
      </c>
      <c r="T11" s="221">
        <f>IF($B$81=0,0,(SUMIF($N$6:$N$28,$U11,M$6:M$28)+SUMIF($N$91:$N$118,$U11,M$91:M$118))*$I$83*Poor!$B$81/$B$81)</f>
        <v>12040.686960751076</v>
      </c>
      <c r="U11" s="222">
        <v>5</v>
      </c>
      <c r="V11" s="56"/>
      <c r="W11" s="115"/>
      <c r="X11" s="118">
        <f>Poor!X11</f>
        <v>1</v>
      </c>
      <c r="Y11" s="183">
        <f t="shared" si="9"/>
        <v>3.7630380216681289E-2</v>
      </c>
      <c r="Z11" s="125">
        <f>IF($Y11=0,0,AA11/$Y11)</f>
        <v>0.77934348294905897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2.9326991582765759E-2</v>
      </c>
      <c r="AB11" s="125">
        <f>IF($Y11=0,0,AC11/$Y11)</f>
        <v>0.22065651705094105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8.3033886339155295E-3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9.4075950541703222E-3</v>
      </c>
      <c r="AJ11" s="120">
        <f t="shared" si="14"/>
        <v>1.8815190108340644E-2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1</v>
      </c>
      <c r="H12" s="24">
        <f t="shared" si="1"/>
        <v>1</v>
      </c>
      <c r="I12" s="22">
        <f t="shared" si="2"/>
        <v>4.0810514529379623E-2</v>
      </c>
      <c r="J12" s="24">
        <f t="shared" si="3"/>
        <v>4.806238206306708E-2</v>
      </c>
      <c r="K12" s="22">
        <f t="shared" si="4"/>
        <v>4.7699104168678681E-2</v>
      </c>
      <c r="L12" s="22">
        <f t="shared" si="5"/>
        <v>4.7699104168678681E-2</v>
      </c>
      <c r="M12" s="223">
        <f t="shared" si="6"/>
        <v>4.806238206306708E-2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42.897779931595615</v>
      </c>
      <c r="U12" s="222">
        <v>6</v>
      </c>
      <c r="V12" s="56"/>
      <c r="W12" s="117"/>
      <c r="X12" s="118"/>
      <c r="Y12" s="183">
        <f t="shared" si="9"/>
        <v>0.19224952825226832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0.12880718392901977</v>
      </c>
      <c r="AF12" s="122">
        <f>1-SUM(Z12,AB12,AD12)</f>
        <v>0.32999999999999996</v>
      </c>
      <c r="AG12" s="121">
        <f>$M12*AF12*4</f>
        <v>6.3442344323248537E-2</v>
      </c>
      <c r="AH12" s="123">
        <f t="shared" si="12"/>
        <v>1</v>
      </c>
      <c r="AI12" s="183">
        <f t="shared" si="13"/>
        <v>4.806238206306708E-2</v>
      </c>
      <c r="AJ12" s="120">
        <f t="shared" si="14"/>
        <v>0</v>
      </c>
      <c r="AK12" s="119">
        <f t="shared" si="15"/>
        <v>9.612476412613416E-2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6552.9540090433175</v>
      </c>
      <c r="T13" s="221">
        <f>IF($B$81=0,0,(SUMIF($N$6:$N$28,$U13,M$6:M$28)+SUMIF($N$91:$N$118,$U13,M$91:M$118))*$I$83*Poor!$B$81/$B$81)</f>
        <v>6566.8446308477232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1</v>
      </c>
      <c r="F14" s="22"/>
      <c r="H14" s="24">
        <f t="shared" si="1"/>
        <v>1</v>
      </c>
      <c r="I14" s="22">
        <f t="shared" si="2"/>
        <v>2.6521429969247973E-2</v>
      </c>
      <c r="J14" s="24">
        <f>IF(I$32&lt;=1+I131,I14,B14*H14+J$33*(I14-B14*H14))</f>
        <v>1.9283251364662718E-2</v>
      </c>
      <c r="K14" s="22">
        <f t="shared" si="4"/>
        <v>1.96458435204717E-2</v>
      </c>
      <c r="L14" s="22">
        <f t="shared" si="5"/>
        <v>1.96458435204717E-2</v>
      </c>
      <c r="M14" s="224">
        <f t="shared" si="6"/>
        <v>1.9283251364662718E-2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33567.869387755105</v>
      </c>
      <c r="T14" s="221">
        <f>IF($B$81=0,0,(SUMIF($N$6:$N$28,$U14,M$6:M$28)+SUMIF($N$91:$N$118,$U14,M$91:M$118))*$I$83*Poor!$B$81/$B$81)</f>
        <v>33567.869387755105</v>
      </c>
      <c r="U14" s="222">
        <v>8</v>
      </c>
      <c r="V14" s="56"/>
      <c r="W14" s="110"/>
      <c r="X14" s="118"/>
      <c r="Y14" s="183">
        <f>M14*4</f>
        <v>7.7133005458650872E-2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7.7133005458650872E-2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1.9283251364662718E-2</v>
      </c>
      <c r="AJ14" s="120">
        <f t="shared" si="14"/>
        <v>3.8566502729325436E-2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1</v>
      </c>
      <c r="F15" s="22"/>
      <c r="H15" s="24">
        <f t="shared" si="1"/>
        <v>1</v>
      </c>
      <c r="I15" s="22">
        <f t="shared" si="2"/>
        <v>1.010262740234325E-2</v>
      </c>
      <c r="J15" s="24">
        <f>IF(I$32&lt;=1+I131,I15,B15*H15+J$33*(I15-B15*H15))</f>
        <v>8.1621796748139984E-3</v>
      </c>
      <c r="K15" s="22">
        <f t="shared" si="4"/>
        <v>8.2593852237781758E-3</v>
      </c>
      <c r="L15" s="22">
        <f t="shared" si="5"/>
        <v>8.2593852237781758E-3</v>
      </c>
      <c r="M15" s="225">
        <f t="shared" si="6"/>
        <v>8.1621796748139984E-3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3.2648718699255994E-2</v>
      </c>
      <c r="Z15" s="156">
        <f>Poor!Z15</f>
        <v>0.25</v>
      </c>
      <c r="AA15" s="121">
        <f t="shared" si="16"/>
        <v>8.1621796748139984E-3</v>
      </c>
      <c r="AB15" s="156">
        <f>Poor!AB15</f>
        <v>0.25</v>
      </c>
      <c r="AC15" s="121">
        <f t="shared" si="7"/>
        <v>8.1621796748139984E-3</v>
      </c>
      <c r="AD15" s="156">
        <f>Poor!AD15</f>
        <v>0.25</v>
      </c>
      <c r="AE15" s="121">
        <f t="shared" si="8"/>
        <v>8.1621796748139984E-3</v>
      </c>
      <c r="AF15" s="122">
        <f t="shared" si="10"/>
        <v>0.25</v>
      </c>
      <c r="AG15" s="121">
        <f t="shared" si="11"/>
        <v>8.1621796748139984E-3</v>
      </c>
      <c r="AH15" s="123">
        <f t="shared" si="12"/>
        <v>1</v>
      </c>
      <c r="AI15" s="183">
        <f t="shared" si="13"/>
        <v>8.1621796748139984E-3</v>
      </c>
      <c r="AJ15" s="120">
        <f t="shared" si="14"/>
        <v>8.1621796748139984E-3</v>
      </c>
      <c r="AK15" s="119">
        <f t="shared" si="15"/>
        <v>8.1621796748139984E-3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1</v>
      </c>
      <c r="F16" s="22"/>
      <c r="H16" s="24">
        <f t="shared" si="1"/>
        <v>1</v>
      </c>
      <c r="I16" s="22">
        <f t="shared" si="2"/>
        <v>1.9931367864273148E-2</v>
      </c>
      <c r="J16" s="24">
        <f>IF(I$32&lt;=1+I131,I16,B16*H16+J$33*(I16-B16*H16))</f>
        <v>1.4743554635949088E-2</v>
      </c>
      <c r="K16" s="22">
        <f t="shared" si="4"/>
        <v>1.500343498501933E-2</v>
      </c>
      <c r="L16" s="22">
        <f t="shared" si="5"/>
        <v>1.500343498501933E-2</v>
      </c>
      <c r="M16" s="223">
        <f t="shared" si="6"/>
        <v>1.4743554635949088E-2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7101.3146048047811</v>
      </c>
      <c r="U16" s="222">
        <v>10</v>
      </c>
      <c r="V16" s="56"/>
      <c r="W16" s="110"/>
      <c r="X16" s="118"/>
      <c r="Y16" s="183">
        <f t="shared" si="9"/>
        <v>5.897421854379635E-2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5.897421854379635E-2</v>
      </c>
      <c r="AH16" s="123">
        <f t="shared" si="12"/>
        <v>1</v>
      </c>
      <c r="AI16" s="183">
        <f t="shared" si="13"/>
        <v>1.4743554635949088E-2</v>
      </c>
      <c r="AJ16" s="120">
        <f t="shared" si="14"/>
        <v>0</v>
      </c>
      <c r="AK16" s="119">
        <f t="shared" si="15"/>
        <v>2.9487109271898175E-2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1</v>
      </c>
      <c r="F17" s="22"/>
      <c r="H17" s="24">
        <f t="shared" si="1"/>
        <v>1</v>
      </c>
      <c r="I17" s="22">
        <f t="shared" si="2"/>
        <v>6.6300066587033323E-3</v>
      </c>
      <c r="J17" s="24">
        <f t="shared" ref="J17:J25" si="17">IF(I$32&lt;=1+I131,I17,B17*H17+J$33*(I17-B17*H17))</f>
        <v>5.3697529476251444E-3</v>
      </c>
      <c r="K17" s="22">
        <f t="shared" si="4"/>
        <v>5.4328845909472137E-3</v>
      </c>
      <c r="L17" s="22">
        <f t="shared" si="5"/>
        <v>5.4328845909472137E-3</v>
      </c>
      <c r="M17" s="224">
        <f t="shared" si="6"/>
        <v>5.3697529476251444E-3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2.1479011790500577E-2</v>
      </c>
      <c r="Z17" s="156">
        <f>Poor!Z17</f>
        <v>0.29409999999999997</v>
      </c>
      <c r="AA17" s="121">
        <f t="shared" si="16"/>
        <v>6.3169773675862189E-3</v>
      </c>
      <c r="AB17" s="156">
        <f>Poor!AB17</f>
        <v>0.17649999999999999</v>
      </c>
      <c r="AC17" s="121">
        <f t="shared" si="7"/>
        <v>3.7910455810233517E-3</v>
      </c>
      <c r="AD17" s="156">
        <f>Poor!AD17</f>
        <v>0.23530000000000001</v>
      </c>
      <c r="AE17" s="121">
        <f t="shared" si="8"/>
        <v>5.0540114743047862E-3</v>
      </c>
      <c r="AF17" s="122">
        <f t="shared" si="10"/>
        <v>0.29410000000000003</v>
      </c>
      <c r="AG17" s="121">
        <f t="shared" si="11"/>
        <v>6.3169773675862207E-3</v>
      </c>
      <c r="AH17" s="123">
        <f t="shared" si="12"/>
        <v>1</v>
      </c>
      <c r="AI17" s="183">
        <f t="shared" si="13"/>
        <v>5.3697529476251444E-3</v>
      </c>
      <c r="AJ17" s="120">
        <f t="shared" si="14"/>
        <v>5.0540114743047853E-3</v>
      </c>
      <c r="AK17" s="119">
        <f t="shared" si="15"/>
        <v>5.6854944209455034E-3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5.5527423945917111E-3</v>
      </c>
      <c r="J18" s="24">
        <f t="shared" si="17"/>
        <v>4.3783838167709508E-3</v>
      </c>
      <c r="K18" s="22">
        <f t="shared" ref="K18:K25" si="21">B18</f>
        <v>4.4372125956235551E-3</v>
      </c>
      <c r="L18" s="22">
        <f t="shared" ref="L18:L25" si="22">IF(K18="","",K18*H18)</f>
        <v>4.4372125956235551E-3</v>
      </c>
      <c r="M18" s="224">
        <f t="shared" ref="M18:M25" si="23">J18</f>
        <v>4.3783838167709508E-3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1</v>
      </c>
      <c r="F19" s="22"/>
      <c r="H19" s="24">
        <f t="shared" si="19"/>
        <v>1</v>
      </c>
      <c r="I19" s="22">
        <f t="shared" si="20"/>
        <v>7.5468510871222708E-2</v>
      </c>
      <c r="J19" s="24">
        <f t="shared" si="17"/>
        <v>2.7520121147549252E-2</v>
      </c>
      <c r="K19" s="22">
        <f t="shared" si="21"/>
        <v>2.9922066574325872E-2</v>
      </c>
      <c r="L19" s="22">
        <f t="shared" si="22"/>
        <v>2.9922066574325872E-2</v>
      </c>
      <c r="M19" s="224">
        <f t="shared" si="23"/>
        <v>2.7520121147549252E-2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1</v>
      </c>
      <c r="F20" s="22"/>
      <c r="H20" s="24">
        <f t="shared" si="19"/>
        <v>1</v>
      </c>
      <c r="I20" s="22">
        <f t="shared" si="20"/>
        <v>1.9837829567692582E-2</v>
      </c>
      <c r="J20" s="24">
        <f t="shared" si="17"/>
        <v>1.9837829567692582E-2</v>
      </c>
      <c r="K20" s="22">
        <f t="shared" si="21"/>
        <v>1.9837829567692582E-2</v>
      </c>
      <c r="L20" s="22">
        <f t="shared" si="22"/>
        <v>1.9837829567692582E-2</v>
      </c>
      <c r="M20" s="224">
        <f t="shared" si="23"/>
        <v>1.9837829567692582E-2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18785.952030399749</v>
      </c>
      <c r="T20" s="221">
        <f>IF($B$81=0,0,(SUMIF($N$6:$N$28,$U20,M$6:M$28)+SUMIF($N$91:$N$118,$U20,M$91:M$118))*$I$83*Poor!$B$81/$B$81)</f>
        <v>18785.952030399749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-1.8822271119367845E-5</v>
      </c>
      <c r="K21" s="22">
        <f t="shared" si="21"/>
        <v>-1.7879380893079521E-5</v>
      </c>
      <c r="L21" s="22">
        <f t="shared" si="22"/>
        <v>-1.7879380893079521E-5</v>
      </c>
      <c r="M21" s="224">
        <f t="shared" si="23"/>
        <v>-1.8822271119367845E-5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2.0948341876753694E-3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2.0948341876753694E-3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1</v>
      </c>
      <c r="F23" s="22"/>
      <c r="H23" s="24">
        <f t="shared" si="19"/>
        <v>1</v>
      </c>
      <c r="I23" s="22">
        <f t="shared" si="20"/>
        <v>1.0815217221135029E-2</v>
      </c>
      <c r="J23" s="24">
        <f t="shared" si="17"/>
        <v>1.0815217221135029E-2</v>
      </c>
      <c r="K23" s="22">
        <f t="shared" si="21"/>
        <v>1.0815217221135029E-2</v>
      </c>
      <c r="L23" s="22">
        <f t="shared" si="22"/>
        <v>1.0815217221135029E-2</v>
      </c>
      <c r="M23" s="224">
        <f t="shared" si="23"/>
        <v>1.0815217221135029E-2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116844.33992479069</v>
      </c>
      <c r="T23" s="179">
        <f>SUM(T7:T22)</f>
        <v>117048.46078616465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1</v>
      </c>
      <c r="F24" s="22"/>
      <c r="H24" s="24">
        <f t="shared" si="19"/>
        <v>1</v>
      </c>
      <c r="I24" s="22">
        <f t="shared" si="20"/>
        <v>1.4175469667318983E-2</v>
      </c>
      <c r="J24" s="24">
        <f t="shared" si="17"/>
        <v>2.7716366021773044E-2</v>
      </c>
      <c r="K24" s="22">
        <f t="shared" si="21"/>
        <v>2.7038043052837576E-2</v>
      </c>
      <c r="L24" s="22">
        <f t="shared" si="22"/>
        <v>2.7038043052837576E-2</v>
      </c>
      <c r="M24" s="224">
        <f t="shared" si="23"/>
        <v>2.7716366021773044E-2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2.201644355759777E-2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2.201644355759777E-2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8.8065774230391081E-2</v>
      </c>
      <c r="Z27" s="156">
        <f>Poor!Z27</f>
        <v>0.25</v>
      </c>
      <c r="AA27" s="121">
        <f t="shared" si="16"/>
        <v>2.201644355759777E-2</v>
      </c>
      <c r="AB27" s="156">
        <f>Poor!AB27</f>
        <v>0.25</v>
      </c>
      <c r="AC27" s="121">
        <f t="shared" si="7"/>
        <v>2.201644355759777E-2</v>
      </c>
      <c r="AD27" s="156">
        <f>Poor!AD27</f>
        <v>0.25</v>
      </c>
      <c r="AE27" s="121">
        <f t="shared" si="8"/>
        <v>2.201644355759777E-2</v>
      </c>
      <c r="AF27" s="122">
        <f t="shared" si="10"/>
        <v>0.25</v>
      </c>
      <c r="AG27" s="121">
        <f t="shared" si="11"/>
        <v>2.201644355759777E-2</v>
      </c>
      <c r="AH27" s="123">
        <f t="shared" si="12"/>
        <v>1</v>
      </c>
      <c r="AI27" s="183">
        <f t="shared" si="13"/>
        <v>2.201644355759777E-2</v>
      </c>
      <c r="AJ27" s="120">
        <f t="shared" si="14"/>
        <v>2.201644355759777E-2</v>
      </c>
      <c r="AK27" s="119">
        <f t="shared" si="15"/>
        <v>2.201644355759777E-2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1.9739046341683622E-2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1.9739046341683622E-2</v>
      </c>
      <c r="N28" s="228"/>
      <c r="O28" s="2"/>
      <c r="P28" s="22"/>
      <c r="V28" s="56"/>
      <c r="W28" s="110"/>
      <c r="X28" s="118"/>
      <c r="Y28" s="183">
        <f t="shared" si="9"/>
        <v>7.8956185366734488E-2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3.9478092683367244E-2</v>
      </c>
      <c r="AF28" s="122">
        <f t="shared" si="10"/>
        <v>0.5</v>
      </c>
      <c r="AG28" s="121">
        <f t="shared" si="11"/>
        <v>3.9478092683367244E-2</v>
      </c>
      <c r="AH28" s="123">
        <f t="shared" si="12"/>
        <v>1</v>
      </c>
      <c r="AI28" s="183">
        <f t="shared" si="13"/>
        <v>1.9739046341683622E-2</v>
      </c>
      <c r="AJ28" s="120">
        <f t="shared" si="14"/>
        <v>0</v>
      </c>
      <c r="AK28" s="119">
        <f t="shared" si="15"/>
        <v>3.9478092683367244E-2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0.23228686710193597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0.23228686710193597</v>
      </c>
      <c r="N29" s="228"/>
      <c r="P29" s="22"/>
      <c r="V29" s="56"/>
      <c r="W29" s="110"/>
      <c r="X29" s="118"/>
      <c r="Y29" s="183">
        <f t="shared" si="9"/>
        <v>0.92914746840774387</v>
      </c>
      <c r="Z29" s="156">
        <f>Poor!Z29</f>
        <v>0.25</v>
      </c>
      <c r="AA29" s="121">
        <f t="shared" si="16"/>
        <v>0.23228686710193597</v>
      </c>
      <c r="AB29" s="156">
        <f>Poor!AB29</f>
        <v>0.25</v>
      </c>
      <c r="AC29" s="121">
        <f t="shared" si="7"/>
        <v>0.23228686710193597</v>
      </c>
      <c r="AD29" s="156">
        <f>Poor!AD29</f>
        <v>0.25</v>
      </c>
      <c r="AE29" s="121">
        <f t="shared" si="8"/>
        <v>0.23228686710193597</v>
      </c>
      <c r="AF29" s="122">
        <f t="shared" si="10"/>
        <v>0.25</v>
      </c>
      <c r="AG29" s="121">
        <f t="shared" si="11"/>
        <v>0.23228686710193597</v>
      </c>
      <c r="AH29" s="123">
        <f t="shared" si="12"/>
        <v>1</v>
      </c>
      <c r="AI29" s="183">
        <f t="shared" si="13"/>
        <v>0.23228686710193597</v>
      </c>
      <c r="AJ29" s="120">
        <f t="shared" si="14"/>
        <v>0.23228686710193597</v>
      </c>
      <c r="AK29" s="119">
        <f t="shared" si="15"/>
        <v>0.23228686710193597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3.8335621986758364</v>
      </c>
      <c r="J30" s="230">
        <f>IF(I$32&lt;=1,I30,1-SUM(J6:J29))</f>
        <v>0.20338948787438893</v>
      </c>
      <c r="K30" s="22">
        <f t="shared" si="4"/>
        <v>0.59584818167738329</v>
      </c>
      <c r="L30" s="22">
        <f>IF(L124=L119,0,IF(K30="",0,(L119-L124)/(B119-B124)*K30))</f>
        <v>0.33966320440579306</v>
      </c>
      <c r="M30" s="175">
        <f t="shared" si="6"/>
        <v>0.20338948787438893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0.81355795149755572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0.45105742962407969</v>
      </c>
      <c r="AC30" s="187">
        <f>IF(AC79*4/$I$84+SUM(AC6:AC29)&lt;1,AC79*4/$I$84,1-SUM(AC6:AC29))</f>
        <v>0.36696135845271916</v>
      </c>
      <c r="AD30" s="122">
        <f>IF($Y30=0,0,AE30/($Y$30))</f>
        <v>0.52761847681295138</v>
      </c>
      <c r="AE30" s="187">
        <f>IF(AE79*4/$I$84+SUM(AE6:AE29)&lt;1,AE79*4/$I$84,1-SUM(AE6:AE29))</f>
        <v>0.42924820716820533</v>
      </c>
      <c r="AF30" s="122">
        <f>IF($Y30=0,0,AG30/($Y$30))</f>
        <v>0.48777771539718878</v>
      </c>
      <c r="AG30" s="187">
        <f>IF(AG79*4/$I$84+SUM(AG6:AG29)&lt;1,AG79*4/$I$84,1-SUM(AG6:AG29))</f>
        <v>0.39683543892469464</v>
      </c>
      <c r="AH30" s="123">
        <f t="shared" si="12"/>
        <v>1.4664536218342199</v>
      </c>
      <c r="AI30" s="183">
        <f t="shared" si="13"/>
        <v>0.29826125113640478</v>
      </c>
      <c r="AJ30" s="120">
        <f t="shared" si="14"/>
        <v>0.18348067922635958</v>
      </c>
      <c r="AK30" s="119">
        <f t="shared" si="15"/>
        <v>0.41304182304644999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-0.13842360530458797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4.6730894663655</v>
      </c>
      <c r="J32" s="17"/>
      <c r="L32" s="22">
        <f>SUM(L6:L30)</f>
        <v>1.138423605304588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3.6205129469519366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-5.2736178726036545E-2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505.71428571428567</v>
      </c>
      <c r="J37" s="38">
        <f>J91*I$83</f>
        <v>328.25304415761104</v>
      </c>
      <c r="K37" s="40">
        <f>(B37/B$65)</f>
        <v>6.212870070452437E-3</v>
      </c>
      <c r="L37" s="22">
        <f t="shared" ref="L37" si="28">(K37*H37)</f>
        <v>3.6655933415669375E-3</v>
      </c>
      <c r="M37" s="24">
        <f>J37/B$65</f>
        <v>3.5689386487680165E-3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328.25304415761104</v>
      </c>
      <c r="AH37" s="123">
        <f>SUM(Z37,AB37,AD37,AF37)</f>
        <v>1</v>
      </c>
      <c r="AI37" s="112">
        <f>SUM(AA37,AC37,AE37,AG37)</f>
        <v>328.25304415761104</v>
      </c>
      <c r="AJ37" s="148">
        <f>(AA37+AC37)</f>
        <v>0</v>
      </c>
      <c r="AK37" s="147">
        <f>(AE37+AG37)</f>
        <v>328.25304415761104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130.22142857142856</v>
      </c>
      <c r="J38" s="38">
        <f t="shared" ref="J38:J64" si="32">J92*I$83</f>
        <v>130.22142857142856</v>
      </c>
      <c r="K38" s="40">
        <f t="shared" ref="K38:K64" si="33">(B38/B$65)</f>
        <v>2.3997210647122538E-3</v>
      </c>
      <c r="L38" s="22">
        <f t="shared" ref="L38:L64" si="34">(K38*H38)</f>
        <v>1.4158354281802296E-3</v>
      </c>
      <c r="M38" s="24">
        <f t="shared" ref="M38:M64" si="35">J38/B$65</f>
        <v>1.4158354281802296E-3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130.22142857142856</v>
      </c>
      <c r="AH38" s="123">
        <f t="shared" ref="AH38:AI58" si="37">SUM(Z38,AB38,AD38,AF38)</f>
        <v>1</v>
      </c>
      <c r="AI38" s="112">
        <f t="shared" si="37"/>
        <v>130.22142857142856</v>
      </c>
      <c r="AJ38" s="148">
        <f t="shared" ref="AJ38:AJ64" si="38">(AA38+AC38)</f>
        <v>0</v>
      </c>
      <c r="AK38" s="147">
        <f t="shared" ref="AK38:AK64" si="39">(AE38+AG38)</f>
        <v>130.22142857142856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5866.2857142857156</v>
      </c>
      <c r="J39" s="38">
        <f t="shared" si="32"/>
        <v>8066.8051095884821</v>
      </c>
      <c r="K39" s="40">
        <f t="shared" si="33"/>
        <v>9.163983353917346E-2</v>
      </c>
      <c r="L39" s="22">
        <f t="shared" si="34"/>
        <v>8.6508002860979746E-2</v>
      </c>
      <c r="M39" s="24">
        <f t="shared" si="35"/>
        <v>8.7706521051686373E-2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0.77934348294905897</v>
      </c>
      <c r="AA39" s="147">
        <f t="shared" ref="AA39:AA64" si="40">$J39*Z39</f>
        <v>6286.8119903779534</v>
      </c>
      <c r="AB39" s="122">
        <f>AB8</f>
        <v>0.22065651705094103</v>
      </c>
      <c r="AC39" s="147">
        <f t="shared" ref="AC39:AC64" si="41">$J39*AB39</f>
        <v>1779.9931192105291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8066.8051095884821</v>
      </c>
      <c r="AJ39" s="148">
        <f t="shared" si="38"/>
        <v>8066.8051095884821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337.14285714285711</v>
      </c>
      <c r="J40" s="38">
        <f t="shared" si="32"/>
        <v>230.6661122088523</v>
      </c>
      <c r="K40" s="40">
        <f t="shared" si="33"/>
        <v>2.7181306558229411E-3</v>
      </c>
      <c r="L40" s="22">
        <f t="shared" si="34"/>
        <v>2.5659153390968563E-3</v>
      </c>
      <c r="M40" s="24">
        <f t="shared" si="35"/>
        <v>2.5079225234175035E-3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0.77934348294905886</v>
      </c>
      <c r="AA40" s="147">
        <f t="shared" si="40"/>
        <v>179.76813128716537</v>
      </c>
      <c r="AB40" s="122">
        <f>AB9</f>
        <v>0.22065651705094116</v>
      </c>
      <c r="AC40" s="147">
        <f t="shared" si="41"/>
        <v>50.897980921686923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230.6661122088523</v>
      </c>
      <c r="AJ40" s="148">
        <f t="shared" si="38"/>
        <v>230.6661122088523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1660.7657142857142</v>
      </c>
      <c r="J41" s="38">
        <f t="shared" si="32"/>
        <v>1909.9212974312857</v>
      </c>
      <c r="K41" s="40">
        <f t="shared" si="33"/>
        <v>2.1853770472816447E-2</v>
      </c>
      <c r="L41" s="22">
        <f t="shared" si="34"/>
        <v>2.0629959326338727E-2</v>
      </c>
      <c r="M41" s="24">
        <f t="shared" si="35"/>
        <v>2.0765662515028413E-2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0.77934348294905897</v>
      </c>
      <c r="AA41" s="147">
        <f t="shared" si="40"/>
        <v>1488.4847160986837</v>
      </c>
      <c r="AB41" s="122">
        <f>AB11</f>
        <v>0.22065651705094105</v>
      </c>
      <c r="AC41" s="147">
        <f t="shared" si="41"/>
        <v>421.43658133260192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1909.9212974312857</v>
      </c>
      <c r="AJ41" s="148">
        <f t="shared" si="38"/>
        <v>1909.9212974312857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215.77142857142857</v>
      </c>
      <c r="J42" s="38">
        <f t="shared" si="32"/>
        <v>215.77142857142857</v>
      </c>
      <c r="K42" s="40">
        <f t="shared" si="33"/>
        <v>2.4851480281809749E-3</v>
      </c>
      <c r="L42" s="22">
        <f t="shared" si="34"/>
        <v>2.3459797386028401E-3</v>
      </c>
      <c r="M42" s="24">
        <f t="shared" si="35"/>
        <v>2.3459797386028401E-3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53.942857142857143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107.88571428571429</v>
      </c>
      <c r="AF42" s="122">
        <f t="shared" si="29"/>
        <v>0.25</v>
      </c>
      <c r="AG42" s="147">
        <f t="shared" si="36"/>
        <v>53.942857142857143</v>
      </c>
      <c r="AH42" s="123">
        <f t="shared" si="37"/>
        <v>1</v>
      </c>
      <c r="AI42" s="112">
        <f t="shared" si="37"/>
        <v>215.77142857142857</v>
      </c>
      <c r="AJ42" s="148">
        <f t="shared" si="38"/>
        <v>53.942857142857143</v>
      </c>
      <c r="AK42" s="147">
        <f t="shared" si="39"/>
        <v>161.82857142857142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2024.6180079811984</v>
      </c>
      <c r="K44" s="40">
        <f t="shared" si="33"/>
        <v>1.3702484940382849E-2</v>
      </c>
      <c r="L44" s="22">
        <f t="shared" si="34"/>
        <v>2.0909992019024229E-2</v>
      </c>
      <c r="M44" s="24">
        <f t="shared" si="35"/>
        <v>2.2012705095299488E-2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506.1545019952996</v>
      </c>
      <c r="AB44" s="156">
        <f>Poor!AB44</f>
        <v>0.25</v>
      </c>
      <c r="AC44" s="147">
        <f t="shared" si="41"/>
        <v>506.1545019952996</v>
      </c>
      <c r="AD44" s="156">
        <f>Poor!AD44</f>
        <v>0.25</v>
      </c>
      <c r="AE44" s="147">
        <f t="shared" si="42"/>
        <v>506.1545019952996</v>
      </c>
      <c r="AF44" s="122">
        <f t="shared" si="29"/>
        <v>0.25</v>
      </c>
      <c r="AG44" s="147">
        <f t="shared" si="36"/>
        <v>506.1545019952996</v>
      </c>
      <c r="AH44" s="123">
        <f t="shared" si="37"/>
        <v>1</v>
      </c>
      <c r="AI44" s="112">
        <f t="shared" si="37"/>
        <v>2024.6180079811984</v>
      </c>
      <c r="AJ44" s="148">
        <f t="shared" si="38"/>
        <v>1012.3090039905992</v>
      </c>
      <c r="AK44" s="147">
        <f t="shared" si="39"/>
        <v>1012.3090039905992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114.51874699417573</v>
      </c>
      <c r="K45" s="40">
        <f t="shared" si="33"/>
        <v>7.7505554128894159E-4</v>
      </c>
      <c r="L45" s="22">
        <f t="shared" si="34"/>
        <v>1.182734756006925E-3</v>
      </c>
      <c r="M45" s="24">
        <f t="shared" si="35"/>
        <v>1.2451076674852013E-3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28.629686748543932</v>
      </c>
      <c r="AB45" s="156">
        <f>Poor!AB45</f>
        <v>0.25</v>
      </c>
      <c r="AC45" s="147">
        <f t="shared" si="41"/>
        <v>28.629686748543932</v>
      </c>
      <c r="AD45" s="156">
        <f>Poor!AD45</f>
        <v>0.25</v>
      </c>
      <c r="AE45" s="147">
        <f t="shared" si="42"/>
        <v>28.629686748543932</v>
      </c>
      <c r="AF45" s="122">
        <f t="shared" si="29"/>
        <v>0.25</v>
      </c>
      <c r="AG45" s="147">
        <f t="shared" si="36"/>
        <v>28.629686748543932</v>
      </c>
      <c r="AH45" s="123">
        <f t="shared" si="37"/>
        <v>1</v>
      </c>
      <c r="AI45" s="112">
        <f t="shared" si="37"/>
        <v>114.51874699417573</v>
      </c>
      <c r="AJ45" s="148">
        <f t="shared" si="38"/>
        <v>57.259373497087864</v>
      </c>
      <c r="AK45" s="147">
        <f t="shared" si="39"/>
        <v>57.259373497087864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923.49999999999989</v>
      </c>
      <c r="J46" s="38">
        <f t="shared" si="32"/>
        <v>515.56473074366079</v>
      </c>
      <c r="K46" s="40">
        <f t="shared" si="33"/>
        <v>4.1626229472031323E-3</v>
      </c>
      <c r="L46" s="22">
        <f t="shared" si="34"/>
        <v>5.827672126084385E-3</v>
      </c>
      <c r="M46" s="24">
        <f t="shared" si="35"/>
        <v>5.6054891987817792E-3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128.8911826859152</v>
      </c>
      <c r="AB46" s="156">
        <f>Poor!AB46</f>
        <v>0.25</v>
      </c>
      <c r="AC46" s="147">
        <f t="shared" si="41"/>
        <v>128.8911826859152</v>
      </c>
      <c r="AD46" s="156">
        <f>Poor!AD46</f>
        <v>0.25</v>
      </c>
      <c r="AE46" s="147">
        <f t="shared" si="42"/>
        <v>128.8911826859152</v>
      </c>
      <c r="AF46" s="122">
        <f t="shared" si="29"/>
        <v>0.25</v>
      </c>
      <c r="AG46" s="147">
        <f t="shared" si="36"/>
        <v>128.8911826859152</v>
      </c>
      <c r="AH46" s="123">
        <f t="shared" si="37"/>
        <v>1</v>
      </c>
      <c r="AI46" s="112">
        <f t="shared" si="37"/>
        <v>515.56473074366079</v>
      </c>
      <c r="AJ46" s="148">
        <f t="shared" si="38"/>
        <v>257.78236537183039</v>
      </c>
      <c r="AK46" s="147">
        <f t="shared" si="39"/>
        <v>257.78236537183039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80</v>
      </c>
      <c r="J47" s="38">
        <f t="shared" si="32"/>
        <v>80</v>
      </c>
      <c r="K47" s="40">
        <f t="shared" si="33"/>
        <v>6.2128700704524372E-4</v>
      </c>
      <c r="L47" s="22">
        <f t="shared" si="34"/>
        <v>8.6980180986334112E-4</v>
      </c>
      <c r="M47" s="24">
        <f t="shared" si="35"/>
        <v>8.6980180986334123E-4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20</v>
      </c>
      <c r="AB47" s="156">
        <f>Poor!AB47</f>
        <v>0.25</v>
      </c>
      <c r="AC47" s="147">
        <f t="shared" si="41"/>
        <v>20</v>
      </c>
      <c r="AD47" s="156">
        <f>Poor!AD47</f>
        <v>0.25</v>
      </c>
      <c r="AE47" s="147">
        <f t="shared" si="42"/>
        <v>20</v>
      </c>
      <c r="AF47" s="122">
        <f t="shared" si="29"/>
        <v>0.25</v>
      </c>
      <c r="AG47" s="147">
        <f t="shared" si="36"/>
        <v>20</v>
      </c>
      <c r="AH47" s="123">
        <f t="shared" si="37"/>
        <v>1</v>
      </c>
      <c r="AI47" s="112">
        <f t="shared" si="37"/>
        <v>80</v>
      </c>
      <c r="AJ47" s="148">
        <f t="shared" si="38"/>
        <v>40</v>
      </c>
      <c r="AK47" s="147">
        <f t="shared" si="39"/>
        <v>40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30</v>
      </c>
      <c r="J48" s="38">
        <f t="shared" si="32"/>
        <v>126.85172844279535</v>
      </c>
      <c r="K48" s="40">
        <f t="shared" si="33"/>
        <v>9.4746268574399657E-4</v>
      </c>
      <c r="L48" s="22">
        <f t="shared" si="34"/>
        <v>1.3264477600415951E-3</v>
      </c>
      <c r="M48" s="24">
        <f t="shared" si="35"/>
        <v>1.3791982872979559E-3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31.712932110698837</v>
      </c>
      <c r="AB48" s="156">
        <f>Poor!AB48</f>
        <v>0.25</v>
      </c>
      <c r="AC48" s="147">
        <f t="shared" si="41"/>
        <v>31.712932110698837</v>
      </c>
      <c r="AD48" s="156">
        <f>Poor!AD48</f>
        <v>0.25</v>
      </c>
      <c r="AE48" s="147">
        <f t="shared" si="42"/>
        <v>31.712932110698837</v>
      </c>
      <c r="AF48" s="122">
        <f t="shared" si="29"/>
        <v>0.25</v>
      </c>
      <c r="AG48" s="147">
        <f t="shared" si="36"/>
        <v>31.712932110698837</v>
      </c>
      <c r="AH48" s="123">
        <f t="shared" si="37"/>
        <v>1</v>
      </c>
      <c r="AI48" s="112">
        <f t="shared" si="37"/>
        <v>126.85172844279535</v>
      </c>
      <c r="AJ48" s="148">
        <f t="shared" si="38"/>
        <v>63.425864221397674</v>
      </c>
      <c r="AK48" s="147">
        <f t="shared" si="39"/>
        <v>63.425864221397674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1663.7442568586282</v>
      </c>
      <c r="K49" s="40">
        <f t="shared" si="33"/>
        <v>1.227352482417879E-2</v>
      </c>
      <c r="L49" s="22">
        <f t="shared" si="34"/>
        <v>1.7182934753850305E-2</v>
      </c>
      <c r="M49" s="24">
        <f t="shared" si="35"/>
        <v>1.8089097072067181E-2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415.93606421465705</v>
      </c>
      <c r="AB49" s="156">
        <f>Poor!AB49</f>
        <v>0.25</v>
      </c>
      <c r="AC49" s="147">
        <f t="shared" si="41"/>
        <v>415.93606421465705</v>
      </c>
      <c r="AD49" s="156">
        <f>Poor!AD49</f>
        <v>0.25</v>
      </c>
      <c r="AE49" s="147">
        <f t="shared" si="42"/>
        <v>415.93606421465705</v>
      </c>
      <c r="AF49" s="122">
        <f t="shared" si="29"/>
        <v>0.25</v>
      </c>
      <c r="AG49" s="147">
        <f t="shared" si="36"/>
        <v>415.93606421465705</v>
      </c>
      <c r="AH49" s="123">
        <f t="shared" si="37"/>
        <v>1</v>
      </c>
      <c r="AI49" s="112">
        <f t="shared" si="37"/>
        <v>1663.7442568586282</v>
      </c>
      <c r="AJ49" s="148">
        <f t="shared" si="38"/>
        <v>831.8721284293141</v>
      </c>
      <c r="AK49" s="147">
        <f t="shared" si="39"/>
        <v>831.8721284293141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161.59999999999997</v>
      </c>
      <c r="J50" s="38">
        <f t="shared" si="32"/>
        <v>288.55998315435994</v>
      </c>
      <c r="K50" s="40">
        <f t="shared" si="33"/>
        <v>2.1915899173520969E-3</v>
      </c>
      <c r="L50" s="22">
        <f t="shared" si="34"/>
        <v>3.0682258842929357E-3</v>
      </c>
      <c r="M50" s="24">
        <f t="shared" si="35"/>
        <v>3.1373749450224692E-3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72.139995788589985</v>
      </c>
      <c r="AB50" s="156">
        <f>Poor!AB55</f>
        <v>0.25</v>
      </c>
      <c r="AC50" s="147">
        <f t="shared" si="41"/>
        <v>72.139995788589985</v>
      </c>
      <c r="AD50" s="156">
        <f>Poor!AD55</f>
        <v>0.25</v>
      </c>
      <c r="AE50" s="147">
        <f t="shared" si="42"/>
        <v>72.139995788589985</v>
      </c>
      <c r="AF50" s="122">
        <f t="shared" si="29"/>
        <v>0.25</v>
      </c>
      <c r="AG50" s="147">
        <f t="shared" si="36"/>
        <v>72.139995788589985</v>
      </c>
      <c r="AH50" s="123">
        <f t="shared" si="37"/>
        <v>1</v>
      </c>
      <c r="AI50" s="112">
        <f t="shared" si="37"/>
        <v>288.55998315435994</v>
      </c>
      <c r="AJ50" s="148">
        <f t="shared" si="38"/>
        <v>144.27999157717997</v>
      </c>
      <c r="AK50" s="147">
        <f t="shared" si="39"/>
        <v>144.27999157717997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318.97906215398899</v>
      </c>
      <c r="K51" s="40">
        <f t="shared" si="33"/>
        <v>2.3531245391838606E-3</v>
      </c>
      <c r="L51" s="22">
        <f t="shared" si="34"/>
        <v>3.2943743548574048E-3</v>
      </c>
      <c r="M51" s="24">
        <f t="shared" si="35"/>
        <v>3.4681070696256353E-3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79.744765538497248</v>
      </c>
      <c r="AB51" s="156">
        <f>Poor!AB56</f>
        <v>0.25</v>
      </c>
      <c r="AC51" s="147">
        <f t="shared" si="41"/>
        <v>79.744765538497248</v>
      </c>
      <c r="AD51" s="156">
        <f>Poor!AD56</f>
        <v>0.25</v>
      </c>
      <c r="AE51" s="147">
        <f t="shared" si="42"/>
        <v>79.744765538497248</v>
      </c>
      <c r="AF51" s="122">
        <f t="shared" si="29"/>
        <v>0.25</v>
      </c>
      <c r="AG51" s="147">
        <f t="shared" si="36"/>
        <v>79.744765538497248</v>
      </c>
      <c r="AH51" s="123">
        <f t="shared" si="37"/>
        <v>1</v>
      </c>
      <c r="AI51" s="112">
        <f t="shared" si="37"/>
        <v>318.97906215398899</v>
      </c>
      <c r="AJ51" s="148">
        <f t="shared" si="38"/>
        <v>159.4895310769945</v>
      </c>
      <c r="AK51" s="147">
        <f t="shared" si="39"/>
        <v>159.4895310769945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168.39999999999998</v>
      </c>
      <c r="J52" s="38">
        <f t="shared" si="32"/>
        <v>184.82268438812613</v>
      </c>
      <c r="K52" s="40">
        <f t="shared" si="33"/>
        <v>1.4289601162040604E-3</v>
      </c>
      <c r="L52" s="22">
        <f t="shared" si="34"/>
        <v>2.0005441626856843E-3</v>
      </c>
      <c r="M52" s="24">
        <f t="shared" si="35"/>
        <v>2.0094888173074151E-3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46.205671097031534</v>
      </c>
      <c r="AB52" s="156">
        <f>Poor!AB57</f>
        <v>0.25</v>
      </c>
      <c r="AC52" s="147">
        <f t="shared" si="41"/>
        <v>46.205671097031534</v>
      </c>
      <c r="AD52" s="156">
        <f>Poor!AD57</f>
        <v>0.25</v>
      </c>
      <c r="AE52" s="147">
        <f t="shared" si="42"/>
        <v>46.205671097031534</v>
      </c>
      <c r="AF52" s="122">
        <f t="shared" si="29"/>
        <v>0.25</v>
      </c>
      <c r="AG52" s="147">
        <f t="shared" si="36"/>
        <v>46.205671097031534</v>
      </c>
      <c r="AH52" s="123">
        <f t="shared" si="37"/>
        <v>1</v>
      </c>
      <c r="AI52" s="112">
        <f t="shared" si="37"/>
        <v>184.82268438812613</v>
      </c>
      <c r="AJ52" s="148">
        <f t="shared" si="38"/>
        <v>92.411342194063067</v>
      </c>
      <c r="AK52" s="147">
        <f t="shared" si="39"/>
        <v>92.411342194063067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421.09447149041455</v>
      </c>
      <c r="K53" s="40">
        <f t="shared" si="33"/>
        <v>3.1064350352262185E-3</v>
      </c>
      <c r="L53" s="22">
        <f t="shared" si="34"/>
        <v>4.3490090493167053E-3</v>
      </c>
      <c r="M53" s="24">
        <f t="shared" si="35"/>
        <v>4.578359167822621E-3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393.57428571428574</v>
      </c>
      <c r="J55" s="38">
        <f t="shared" si="32"/>
        <v>393.57428571428574</v>
      </c>
      <c r="K55" s="40">
        <f t="shared" si="33"/>
        <v>3.8550858787157372E-3</v>
      </c>
      <c r="L55" s="22">
        <f t="shared" si="34"/>
        <v>4.2791453253744685E-3</v>
      </c>
      <c r="M55" s="24">
        <f t="shared" si="35"/>
        <v>4.2791453253744685E-3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380.57142857142856</v>
      </c>
      <c r="J56" s="38">
        <f t="shared" si="32"/>
        <v>380.57142857142856</v>
      </c>
      <c r="K56" s="40">
        <f t="shared" si="33"/>
        <v>3.7277220422714621E-3</v>
      </c>
      <c r="L56" s="22">
        <f t="shared" si="34"/>
        <v>4.1377714669213229E-3</v>
      </c>
      <c r="M56" s="24">
        <f t="shared" si="35"/>
        <v>4.1377714669213229E-3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4281.4285714285725</v>
      </c>
      <c r="J57" s="38">
        <f t="shared" si="32"/>
        <v>4281.4285714285716</v>
      </c>
      <c r="K57" s="40">
        <f t="shared" si="33"/>
        <v>4.193687297555395E-2</v>
      </c>
      <c r="L57" s="22">
        <f t="shared" si="34"/>
        <v>4.6549929002864886E-2</v>
      </c>
      <c r="M57" s="24">
        <f t="shared" si="35"/>
        <v>4.6549929002864886E-2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29371.885714285712</v>
      </c>
      <c r="J58" s="38">
        <f t="shared" si="32"/>
        <v>29371.885714285716</v>
      </c>
      <c r="K58" s="40">
        <f t="shared" si="33"/>
        <v>0.33829077533613516</v>
      </c>
      <c r="L58" s="22">
        <f t="shared" si="34"/>
        <v>0.31934649191731157</v>
      </c>
      <c r="M58" s="24">
        <f t="shared" si="35"/>
        <v>0.31934649191731163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7342.971428571429</v>
      </c>
      <c r="AB58" s="156">
        <f>Poor!AB58</f>
        <v>0.25</v>
      </c>
      <c r="AC58" s="147">
        <f t="shared" si="41"/>
        <v>7342.971428571429</v>
      </c>
      <c r="AD58" s="156">
        <f>Poor!AD58</f>
        <v>0.25</v>
      </c>
      <c r="AE58" s="147">
        <f t="shared" si="42"/>
        <v>7342.971428571429</v>
      </c>
      <c r="AF58" s="122">
        <f t="shared" si="29"/>
        <v>0.25</v>
      </c>
      <c r="AG58" s="147">
        <f t="shared" si="36"/>
        <v>7342.971428571429</v>
      </c>
      <c r="AH58" s="123">
        <f t="shared" si="37"/>
        <v>1</v>
      </c>
      <c r="AI58" s="112">
        <f t="shared" si="37"/>
        <v>29371.885714285716</v>
      </c>
      <c r="AJ58" s="148">
        <f t="shared" si="38"/>
        <v>14685.942857142858</v>
      </c>
      <c r="AK58" s="147">
        <f t="shared" si="39"/>
        <v>14685.942857142858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6213.6502792041838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6.755805323387068E-2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1553.4125698010459</v>
      </c>
      <c r="AB59" s="156">
        <f>Poor!AB59</f>
        <v>0.25</v>
      </c>
      <c r="AC59" s="147">
        <f t="shared" si="41"/>
        <v>1553.4125698010459</v>
      </c>
      <c r="AD59" s="156">
        <f>Poor!AD59</f>
        <v>0.25</v>
      </c>
      <c r="AE59" s="147">
        <f t="shared" si="42"/>
        <v>1553.4125698010459</v>
      </c>
      <c r="AF59" s="122">
        <f t="shared" si="29"/>
        <v>0.25</v>
      </c>
      <c r="AG59" s="147">
        <f t="shared" si="36"/>
        <v>1553.4125698010459</v>
      </c>
      <c r="AH59" s="123">
        <f t="shared" ref="AH59:AI64" si="43">SUM(Z59,AB59,AD59,AF59)</f>
        <v>1</v>
      </c>
      <c r="AI59" s="112">
        <f t="shared" si="43"/>
        <v>6213.6502792041838</v>
      </c>
      <c r="AJ59" s="148">
        <f t="shared" si="38"/>
        <v>3106.8251396020919</v>
      </c>
      <c r="AK59" s="147">
        <f t="shared" si="39"/>
        <v>3106.8251396020919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16437.708026599779</v>
      </c>
      <c r="J61" s="38">
        <f t="shared" si="32"/>
        <v>16437.708026599779</v>
      </c>
      <c r="K61" s="40">
        <f t="shared" si="33"/>
        <v>0.15145707830022945</v>
      </c>
      <c r="L61" s="22">
        <f t="shared" si="34"/>
        <v>0.17871935239427073</v>
      </c>
      <c r="M61" s="24">
        <f t="shared" si="35"/>
        <v>0.17871935239427073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4109.4270066499448</v>
      </c>
      <c r="AB61" s="156">
        <f>Poor!AB61</f>
        <v>0.25</v>
      </c>
      <c r="AC61" s="147">
        <f t="shared" si="41"/>
        <v>4109.4270066499448</v>
      </c>
      <c r="AD61" s="156">
        <f>Poor!AD61</f>
        <v>0.25</v>
      </c>
      <c r="AE61" s="147">
        <f t="shared" si="42"/>
        <v>4109.4270066499448</v>
      </c>
      <c r="AF61" s="122">
        <f t="shared" si="29"/>
        <v>0.25</v>
      </c>
      <c r="AG61" s="147">
        <f t="shared" si="36"/>
        <v>4109.4270066499448</v>
      </c>
      <c r="AH61" s="123">
        <f t="shared" si="43"/>
        <v>1</v>
      </c>
      <c r="AI61" s="112">
        <f t="shared" si="43"/>
        <v>16437.708026599779</v>
      </c>
      <c r="AJ61" s="148">
        <f t="shared" si="38"/>
        <v>8218.8540132998896</v>
      </c>
      <c r="AK61" s="147">
        <f t="shared" si="39"/>
        <v>8218.8540132998896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87835.169455171213</v>
      </c>
      <c r="J65" s="39">
        <f>SUM(J37:J64)</f>
        <v>93053.947541397545</v>
      </c>
      <c r="K65" s="40">
        <f>SUM(K37:K64)</f>
        <v>1</v>
      </c>
      <c r="L65" s="22">
        <f>SUM(L37:L64)</f>
        <v>1.0088887297713696</v>
      </c>
      <c r="M65" s="24">
        <f>SUM(M37:M64)</f>
        <v>1.01173114983045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27182.917785822599</v>
      </c>
      <c r="AB65" s="137"/>
      <c r="AC65" s="153">
        <f>SUM(AC37:AC64)</f>
        <v>21426.237772380755</v>
      </c>
      <c r="AD65" s="137"/>
      <c r="AE65" s="153">
        <f>SUM(AE37:AE64)</f>
        <v>19281.795805201651</v>
      </c>
      <c r="AF65" s="137"/>
      <c r="AG65" s="153">
        <f>SUM(AG37:AG64)</f>
        <v>19686.327420787835</v>
      </c>
      <c r="AH65" s="137"/>
      <c r="AI65" s="153">
        <f>SUM(AI37:AI64)</f>
        <v>87577.278784192851</v>
      </c>
      <c r="AJ65" s="153">
        <f>SUM(AJ37:AJ64)</f>
        <v>48609.155558203354</v>
      </c>
      <c r="AK65" s="153">
        <f>SUM(AK37:AK64)</f>
        <v>38968.123225989482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29814.891428571424</v>
      </c>
      <c r="K72" s="40">
        <f t="shared" si="47"/>
        <v>0.27471447590519538</v>
      </c>
      <c r="L72" s="22">
        <f t="shared" si="45"/>
        <v>0.32416308156813056</v>
      </c>
      <c r="M72" s="24">
        <f t="shared" si="48"/>
        <v>0.32416308156813051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16302.542857142858</v>
      </c>
      <c r="K73" s="40">
        <f>B73/B$76</f>
        <v>0.15021166612836381</v>
      </c>
      <c r="L73" s="22">
        <f t="shared" si="45"/>
        <v>0.1772497660314693</v>
      </c>
      <c r="M73" s="24">
        <f>J73/B$76</f>
        <v>0.1772497660314693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68690.350269893941</v>
      </c>
      <c r="J74" s="51">
        <f t="shared" si="44"/>
        <v>3644.3637638465489</v>
      </c>
      <c r="K74" s="40">
        <f>B74/B$76</f>
        <v>7.0351799595530243E-2</v>
      </c>
      <c r="L74" s="22">
        <f t="shared" si="45"/>
        <v>6.6171661498491977E-2</v>
      </c>
      <c r="M74" s="24">
        <f>J74/B$76</f>
        <v>3.962342746992633E-2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3030.8295929341302</v>
      </c>
      <c r="AD74" s="156"/>
      <c r="AE74" s="147">
        <f>AE30*$I$84/4</f>
        <v>3545.2729259692355</v>
      </c>
      <c r="AF74" s="156"/>
      <c r="AG74" s="147">
        <f>AG30*$I$84/4</f>
        <v>3277.5674171506407</v>
      </c>
      <c r="AH74" s="155"/>
      <c r="AI74" s="147">
        <f>SUM(AA74,AC74,AE74,AG74)</f>
        <v>9853.6699360540078</v>
      </c>
      <c r="AJ74" s="148">
        <f>(AA74+AC74)</f>
        <v>3030.8295929341302</v>
      </c>
      <c r="AK74" s="147">
        <f>(AE74+AG74)</f>
        <v>6822.8403431198767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8012.6845922737339</v>
      </c>
      <c r="K75" s="40">
        <f>B75/B$76</f>
        <v>0.20737705423954864</v>
      </c>
      <c r="L75" s="22">
        <f t="shared" si="45"/>
        <v>5.7727440415151626E-2</v>
      </c>
      <c r="M75" s="24">
        <f>J75/B$76</f>
        <v>8.7118094502797519E-2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27506.511590892704</v>
      </c>
      <c r="AB75" s="158"/>
      <c r="AC75" s="149">
        <f>AA75+AC65-SUM(AC70,AC74)</f>
        <v>41115.714974020011</v>
      </c>
      <c r="AD75" s="158"/>
      <c r="AE75" s="149">
        <f>AC75+AE65-SUM(AE70,AE74)</f>
        <v>52066.033056933113</v>
      </c>
      <c r="AF75" s="158"/>
      <c r="AG75" s="149">
        <f>IF(SUM(AG6:AG29)+((AG65-AG70-$J$75)*4/I$83)&lt;1,0,AG65-AG70-$J$75-(1-SUM(AG6:AG29))*I$83/4)</f>
        <v>5109.7986013894188</v>
      </c>
      <c r="AH75" s="134"/>
      <c r="AI75" s="149">
        <f>AI76-SUM(AI70,AI74)</f>
        <v>58578.789662861578</v>
      </c>
      <c r="AJ75" s="151">
        <f>AJ76-SUM(AJ70,AJ74)</f>
        <v>36005.9163726306</v>
      </c>
      <c r="AK75" s="149">
        <f>AJ75+AK76-SUM(AK70,AK74)</f>
        <v>58578.789662861585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87835.169455171184</v>
      </c>
      <c r="J76" s="51">
        <f t="shared" si="44"/>
        <v>93053.947541397516</v>
      </c>
      <c r="K76" s="40">
        <f>SUM(K70:K75)</f>
        <v>1</v>
      </c>
      <c r="L76" s="22">
        <f>SUM(L70:L75)</f>
        <v>1.0088887297713696</v>
      </c>
      <c r="M76" s="24">
        <f>SUM(M70:M75)</f>
        <v>1.01173114983045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27182.917785822599</v>
      </c>
      <c r="AB76" s="137"/>
      <c r="AC76" s="153">
        <f>AC65</f>
        <v>21426.237772380755</v>
      </c>
      <c r="AD76" s="137"/>
      <c r="AE76" s="153">
        <f>AE65</f>
        <v>19281.795805201651</v>
      </c>
      <c r="AF76" s="137"/>
      <c r="AG76" s="153">
        <f>AG65</f>
        <v>19686.327420787835</v>
      </c>
      <c r="AH76" s="137"/>
      <c r="AI76" s="153">
        <f>SUM(AA76,AC76,AE76,AG76)</f>
        <v>87577.278784192837</v>
      </c>
      <c r="AJ76" s="154">
        <f>SUM(AA76,AC76)</f>
        <v>48609.155558203354</v>
      </c>
      <c r="AK76" s="154">
        <f>SUM(AE76,AG76)</f>
        <v>38968.12322598949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5109.7986013894188</v>
      </c>
      <c r="AB78" s="112"/>
      <c r="AC78" s="112">
        <f>IF(AA75&lt;0,0,AA75)</f>
        <v>27506.511590892704</v>
      </c>
      <c r="AD78" s="112"/>
      <c r="AE78" s="112">
        <f>AC75</f>
        <v>41115.714974020011</v>
      </c>
      <c r="AF78" s="112"/>
      <c r="AG78" s="112">
        <f>AE75</f>
        <v>52066.033056933113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27506.511590892704</v>
      </c>
      <c r="AB79" s="112"/>
      <c r="AC79" s="112">
        <f>AA79-AA74+AC65-AC70</f>
        <v>44146.544566954144</v>
      </c>
      <c r="AD79" s="112"/>
      <c r="AE79" s="112">
        <f>AC79-AC74+AE65-AE70</f>
        <v>55611.305982902348</v>
      </c>
      <c r="AF79" s="112"/>
      <c r="AG79" s="112">
        <f>AE79-AE74+AG65-AG70</f>
        <v>66966.155681401622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0.3575757575757576</v>
      </c>
      <c r="I91" s="22">
        <f t="shared" ref="I91" si="52">(D91*H91)</f>
        <v>2.8223573783322773E-2</v>
      </c>
      <c r="J91" s="24">
        <f>IF(I$32&lt;=1+I$131,I91,L91+J$33*(I91-L91))</f>
        <v>1.8319581378440256E-2</v>
      </c>
      <c r="K91" s="22">
        <f t="shared" ref="K91" si="53">(B91)</f>
        <v>5.2620222307889916E-2</v>
      </c>
      <c r="L91" s="22">
        <f t="shared" ref="L91" si="54">(K91*H91)</f>
        <v>1.8815715855548518E-2</v>
      </c>
      <c r="M91" s="226">
        <f t="shared" si="49"/>
        <v>1.8319581378440256E-2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0.3575757575757576</v>
      </c>
      <c r="I92" s="22">
        <f t="shared" ref="I92:I118" si="58">(D92*H92)</f>
        <v>7.2675702492056146E-3</v>
      </c>
      <c r="J92" s="24">
        <f t="shared" ref="J92:J118" si="59">IF(I$32&lt;=1+I$131,I92,L92+J$33*(I92-L92))</f>
        <v>7.2675702492056146E-3</v>
      </c>
      <c r="K92" s="22">
        <f t="shared" ref="K92:K118" si="60">(B92)</f>
        <v>2.0324560866422481E-2</v>
      </c>
      <c r="L92" s="22">
        <f t="shared" ref="L92:L118" si="61">(K92*H92)</f>
        <v>7.2675702492056146E-3</v>
      </c>
      <c r="M92" s="226">
        <f t="shared" ref="M92:M118" si="62">(J92)</f>
        <v>7.2675702492056146E-3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0.57212121212121214</v>
      </c>
      <c r="I93" s="22">
        <f t="shared" si="58"/>
        <v>0.32739345588654428</v>
      </c>
      <c r="J93" s="24">
        <f t="shared" si="59"/>
        <v>0.45020296170708751</v>
      </c>
      <c r="K93" s="22">
        <f t="shared" si="60"/>
        <v>0.7761482790413764</v>
      </c>
      <c r="L93" s="22">
        <f t="shared" si="61"/>
        <v>0.44405089419094507</v>
      </c>
      <c r="M93" s="226">
        <f t="shared" si="62"/>
        <v>0.45020296170708751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0.57212121212121214</v>
      </c>
      <c r="I94" s="22">
        <f t="shared" si="58"/>
        <v>1.8815715855548518E-2</v>
      </c>
      <c r="J94" s="24">
        <f t="shared" si="59"/>
        <v>1.2873320412619004E-2</v>
      </c>
      <c r="K94" s="22">
        <f t="shared" si="60"/>
        <v>2.3021347259701837E-2</v>
      </c>
      <c r="L94" s="22">
        <f t="shared" si="61"/>
        <v>1.3171001098883962E-2</v>
      </c>
      <c r="M94" s="226">
        <f t="shared" si="62"/>
        <v>1.2873320412619004E-2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0.57212121212121214</v>
      </c>
      <c r="I95" s="22">
        <f t="shared" si="58"/>
        <v>9.2686216304431995E-2</v>
      </c>
      <c r="J95" s="24">
        <f t="shared" si="59"/>
        <v>0.10659142164088706</v>
      </c>
      <c r="K95" s="22">
        <f t="shared" si="60"/>
        <v>0.1850916319680028</v>
      </c>
      <c r="L95" s="22">
        <f t="shared" si="61"/>
        <v>0.10589484883502706</v>
      </c>
      <c r="M95" s="226">
        <f t="shared" si="62"/>
        <v>0.10659142164088706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0.57212121212121214</v>
      </c>
      <c r="I96" s="22">
        <f t="shared" si="58"/>
        <v>1.2042058147551051E-2</v>
      </c>
      <c r="J96" s="24">
        <f t="shared" si="59"/>
        <v>1.2042058147551051E-2</v>
      </c>
      <c r="K96" s="22">
        <f t="shared" si="60"/>
        <v>2.1048088923155968E-2</v>
      </c>
      <c r="L96" s="22">
        <f t="shared" si="61"/>
        <v>1.2042058147551051E-2</v>
      </c>
      <c r="M96" s="226">
        <f t="shared" si="62"/>
        <v>1.2042058147551051E-2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0.92484848484848492</v>
      </c>
      <c r="I98" s="22">
        <f t="shared" si="58"/>
        <v>0</v>
      </c>
      <c r="J98" s="24">
        <f t="shared" si="59"/>
        <v>0.11299256783025688</v>
      </c>
      <c r="K98" s="22">
        <f t="shared" si="60"/>
        <v>0.11605390030005121</v>
      </c>
      <c r="L98" s="22">
        <f t="shared" si="61"/>
        <v>0.10733227385325948</v>
      </c>
      <c r="M98" s="226">
        <f t="shared" si="62"/>
        <v>0.11299256783025688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0.92484848484848492</v>
      </c>
      <c r="I99" s="22">
        <f t="shared" si="58"/>
        <v>0</v>
      </c>
      <c r="J99" s="24">
        <f t="shared" si="59"/>
        <v>6.3912141631487411E-3</v>
      </c>
      <c r="K99" s="22">
        <f t="shared" si="60"/>
        <v>6.5643727329092677E-3</v>
      </c>
      <c r="L99" s="22">
        <f t="shared" si="61"/>
        <v>6.0710501760118446E-3</v>
      </c>
      <c r="M99" s="226">
        <f t="shared" si="62"/>
        <v>6.3912141631487411E-3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0.84848484848484851</v>
      </c>
      <c r="I100" s="22">
        <f t="shared" si="58"/>
        <v>5.1539913198387022E-2</v>
      </c>
      <c r="J100" s="24">
        <f t="shared" si="59"/>
        <v>2.877332048801089E-2</v>
      </c>
      <c r="K100" s="22">
        <f t="shared" si="60"/>
        <v>3.5255548946286241E-2</v>
      </c>
      <c r="L100" s="22">
        <f t="shared" si="61"/>
        <v>2.9913799105939842E-2</v>
      </c>
      <c r="M100" s="226">
        <f t="shared" si="62"/>
        <v>2.877332048801089E-2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0.84848484848484851</v>
      </c>
      <c r="I101" s="22">
        <f t="shared" si="58"/>
        <v>4.4647461352149021E-3</v>
      </c>
      <c r="J101" s="24">
        <f t="shared" si="59"/>
        <v>4.4647461352149021E-3</v>
      </c>
      <c r="K101" s="22">
        <f t="shared" si="60"/>
        <v>5.262022230788992E-3</v>
      </c>
      <c r="L101" s="22">
        <f t="shared" si="61"/>
        <v>4.4647461352149021E-3</v>
      </c>
      <c r="M101" s="226">
        <f t="shared" si="62"/>
        <v>4.4647461352149021E-3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0.84848484848484851</v>
      </c>
      <c r="I102" s="22">
        <f t="shared" si="58"/>
        <v>1.6742798007055885E-3</v>
      </c>
      <c r="J102" s="24">
        <f t="shared" si="59"/>
        <v>7.0795095538787609E-3</v>
      </c>
      <c r="K102" s="22">
        <f t="shared" si="60"/>
        <v>8.0245839019532118E-3</v>
      </c>
      <c r="L102" s="22">
        <f t="shared" si="61"/>
        <v>6.8087378562027255E-3</v>
      </c>
      <c r="M102" s="226">
        <f t="shared" si="62"/>
        <v>7.0795095538787609E-3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9.2852446759944376E-2</v>
      </c>
      <c r="K103" s="22">
        <f t="shared" si="60"/>
        <v>0.10395124916923654</v>
      </c>
      <c r="L103" s="22">
        <f t="shared" si="61"/>
        <v>8.8201059901170401E-2</v>
      </c>
      <c r="M103" s="226">
        <f t="shared" si="62"/>
        <v>9.2852446759944376E-2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0.84848484848484851</v>
      </c>
      <c r="I104" s="22">
        <f t="shared" si="58"/>
        <v>9.0187871931341011E-3</v>
      </c>
      <c r="J104" s="24">
        <f t="shared" si="59"/>
        <v>1.6104338369576324E-2</v>
      </c>
      <c r="K104" s="22">
        <f t="shared" si="60"/>
        <v>1.8561783419108167E-2</v>
      </c>
      <c r="L104" s="22">
        <f t="shared" si="61"/>
        <v>1.5749391991970566E-2</v>
      </c>
      <c r="M104" s="226">
        <f t="shared" si="62"/>
        <v>1.6104338369576324E-2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1.7802006687081207E-2</v>
      </c>
      <c r="K105" s="22">
        <f t="shared" si="60"/>
        <v>1.9929909199113305E-2</v>
      </c>
      <c r="L105" s="22">
        <f t="shared" si="61"/>
        <v>1.6910225987126441E-2</v>
      </c>
      <c r="M105" s="226">
        <f t="shared" si="62"/>
        <v>1.7802006687081207E-2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0.84848484848484851</v>
      </c>
      <c r="I106" s="22">
        <f t="shared" si="58"/>
        <v>9.3982906146273682E-3</v>
      </c>
      <c r="J106" s="24">
        <f t="shared" si="59"/>
        <v>1.0314829572774123E-2</v>
      </c>
      <c r="K106" s="22">
        <f t="shared" si="60"/>
        <v>1.2102651130814679E-2</v>
      </c>
      <c r="L106" s="22">
        <f t="shared" si="61"/>
        <v>1.0268916110994274E-2</v>
      </c>
      <c r="M106" s="226">
        <f t="shared" si="62"/>
        <v>1.0314829572774123E-2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2.3500998926839878E-2</v>
      </c>
      <c r="K107" s="22">
        <f t="shared" si="60"/>
        <v>2.6310111153944958E-2</v>
      </c>
      <c r="L107" s="22">
        <f t="shared" si="61"/>
        <v>2.2323730676074509E-2</v>
      </c>
      <c r="M107" s="226">
        <f t="shared" si="62"/>
        <v>2.3500998926839878E-2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0.67272727272727284</v>
      </c>
      <c r="I109" s="22">
        <f t="shared" si="58"/>
        <v>2.1965115888285289E-2</v>
      </c>
      <c r="J109" s="24">
        <f t="shared" si="59"/>
        <v>2.1965115888285289E-2</v>
      </c>
      <c r="K109" s="22">
        <f t="shared" si="60"/>
        <v>3.2650847942045695E-2</v>
      </c>
      <c r="L109" s="22">
        <f t="shared" si="61"/>
        <v>2.1965115888285289E-2</v>
      </c>
      <c r="M109" s="226">
        <f t="shared" si="62"/>
        <v>2.1965115888285289E-2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0.67272727272727284</v>
      </c>
      <c r="I110" s="22">
        <f t="shared" si="58"/>
        <v>2.1239435186093749E-2</v>
      </c>
      <c r="J110" s="24">
        <f t="shared" si="59"/>
        <v>2.1239435186093749E-2</v>
      </c>
      <c r="K110" s="22">
        <f t="shared" si="60"/>
        <v>3.1572133384733948E-2</v>
      </c>
      <c r="L110" s="22">
        <f t="shared" si="61"/>
        <v>2.1239435186093749E-2</v>
      </c>
      <c r="M110" s="226">
        <f t="shared" si="62"/>
        <v>2.1239435186093749E-2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0.67272727272727284</v>
      </c>
      <c r="I111" s="22">
        <f t="shared" si="58"/>
        <v>0.23894364584355471</v>
      </c>
      <c r="J111" s="24">
        <f t="shared" si="59"/>
        <v>0.23894364584355471</v>
      </c>
      <c r="K111" s="22">
        <f t="shared" si="60"/>
        <v>0.35518650057825696</v>
      </c>
      <c r="L111" s="22">
        <f t="shared" si="61"/>
        <v>0.23894364584355471</v>
      </c>
      <c r="M111" s="226">
        <f t="shared" si="62"/>
        <v>0.23894364584355471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0.57212121212121214</v>
      </c>
      <c r="I112" s="22">
        <f t="shared" si="58"/>
        <v>1.6392251653353869</v>
      </c>
      <c r="J112" s="24">
        <f t="shared" si="59"/>
        <v>1.6392251653353869</v>
      </c>
      <c r="K112" s="22">
        <f t="shared" si="60"/>
        <v>2.865171104664606</v>
      </c>
      <c r="L112" s="22">
        <f t="shared" si="61"/>
        <v>1.6392251653353869</v>
      </c>
      <c r="M112" s="226">
        <f t="shared" si="62"/>
        <v>1.6392251653353869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0.34677963837067349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0.34677963837067349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0.7151515151515152</v>
      </c>
      <c r="I115" s="22">
        <f t="shared" si="58"/>
        <v>0.91737741729440436</v>
      </c>
      <c r="J115" s="24">
        <f t="shared" si="59"/>
        <v>0.91737741729440436</v>
      </c>
      <c r="K115" s="22">
        <f t="shared" si="60"/>
        <v>1.282773507233701</v>
      </c>
      <c r="L115" s="22">
        <f t="shared" si="61"/>
        <v>0.91737741729440436</v>
      </c>
      <c r="M115" s="226">
        <f t="shared" si="62"/>
        <v>0.91737741729440436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4.9020216670115202</v>
      </c>
      <c r="J119" s="24">
        <f>SUM(J91:J118)</f>
        <v>5.1932781581493108</v>
      </c>
      <c r="K119" s="22">
        <f>SUM(K91:K118)</f>
        <v>8.4695513846562669</v>
      </c>
      <c r="L119" s="22">
        <f>SUM(L91:L118)</f>
        <v>5.1786878413328523</v>
      </c>
      <c r="M119" s="57">
        <f t="shared" si="49"/>
        <v>5.1932781581493108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65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0.9098339401950486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0.9098339401950486</v>
      </c>
      <c r="M127" s="57">
        <f t="shared" si="63"/>
        <v>0.9098339401950486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3.8335621986758364</v>
      </c>
      <c r="J128" s="227">
        <f>(J30)</f>
        <v>0.20338948787438893</v>
      </c>
      <c r="K128" s="22">
        <f>(B128)</f>
        <v>0.59584818167738329</v>
      </c>
      <c r="L128" s="22">
        <f>IF(L124=L119,0,(L119-L124)/(B119-B124)*K128)</f>
        <v>0.33966320440579306</v>
      </c>
      <c r="M128" s="57">
        <f t="shared" si="63"/>
        <v>0.20338948787438893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0.44718253207562686</v>
      </c>
      <c r="K129" s="29">
        <f>(B129)</f>
        <v>1.756390616880507</v>
      </c>
      <c r="L129" s="60">
        <f>IF(SUM(L124:L128)&gt;L130,0,L130-SUM(L124:L128))</f>
        <v>0.29631849872776339</v>
      </c>
      <c r="M129" s="57">
        <f t="shared" si="63"/>
        <v>0.44718253207562686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4.9020216670115202</v>
      </c>
      <c r="J130" s="227">
        <f>(J119)</f>
        <v>5.1932781581493108</v>
      </c>
      <c r="K130" s="22">
        <f>(B130)</f>
        <v>8.4695513846562669</v>
      </c>
      <c r="L130" s="22">
        <f>(L119)</f>
        <v>5.1786878413328523</v>
      </c>
      <c r="M130" s="57">
        <f t="shared" si="63"/>
        <v>5.1932781581493108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4.2537564577279641E-2</v>
      </c>
      <c r="J6" s="24">
        <f t="shared" ref="J6:J13" si="3">IF(I$32&lt;=1+I$131,I6,B6*H6+J$33*(I6-B6*H6))</f>
        <v>4.4850368448515018E-2</v>
      </c>
      <c r="K6" s="22">
        <f t="shared" ref="K6:K31" si="4">B6</f>
        <v>8.9544227179821689E-2</v>
      </c>
      <c r="L6" s="22">
        <f t="shared" ref="L6:L29" si="5">IF(K6="","",K6*H6)</f>
        <v>4.4772113589910845E-2</v>
      </c>
      <c r="M6" s="177">
        <f t="shared" ref="M6:M31" si="6">J6</f>
        <v>4.4850368448515018E-2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0.17940147379406007</v>
      </c>
      <c r="Z6" s="156">
        <f>Poor!Z6</f>
        <v>0.17</v>
      </c>
      <c r="AA6" s="121">
        <f>$M6*Z6*4</f>
        <v>3.0498250544990214E-2</v>
      </c>
      <c r="AB6" s="156">
        <f>Poor!AB6</f>
        <v>0.17</v>
      </c>
      <c r="AC6" s="121">
        <f t="shared" ref="AC6:AC29" si="7">$M6*AB6*4</f>
        <v>3.0498250544990214E-2</v>
      </c>
      <c r="AD6" s="156">
        <f>Poor!AD6</f>
        <v>0.33</v>
      </c>
      <c r="AE6" s="121">
        <f t="shared" ref="AE6:AE29" si="8">$M6*AD6*4</f>
        <v>5.9202486352039826E-2</v>
      </c>
      <c r="AF6" s="122">
        <f>1-SUM(Z6,AB6,AD6)</f>
        <v>0.32999999999999996</v>
      </c>
      <c r="AG6" s="121">
        <f>$M6*AF6*4</f>
        <v>5.920248635203982E-2</v>
      </c>
      <c r="AH6" s="123">
        <f>SUM(Z6,AB6,AD6,AF6)</f>
        <v>1</v>
      </c>
      <c r="AI6" s="183">
        <f>SUM(AA6,AC6,AE6,AG6)/4</f>
        <v>4.4850368448515018E-2</v>
      </c>
      <c r="AJ6" s="120">
        <f>(AA6+AC6)/2</f>
        <v>3.0498250544990214E-2</v>
      </c>
      <c r="AK6" s="119">
        <f>(AE6+AG6)/2</f>
        <v>5.9202486352039826E-2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7.7762305639565909E-3</v>
      </c>
      <c r="J7" s="24">
        <f t="shared" si="3"/>
        <v>7.7762305639565909E-3</v>
      </c>
      <c r="K7" s="22">
        <f t="shared" si="4"/>
        <v>1.5552461127913182E-2</v>
      </c>
      <c r="L7" s="22">
        <f t="shared" si="5"/>
        <v>7.7762305639565909E-3</v>
      </c>
      <c r="M7" s="177">
        <f t="shared" si="6"/>
        <v>7.7762305639565909E-3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9404.2954636005397</v>
      </c>
      <c r="T7" s="221">
        <f>IF($B$81=0,0,(SUMIF($N$6:$N$28,$U7,M$6:M$28)+SUMIF($N$91:$N$118,$U7,M$91:M$118))*$I$83*Poor!$B$81/$B$81)</f>
        <v>8880.7304637512607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3.1104922255826364E-2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3.1104922255826364E-2</v>
      </c>
      <c r="AH7" s="123">
        <f t="shared" ref="AH7:AH30" si="12">SUM(Z7,AB7,AD7,AF7)</f>
        <v>1</v>
      </c>
      <c r="AI7" s="183">
        <f t="shared" ref="AI7:AI30" si="13">SUM(AA7,AC7,AE7,AG7)/4</f>
        <v>7.7762305639565909E-3</v>
      </c>
      <c r="AJ7" s="120">
        <f t="shared" ref="AJ7:AJ31" si="14">(AA7+AC7)/2</f>
        <v>0</v>
      </c>
      <c r="AK7" s="119">
        <f t="shared" ref="AK7:AK31" si="15">(AE7+AG7)/2</f>
        <v>1.5552461127913182E-2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4.3638055302289036E-2</v>
      </c>
      <c r="J8" s="24">
        <f t="shared" si="3"/>
        <v>4.3638055302289036E-2</v>
      </c>
      <c r="K8" s="22">
        <f t="shared" si="4"/>
        <v>8.7276110604578072E-2</v>
      </c>
      <c r="L8" s="22">
        <f t="shared" si="5"/>
        <v>4.3638055302289036E-2</v>
      </c>
      <c r="M8" s="223">
        <f t="shared" si="6"/>
        <v>4.3638055302289036E-2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28556.454285714284</v>
      </c>
      <c r="T8" s="221">
        <f>IF($B$81=0,0,(SUMIF($N$6:$N$28,$U8,M$6:M$28)+SUMIF($N$91:$N$118,$U8,M$91:M$118))*$I$83*Poor!$B$81/$B$81)</f>
        <v>29208.166305209328</v>
      </c>
      <c r="U8" s="222">
        <v>2</v>
      </c>
      <c r="V8" s="56"/>
      <c r="W8" s="115"/>
      <c r="X8" s="118">
        <f>Poor!X8</f>
        <v>1</v>
      </c>
      <c r="Y8" s="183">
        <f t="shared" si="9"/>
        <v>0.17455222120915614</v>
      </c>
      <c r="Z8" s="125">
        <f>IF($Y8=0,0,AA8/$Y8)</f>
        <v>0.55359275464909974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9.6630844969295762E-2</v>
      </c>
      <c r="AB8" s="125">
        <f>IF($Y8=0,0,AC8/$Y8)</f>
        <v>0.40718295371483881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7.1074689009430134E-2</v>
      </c>
      <c r="AD8" s="125">
        <f>IF($Y8=0,0,AE8/$Y8)</f>
        <v>3.9224291636061434E-2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6.8466872304302484E-3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4.3638055302289036E-2</v>
      </c>
      <c r="AJ8" s="120">
        <f t="shared" si="14"/>
        <v>8.3852766989362948E-2</v>
      </c>
      <c r="AK8" s="119">
        <f t="shared" si="15"/>
        <v>3.4233436152151242E-3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0.17648162296151337</v>
      </c>
      <c r="J9" s="24">
        <f t="shared" si="3"/>
        <v>4.2153974120162543E-2</v>
      </c>
      <c r="K9" s="22">
        <f t="shared" si="4"/>
        <v>4.6699016307893013E-2</v>
      </c>
      <c r="L9" s="22">
        <f t="shared" si="5"/>
        <v>4.6699016307893013E-2</v>
      </c>
      <c r="M9" s="223">
        <f t="shared" si="6"/>
        <v>4.2153974120162543E-2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1969.6943178407644</v>
      </c>
      <c r="T9" s="221">
        <f>IF($B$81=0,0,(SUMIF($N$6:$N$28,$U9,M$6:M$28)+SUMIF($N$91:$N$118,$U9,M$91:M$118))*$I$83*Poor!$B$81/$B$81)</f>
        <v>1971.2968120728758</v>
      </c>
      <c r="U9" s="222">
        <v>3</v>
      </c>
      <c r="V9" s="56"/>
      <c r="W9" s="115"/>
      <c r="X9" s="118">
        <f>Poor!X9</f>
        <v>1</v>
      </c>
      <c r="Y9" s="183">
        <f t="shared" si="9"/>
        <v>0.16861589648065017</v>
      </c>
      <c r="Z9" s="125">
        <f>IF($Y9=0,0,AA9/$Y9)</f>
        <v>0.55359275464909974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9.3344538610350566E-2</v>
      </c>
      <c r="AB9" s="125">
        <f>IF($Y9=0,0,AC9/$Y9)</f>
        <v>0.40718295371483887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6.865751877226664E-2</v>
      </c>
      <c r="AD9" s="125">
        <f>IF($Y9=0,0,AE9/$Y9)</f>
        <v>3.9224291636061434E-2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6.613839098032967E-3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4.2153974120162543E-2</v>
      </c>
      <c r="AJ9" s="120">
        <f t="shared" si="14"/>
        <v>8.1001028691308596E-2</v>
      </c>
      <c r="AK9" s="119">
        <f t="shared" si="15"/>
        <v>3.3069195490164835E-3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0.68671900800213503</v>
      </c>
      <c r="J10" s="24">
        <f t="shared" si="3"/>
        <v>0.14830980991841539</v>
      </c>
      <c r="K10" s="22">
        <f t="shared" si="4"/>
        <v>0.15277720223269881</v>
      </c>
      <c r="L10" s="22">
        <f t="shared" si="5"/>
        <v>0.16652715043364172</v>
      </c>
      <c r="M10" s="223">
        <f t="shared" si="6"/>
        <v>0.14830980991841539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969.52653061224487</v>
      </c>
      <c r="T10" s="221">
        <f>IF($B$81=0,0,(SUMIF($N$6:$N$28,$U10,M$6:M$28)+SUMIF($N$91:$N$118,$U10,M$91:M$118))*$I$83*Poor!$B$81/$B$81)</f>
        <v>959.40634216668138</v>
      </c>
      <c r="U10" s="222">
        <v>4</v>
      </c>
      <c r="V10" s="56"/>
      <c r="W10" s="115"/>
      <c r="X10" s="118">
        <f>Poor!X10</f>
        <v>1</v>
      </c>
      <c r="Y10" s="183">
        <f t="shared" si="9"/>
        <v>0.59323923967366154</v>
      </c>
      <c r="Z10" s="125">
        <f>IF($Y10=0,0,AA10/$Y10)</f>
        <v>0.55359275464909985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0.32841294485687983</v>
      </c>
      <c r="AB10" s="125">
        <f>IF($Y10=0,0,AC10/$Y10)</f>
        <v>0.40718295371483876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0.24155690586986667</v>
      </c>
      <c r="AD10" s="125">
        <f>IF($Y10=0,0,AE10/$Y10)</f>
        <v>3.9224291636061434E-2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2.3269388946915048E-2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0.14830980991841541</v>
      </c>
      <c r="AJ10" s="120">
        <f t="shared" si="14"/>
        <v>0.28498492536337328</v>
      </c>
      <c r="AK10" s="119">
        <f t="shared" si="15"/>
        <v>1.1634694473457524E-2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2.8087877628535849E-2</v>
      </c>
      <c r="J11" s="24">
        <f t="shared" si="3"/>
        <v>2.8087877628535849E-2</v>
      </c>
      <c r="K11" s="22">
        <f t="shared" si="4"/>
        <v>2.5768695072051234E-2</v>
      </c>
      <c r="L11" s="22">
        <f t="shared" si="5"/>
        <v>2.8087877628535849E-2</v>
      </c>
      <c r="M11" s="223">
        <f t="shared" si="6"/>
        <v>2.8087877628535849E-2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24264.460408163264</v>
      </c>
      <c r="T11" s="221">
        <f>IF($B$81=0,0,(SUMIF($N$6:$N$28,$U11,M$6:M$28)+SUMIF($N$91:$N$118,$U11,M$91:M$118))*$I$83*Poor!$B$81/$B$81)</f>
        <v>24195.896806123801</v>
      </c>
      <c r="U11" s="222">
        <v>5</v>
      </c>
      <c r="V11" s="56"/>
      <c r="W11" s="115"/>
      <c r="X11" s="118">
        <f>Poor!X11</f>
        <v>1</v>
      </c>
      <c r="Y11" s="183">
        <f t="shared" si="9"/>
        <v>0.1123515105141434</v>
      </c>
      <c r="Z11" s="125">
        <f>IF($Y11=0,0,AA11/$Y11)</f>
        <v>0.55359275464909974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6.2196982194511939E-2</v>
      </c>
      <c r="AB11" s="125">
        <f>IF($Y11=0,0,AC11/$Y11)</f>
        <v>0.40718295371483876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4.5747619905472672E-2</v>
      </c>
      <c r="AD11" s="125">
        <f>IF($Y11=0,0,AE11/$Y11)</f>
        <v>3.9224291636061448E-2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4.4069084141587847E-3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2.8087877628535846E-2</v>
      </c>
      <c r="AJ11" s="120">
        <f t="shared" si="14"/>
        <v>5.3972301049992302E-2</v>
      </c>
      <c r="AK11" s="119">
        <f t="shared" si="15"/>
        <v>2.2034542070793924E-3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1</v>
      </c>
      <c r="H12" s="24">
        <f t="shared" si="1"/>
        <v>1</v>
      </c>
      <c r="I12" s="22">
        <f t="shared" si="2"/>
        <v>5.7218084335527476E-2</v>
      </c>
      <c r="J12" s="24">
        <f t="shared" si="3"/>
        <v>6.2667113478763137E-2</v>
      </c>
      <c r="K12" s="22">
        <f t="shared" si="4"/>
        <v>6.2482742892723708E-2</v>
      </c>
      <c r="L12" s="22">
        <f t="shared" si="5"/>
        <v>6.2482742892723708E-2</v>
      </c>
      <c r="M12" s="223">
        <f t="shared" si="6"/>
        <v>6.2667113478763137E-2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33.945358157319767</v>
      </c>
      <c r="U12" s="222">
        <v>6</v>
      </c>
      <c r="V12" s="56"/>
      <c r="W12" s="117"/>
      <c r="X12" s="118"/>
      <c r="Y12" s="183">
        <f t="shared" si="9"/>
        <v>0.25066845391505255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0.16794786412308521</v>
      </c>
      <c r="AF12" s="122">
        <f>1-SUM(Z12,AB12,AD12)</f>
        <v>0.32999999999999996</v>
      </c>
      <c r="AG12" s="121">
        <f>$M12*AF12*4</f>
        <v>8.2720589791967336E-2</v>
      </c>
      <c r="AH12" s="123">
        <f t="shared" si="12"/>
        <v>1</v>
      </c>
      <c r="AI12" s="183">
        <f t="shared" si="13"/>
        <v>6.2667113478763137E-2</v>
      </c>
      <c r="AJ12" s="120">
        <f t="shared" si="14"/>
        <v>0</v>
      </c>
      <c r="AK12" s="119">
        <f t="shared" si="15"/>
        <v>0.12533422695752627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1</v>
      </c>
      <c r="F14" s="22"/>
      <c r="H14" s="24">
        <f t="shared" si="1"/>
        <v>1</v>
      </c>
      <c r="I14" s="22">
        <f t="shared" si="2"/>
        <v>7.8259829745596865E-2</v>
      </c>
      <c r="J14" s="24">
        <f>IF(I$32&lt;=1+I131,I14,B14*H14+J$33*(I14-B14*H14))</f>
        <v>3.9126537420651461E-2</v>
      </c>
      <c r="K14" s="22">
        <f t="shared" si="4"/>
        <v>4.0450631649172744E-2</v>
      </c>
      <c r="L14" s="22">
        <f t="shared" si="5"/>
        <v>4.0450631649172744E-2</v>
      </c>
      <c r="M14" s="224">
        <f t="shared" si="6"/>
        <v>3.9126537420651461E-2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121836.87836734694</v>
      </c>
      <c r="T14" s="221">
        <f>IF($B$81=0,0,(SUMIF($N$6:$N$28,$U14,M$6:M$28)+SUMIF($N$91:$N$118,$U14,M$91:M$118))*$I$83*Poor!$B$81/$B$81)</f>
        <v>121836.87836734694</v>
      </c>
      <c r="U14" s="222">
        <v>8</v>
      </c>
      <c r="V14" s="56"/>
      <c r="W14" s="110"/>
      <c r="X14" s="118"/>
      <c r="Y14" s="183">
        <f>M14*4</f>
        <v>0.15650614968260584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0.15650614968260584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3.9126537420651461E-2</v>
      </c>
      <c r="AJ14" s="120">
        <f t="shared" si="14"/>
        <v>7.8253074841302922E-2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1</v>
      </c>
      <c r="F15" s="22"/>
      <c r="H15" s="24">
        <f t="shared" si="1"/>
        <v>1</v>
      </c>
      <c r="I15" s="22">
        <f t="shared" si="2"/>
        <v>4.1386024328411319E-2</v>
      </c>
      <c r="J15" s="24">
        <f>IF(I$32&lt;=1+I131,I15,B15*H15+J$33*(I15-B15*H15))</f>
        <v>1.8632088602516646E-2</v>
      </c>
      <c r="K15" s="22">
        <f t="shared" si="4"/>
        <v>1.9401979229674435E-2</v>
      </c>
      <c r="L15" s="22">
        <f t="shared" si="5"/>
        <v>1.9401979229674435E-2</v>
      </c>
      <c r="M15" s="225">
        <f t="shared" si="6"/>
        <v>1.8632088602516646E-2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7.4528354410066583E-2</v>
      </c>
      <c r="Z15" s="156">
        <f>Poor!Z15</f>
        <v>0.25</v>
      </c>
      <c r="AA15" s="121">
        <f t="shared" si="16"/>
        <v>1.8632088602516646E-2</v>
      </c>
      <c r="AB15" s="156">
        <f>Poor!AB15</f>
        <v>0.25</v>
      </c>
      <c r="AC15" s="121">
        <f t="shared" si="7"/>
        <v>1.8632088602516646E-2</v>
      </c>
      <c r="AD15" s="156">
        <f>Poor!AD15</f>
        <v>0.25</v>
      </c>
      <c r="AE15" s="121">
        <f t="shared" si="8"/>
        <v>1.8632088602516646E-2</v>
      </c>
      <c r="AF15" s="122">
        <f t="shared" si="10"/>
        <v>0.25</v>
      </c>
      <c r="AG15" s="121">
        <f t="shared" si="11"/>
        <v>1.8632088602516646E-2</v>
      </c>
      <c r="AH15" s="123">
        <f t="shared" si="12"/>
        <v>1</v>
      </c>
      <c r="AI15" s="183">
        <f t="shared" si="13"/>
        <v>1.8632088602516646E-2</v>
      </c>
      <c r="AJ15" s="120">
        <f t="shared" si="14"/>
        <v>1.8632088602516646E-2</v>
      </c>
      <c r="AK15" s="119">
        <f t="shared" si="15"/>
        <v>1.8632088602516646E-2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1</v>
      </c>
      <c r="F16" s="22"/>
      <c r="H16" s="24">
        <f t="shared" si="1"/>
        <v>1</v>
      </c>
      <c r="I16" s="22">
        <f t="shared" si="2"/>
        <v>1.7399039316847539E-2</v>
      </c>
      <c r="J16" s="24">
        <f>IF(I$32&lt;=1+I131,I16,B16*H16+J$33*(I16-B16*H16))</f>
        <v>9.1428031724925876E-3</v>
      </c>
      <c r="K16" s="22">
        <f t="shared" si="4"/>
        <v>9.422156990650141E-3</v>
      </c>
      <c r="L16" s="22">
        <f t="shared" si="5"/>
        <v>9.422156990650141E-3</v>
      </c>
      <c r="M16" s="223">
        <f t="shared" si="6"/>
        <v>9.1428031724925876E-3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778.18455362066959</v>
      </c>
      <c r="U16" s="222">
        <v>10</v>
      </c>
      <c r="V16" s="56"/>
      <c r="W16" s="110"/>
      <c r="X16" s="118"/>
      <c r="Y16" s="183">
        <f t="shared" si="9"/>
        <v>3.657121268997035E-2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3.657121268997035E-2</v>
      </c>
      <c r="AH16" s="123">
        <f t="shared" si="12"/>
        <v>1</v>
      </c>
      <c r="AI16" s="183">
        <f t="shared" si="13"/>
        <v>9.1428031724925876E-3</v>
      </c>
      <c r="AJ16" s="120">
        <f t="shared" si="14"/>
        <v>0</v>
      </c>
      <c r="AK16" s="119">
        <f t="shared" si="15"/>
        <v>1.8285606344985175E-2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1</v>
      </c>
      <c r="F17" s="22"/>
      <c r="H17" s="24">
        <f t="shared" si="1"/>
        <v>1</v>
      </c>
      <c r="I17" s="22">
        <f t="shared" si="2"/>
        <v>1.100619089130048E-2</v>
      </c>
      <c r="J17" s="24">
        <f t="shared" ref="J17:J25" si="17">IF(I$32&lt;=1+I131,I17,B17*H17+J$33*(I17-B17*H17))</f>
        <v>6.287356735977653E-3</v>
      </c>
      <c r="K17" s="22">
        <f t="shared" si="4"/>
        <v>6.4470208148016362E-3</v>
      </c>
      <c r="L17" s="22">
        <f t="shared" si="5"/>
        <v>6.4470208148016362E-3</v>
      </c>
      <c r="M17" s="224">
        <f t="shared" si="6"/>
        <v>6.287356735977653E-3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2.5149426943910612E-2</v>
      </c>
      <c r="Z17" s="156">
        <f>Poor!Z17</f>
        <v>0.29409999999999997</v>
      </c>
      <c r="AA17" s="121">
        <f t="shared" si="16"/>
        <v>7.3964464642041101E-3</v>
      </c>
      <c r="AB17" s="156">
        <f>Poor!AB17</f>
        <v>0.17649999999999999</v>
      </c>
      <c r="AC17" s="121">
        <f t="shared" si="7"/>
        <v>4.4388738556002229E-3</v>
      </c>
      <c r="AD17" s="156">
        <f>Poor!AD17</f>
        <v>0.23530000000000001</v>
      </c>
      <c r="AE17" s="121">
        <f t="shared" si="8"/>
        <v>5.917660159902167E-3</v>
      </c>
      <c r="AF17" s="122">
        <f t="shared" si="10"/>
        <v>0.29410000000000003</v>
      </c>
      <c r="AG17" s="121">
        <f t="shared" si="11"/>
        <v>7.3964464642041119E-3</v>
      </c>
      <c r="AH17" s="123">
        <f t="shared" si="12"/>
        <v>1</v>
      </c>
      <c r="AI17" s="183">
        <f t="shared" si="13"/>
        <v>6.287356735977653E-3</v>
      </c>
      <c r="AJ17" s="120">
        <f t="shared" si="14"/>
        <v>5.9176601599021661E-3</v>
      </c>
      <c r="AK17" s="119">
        <f t="shared" si="15"/>
        <v>6.6570533120531399E-3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1.1033878313467353E-2</v>
      </c>
      <c r="J18" s="24">
        <f t="shared" si="17"/>
        <v>9.5422978286174836E-3</v>
      </c>
      <c r="K18" s="22">
        <f t="shared" ref="K18:K25" si="21">B18</f>
        <v>9.5927661892901608E-3</v>
      </c>
      <c r="L18" s="22">
        <f t="shared" ref="L18:L25" si="22">IF(K18="","",K18*H18)</f>
        <v>9.5927661892901608E-3</v>
      </c>
      <c r="M18" s="224">
        <f t="shared" ref="M18:M25" si="23">J18</f>
        <v>9.5422978286174836E-3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1</v>
      </c>
      <c r="F19" s="22"/>
      <c r="H19" s="24">
        <f t="shared" si="19"/>
        <v>1</v>
      </c>
      <c r="I19" s="22">
        <f t="shared" si="20"/>
        <v>5.6893260202810894E-2</v>
      </c>
      <c r="J19" s="24">
        <f t="shared" si="17"/>
        <v>4.3429762006585784E-2</v>
      </c>
      <c r="K19" s="22">
        <f t="shared" si="21"/>
        <v>4.3885306102117064E-2</v>
      </c>
      <c r="L19" s="22">
        <f t="shared" si="22"/>
        <v>4.3885306102117064E-2</v>
      </c>
      <c r="M19" s="224">
        <f t="shared" si="23"/>
        <v>4.3429762006585784E-2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1</v>
      </c>
      <c r="F20" s="22"/>
      <c r="H20" s="24">
        <f t="shared" si="19"/>
        <v>1</v>
      </c>
      <c r="I20" s="22">
        <f t="shared" si="20"/>
        <v>2.1976789539227902E-2</v>
      </c>
      <c r="J20" s="24">
        <f t="shared" si="17"/>
        <v>2.3156319513557944E-2</v>
      </c>
      <c r="K20" s="22">
        <f t="shared" si="21"/>
        <v>2.3116409535669815E-2</v>
      </c>
      <c r="L20" s="22">
        <f t="shared" si="22"/>
        <v>2.3116409535669815E-2</v>
      </c>
      <c r="M20" s="224">
        <f t="shared" si="23"/>
        <v>2.3156319513557944E-2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11722.134887542605</v>
      </c>
      <c r="T20" s="221">
        <f>IF($B$81=0,0,(SUMIF($N$6:$N$28,$U20,M$6:M$28)+SUMIF($N$91:$N$118,$U20,M$91:M$118))*$I$83*Poor!$B$81/$B$81)</f>
        <v>11722.134887542605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1</v>
      </c>
      <c r="F21" s="22"/>
      <c r="H21" s="24">
        <f t="shared" si="19"/>
        <v>1</v>
      </c>
      <c r="I21" s="22">
        <f t="shared" si="20"/>
        <v>2.8490499911047852E-3</v>
      </c>
      <c r="J21" s="24">
        <f t="shared" si="17"/>
        <v>3.1381988103342134E-3</v>
      </c>
      <c r="K21" s="22">
        <f t="shared" si="21"/>
        <v>3.1284153175591529E-3</v>
      </c>
      <c r="L21" s="22">
        <f t="shared" si="22"/>
        <v>3.1284153175591529E-3</v>
      </c>
      <c r="M21" s="224">
        <f t="shared" si="23"/>
        <v>3.1381988103342134E-3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1.6576591351400839E-3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1.6576591351400839E-3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249852.76790756031</v>
      </c>
      <c r="T23" s="179">
        <f>SUM(T7:T22)</f>
        <v>249898.04489500157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3.2308649410119371E-2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3.2308649410119371E-2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0.12923459764047748</v>
      </c>
      <c r="Z27" s="156">
        <f>Poor!Z27</f>
        <v>0.25</v>
      </c>
      <c r="AA27" s="121">
        <f t="shared" si="16"/>
        <v>3.2308649410119371E-2</v>
      </c>
      <c r="AB27" s="156">
        <f>Poor!AB27</f>
        <v>0.25</v>
      </c>
      <c r="AC27" s="121">
        <f t="shared" si="7"/>
        <v>3.2308649410119371E-2</v>
      </c>
      <c r="AD27" s="156">
        <f>Poor!AD27</f>
        <v>0.25</v>
      </c>
      <c r="AE27" s="121">
        <f t="shared" si="8"/>
        <v>3.2308649410119371E-2</v>
      </c>
      <c r="AF27" s="122">
        <f t="shared" si="10"/>
        <v>0.25</v>
      </c>
      <c r="AG27" s="121">
        <f t="shared" si="11"/>
        <v>3.2308649410119371E-2</v>
      </c>
      <c r="AH27" s="123">
        <f t="shared" si="12"/>
        <v>1</v>
      </c>
      <c r="AI27" s="183">
        <f t="shared" si="13"/>
        <v>3.2308649410119371E-2</v>
      </c>
      <c r="AJ27" s="120">
        <f t="shared" si="14"/>
        <v>3.2308649410119371E-2</v>
      </c>
      <c r="AK27" s="119">
        <f t="shared" si="15"/>
        <v>3.2308649410119371E-2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2.6130497141655832E-2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2.6130497141655832E-2</v>
      </c>
      <c r="N28" s="228"/>
      <c r="O28" s="2"/>
      <c r="P28" s="22"/>
      <c r="V28" s="56"/>
      <c r="W28" s="110"/>
      <c r="X28" s="118"/>
      <c r="Y28" s="183">
        <f t="shared" si="9"/>
        <v>0.10452198856662333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5.2260994283311664E-2</v>
      </c>
      <c r="AF28" s="122">
        <f t="shared" si="10"/>
        <v>0.5</v>
      </c>
      <c r="AG28" s="121">
        <f t="shared" si="11"/>
        <v>5.2260994283311664E-2</v>
      </c>
      <c r="AH28" s="123">
        <f t="shared" si="12"/>
        <v>1</v>
      </c>
      <c r="AI28" s="183">
        <f t="shared" si="13"/>
        <v>2.6130497141655832E-2</v>
      </c>
      <c r="AJ28" s="120">
        <f t="shared" si="14"/>
        <v>0</v>
      </c>
      <c r="AK28" s="119">
        <f t="shared" si="15"/>
        <v>5.2260994283311664E-2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0.27691334353836361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0.27691334353836361</v>
      </c>
      <c r="N29" s="228"/>
      <c r="P29" s="22"/>
      <c r="V29" s="56"/>
      <c r="W29" s="110"/>
      <c r="X29" s="118"/>
      <c r="Y29" s="183">
        <f t="shared" si="9"/>
        <v>1.1076533741534544</v>
      </c>
      <c r="Z29" s="156">
        <f>Poor!Z29</f>
        <v>0.25</v>
      </c>
      <c r="AA29" s="121">
        <f t="shared" si="16"/>
        <v>0.27691334353836361</v>
      </c>
      <c r="AB29" s="156">
        <f>Poor!AB29</f>
        <v>0.25</v>
      </c>
      <c r="AC29" s="121">
        <f t="shared" si="7"/>
        <v>0.27691334353836361</v>
      </c>
      <c r="AD29" s="156">
        <f>Poor!AD29</f>
        <v>0.25</v>
      </c>
      <c r="AE29" s="121">
        <f t="shared" si="8"/>
        <v>0.27691334353836361</v>
      </c>
      <c r="AF29" s="122">
        <f t="shared" si="10"/>
        <v>0.25</v>
      </c>
      <c r="AG29" s="121">
        <f t="shared" si="11"/>
        <v>0.27691334353836361</v>
      </c>
      <c r="AH29" s="123">
        <f t="shared" si="12"/>
        <v>1</v>
      </c>
      <c r="AI29" s="183">
        <f t="shared" si="13"/>
        <v>0.27691334353836361</v>
      </c>
      <c r="AJ29" s="120">
        <f t="shared" si="14"/>
        <v>0.27691334353836361</v>
      </c>
      <c r="AK29" s="119">
        <f t="shared" si="15"/>
        <v>0.27691334353836361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9.7228473612829394</v>
      </c>
      <c r="J30" s="230">
        <f>IF(I$32&lt;=1,I30,1-SUM(J6:J29))</f>
        <v>7.1745471623619439E-2</v>
      </c>
      <c r="K30" s="22">
        <f t="shared" si="4"/>
        <v>0.57492883275217932</v>
      </c>
      <c r="L30" s="22">
        <f>IF(L124=L119,0,IF(K30="",0,(L119-L124)/(B119-B124)*K30))</f>
        <v>0.33824269268045565</v>
      </c>
      <c r="M30" s="175">
        <f t="shared" si="6"/>
        <v>7.1745471623619439E-2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0.28698188649447776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3.8686170691351976E-16</v>
      </c>
      <c r="AC30" s="187">
        <f>IF(AC79*4/$I$83+SUM(AC6:AC29)&lt;1,AC79*4/$I$83,1-SUM(AC6:AC29))</f>
        <v>1.1102230246251565E-16</v>
      </c>
      <c r="AD30" s="122">
        <f>IF($Y30=0,0,AE30/($Y$30))</f>
        <v>1.0175352270463787</v>
      </c>
      <c r="AE30" s="187">
        <f>IF(AE79*4/$I$83+SUM(AE6:AE29)&lt;1,AE79*4/$I$83,1-SUM(AE6:AE29))</f>
        <v>0.29201417903235649</v>
      </c>
      <c r="AF30" s="122">
        <f>IF($Y30=0,0,AG30/($Y$30))</f>
        <v>1.2168829192278401</v>
      </c>
      <c r="AG30" s="187">
        <f>IF(AG79*4/$I$83+SUM(AG6:AG29)&lt;1,AG79*4/$I$83,1-SUM(AG6:AG29))</f>
        <v>0.34922335580291275</v>
      </c>
      <c r="AH30" s="123">
        <f t="shared" si="12"/>
        <v>2.2344181462742192</v>
      </c>
      <c r="AI30" s="183">
        <f t="shared" si="13"/>
        <v>0.16030938370881734</v>
      </c>
      <c r="AJ30" s="120">
        <f t="shared" si="14"/>
        <v>5.5511151231257827E-17</v>
      </c>
      <c r="AK30" s="119">
        <f t="shared" si="15"/>
        <v>0.32061876741763462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-0.28825642892746095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11.294190141249512</v>
      </c>
      <c r="J32" s="17"/>
      <c r="L32" s="22">
        <f>SUM(L6:L30)</f>
        <v>1.288256428927461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3.6457443516592085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-3.502042611812254E-2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1095.7142857142858</v>
      </c>
      <c r="J37" s="38">
        <f>J91*I$83</f>
        <v>834.0019779672748</v>
      </c>
      <c r="K37" s="40">
        <f t="shared" ref="K37:K52" si="28">(B37/B$65)</f>
        <v>6.8763562108247449E-3</v>
      </c>
      <c r="L37" s="22">
        <f t="shared" ref="L37:L52" si="29">(K37*H37)</f>
        <v>4.0570501643865994E-3</v>
      </c>
      <c r="M37" s="24">
        <f t="shared" ref="M37:M52" si="30">J37/B$65</f>
        <v>4.0144262767247739E-3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834.0019779672748</v>
      </c>
      <c r="AH37" s="123">
        <f>SUM(Z37,AB37,AD37,AF37)</f>
        <v>1</v>
      </c>
      <c r="AI37" s="112">
        <f>SUM(AA37,AC37,AE37,AG37)</f>
        <v>834.0019779672748</v>
      </c>
      <c r="AJ37" s="148">
        <f>(AA37+AC37)</f>
        <v>0</v>
      </c>
      <c r="AK37" s="147">
        <f>(AE37+AG37)</f>
        <v>834.0019779672748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5.4785714285714286</v>
      </c>
      <c r="J38" s="38">
        <f t="shared" ref="J38:J64" si="33">J92*I$83</f>
        <v>5.4785714285714286</v>
      </c>
      <c r="K38" s="40">
        <f t="shared" si="28"/>
        <v>4.4696315370360842E-5</v>
      </c>
      <c r="L38" s="22">
        <f t="shared" si="29"/>
        <v>2.6370826068512896E-5</v>
      </c>
      <c r="M38" s="24">
        <f t="shared" si="30"/>
        <v>2.6370826068512893E-5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5.4785714285714286</v>
      </c>
      <c r="AH38" s="123">
        <f t="shared" ref="AH38:AI58" si="35">SUM(Z38,AB38,AD38,AF38)</f>
        <v>1</v>
      </c>
      <c r="AI38" s="112">
        <f t="shared" si="35"/>
        <v>5.4785714285714286</v>
      </c>
      <c r="AJ38" s="148">
        <f t="shared" ref="AJ38:AJ64" si="36">(AA38+AC38)</f>
        <v>0</v>
      </c>
      <c r="AK38" s="147">
        <f t="shared" ref="AK38:AK64" si="37">(AE38+AG38)</f>
        <v>5.4785714285714286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17531.428571428572</v>
      </c>
      <c r="J39" s="38">
        <f t="shared" si="33"/>
        <v>16589.264263539335</v>
      </c>
      <c r="K39" s="40">
        <f t="shared" si="28"/>
        <v>8.4751090298414974E-2</v>
      </c>
      <c r="L39" s="22">
        <f t="shared" si="29"/>
        <v>8.0005029241703732E-2</v>
      </c>
      <c r="M39" s="24">
        <f t="shared" si="30"/>
        <v>7.9851583246121183E-2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0.55359275464909974</v>
      </c>
      <c r="AA39" s="147">
        <f>$J39*Z39</f>
        <v>9183.6965012546098</v>
      </c>
      <c r="AB39" s="122">
        <f>AB8</f>
        <v>0.40718295371483881</v>
      </c>
      <c r="AC39" s="147">
        <f>$J39*AB39</f>
        <v>6754.8656227839665</v>
      </c>
      <c r="AD39" s="122">
        <f>AD8</f>
        <v>3.9224291636061434E-2</v>
      </c>
      <c r="AE39" s="147">
        <f>$J39*AD39</f>
        <v>650.70213950075879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16589.264263539335</v>
      </c>
      <c r="AJ39" s="148">
        <f t="shared" si="36"/>
        <v>15938.562124038577</v>
      </c>
      <c r="AK39" s="147">
        <f t="shared" si="37"/>
        <v>650.70213950075879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1847.5428571428572</v>
      </c>
      <c r="J40" s="38">
        <f t="shared" si="33"/>
        <v>1533.4880878464439</v>
      </c>
      <c r="K40" s="40">
        <f t="shared" si="28"/>
        <v>7.8734278613943331E-3</v>
      </c>
      <c r="L40" s="22">
        <f t="shared" si="29"/>
        <v>7.4325159011562501E-3</v>
      </c>
      <c r="M40" s="24">
        <f t="shared" si="30"/>
        <v>7.3813672359620587E-3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0.55359275464909974</v>
      </c>
      <c r="AA40" s="147">
        <f>$J40*Z40</f>
        <v>848.92789477249357</v>
      </c>
      <c r="AB40" s="122">
        <f>AB9</f>
        <v>0.40718295371483887</v>
      </c>
      <c r="AC40" s="147">
        <f>$J40*AB40</f>
        <v>624.41020909583528</v>
      </c>
      <c r="AD40" s="122">
        <f>AD9</f>
        <v>3.9224291636061434E-2</v>
      </c>
      <c r="AE40" s="147">
        <f>$J40*AD40</f>
        <v>60.14998397811511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1533.4880878464439</v>
      </c>
      <c r="AJ40" s="148">
        <f t="shared" si="36"/>
        <v>1473.3381038683287</v>
      </c>
      <c r="AK40" s="147">
        <f t="shared" si="37"/>
        <v>60.14998397811511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3141.9017142857142</v>
      </c>
      <c r="J41" s="38">
        <f t="shared" si="33"/>
        <v>2625.0373539725506</v>
      </c>
      <c r="K41" s="40">
        <f t="shared" si="28"/>
        <v>1.3474219995111086E-2</v>
      </c>
      <c r="L41" s="22">
        <f t="shared" si="29"/>
        <v>1.2719663675384865E-2</v>
      </c>
      <c r="M41" s="24">
        <f t="shared" si="30"/>
        <v>1.263548433884527E-2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0.55359275464909974</v>
      </c>
      <c r="AA41" s="147">
        <f>$J41*Z41</f>
        <v>1453.2016598424482</v>
      </c>
      <c r="AB41" s="122">
        <f>AB11</f>
        <v>0.40718295371483876</v>
      </c>
      <c r="AC41" s="147">
        <f>$J41*AB41</f>
        <v>1068.8704634023279</v>
      </c>
      <c r="AD41" s="122">
        <f>AD11</f>
        <v>3.9224291636061448E-2</v>
      </c>
      <c r="AE41" s="147">
        <f>$J41*AD41</f>
        <v>102.9652307277744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2625.0373539725501</v>
      </c>
      <c r="AJ41" s="148">
        <f t="shared" si="36"/>
        <v>2522.0721232447759</v>
      </c>
      <c r="AK41" s="147">
        <f t="shared" si="37"/>
        <v>102.9652307277744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0.8</v>
      </c>
      <c r="F42" s="75">
        <f>Middle!F42</f>
        <v>1.18</v>
      </c>
      <c r="G42" s="22">
        <f t="shared" si="32"/>
        <v>1.65</v>
      </c>
      <c r="H42" s="24">
        <f t="shared" si="26"/>
        <v>0.94399999999999995</v>
      </c>
      <c r="I42" s="39">
        <f t="shared" si="27"/>
        <v>80.914285714285711</v>
      </c>
      <c r="J42" s="38">
        <f t="shared" si="33"/>
        <v>80.914285714285697</v>
      </c>
      <c r="K42" s="40">
        <f t="shared" si="28"/>
        <v>4.1258137264948459E-4</v>
      </c>
      <c r="L42" s="22">
        <f t="shared" si="29"/>
        <v>3.8947681578111343E-4</v>
      </c>
      <c r="M42" s="24">
        <f t="shared" si="30"/>
        <v>3.8947681578111343E-4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20.228571428571424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40.457142857142848</v>
      </c>
      <c r="AF42" s="122">
        <f t="shared" si="31"/>
        <v>0.25</v>
      </c>
      <c r="AG42" s="147">
        <f t="shared" si="34"/>
        <v>20.228571428571424</v>
      </c>
      <c r="AH42" s="123">
        <f t="shared" si="35"/>
        <v>1</v>
      </c>
      <c r="AI42" s="112">
        <f t="shared" si="35"/>
        <v>80.914285714285697</v>
      </c>
      <c r="AJ42" s="148">
        <f t="shared" si="36"/>
        <v>20.228571428571424</v>
      </c>
      <c r="AK42" s="147">
        <f t="shared" si="37"/>
        <v>60.685714285714269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1.0900000000000001</v>
      </c>
      <c r="F44" s="75">
        <f>Middle!F44</f>
        <v>1.4</v>
      </c>
      <c r="G44" s="22">
        <f t="shared" si="32"/>
        <v>1.65</v>
      </c>
      <c r="H44" s="24">
        <f t="shared" si="26"/>
        <v>1.526</v>
      </c>
      <c r="I44" s="39">
        <f t="shared" si="27"/>
        <v>0</v>
      </c>
      <c r="J44" s="38">
        <f t="shared" si="33"/>
        <v>9852.2719769924024</v>
      </c>
      <c r="K44" s="40">
        <f t="shared" si="28"/>
        <v>3.0025437485660975E-2</v>
      </c>
      <c r="L44" s="22">
        <f t="shared" si="29"/>
        <v>4.581881760311865E-2</v>
      </c>
      <c r="M44" s="24">
        <f t="shared" si="30"/>
        <v>4.7423412119808397E-2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2463.0679942481006</v>
      </c>
      <c r="AB44" s="156">
        <f>Poor!AB44</f>
        <v>0.25</v>
      </c>
      <c r="AC44" s="147">
        <f t="shared" si="39"/>
        <v>2463.0679942481006</v>
      </c>
      <c r="AD44" s="156">
        <f>Poor!AD44</f>
        <v>0.25</v>
      </c>
      <c r="AE44" s="147">
        <f t="shared" si="40"/>
        <v>2463.0679942481006</v>
      </c>
      <c r="AF44" s="122">
        <f t="shared" si="31"/>
        <v>0.25</v>
      </c>
      <c r="AG44" s="147">
        <f t="shared" si="34"/>
        <v>2463.0679942481006</v>
      </c>
      <c r="AH44" s="123">
        <f t="shared" si="35"/>
        <v>1</v>
      </c>
      <c r="AI44" s="112">
        <f t="shared" si="35"/>
        <v>9852.2719769924024</v>
      </c>
      <c r="AJ44" s="148">
        <f t="shared" si="36"/>
        <v>4926.1359884962012</v>
      </c>
      <c r="AK44" s="147">
        <f t="shared" si="37"/>
        <v>4926.1359884962012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1.0900000000000001</v>
      </c>
      <c r="F45" s="75">
        <f>Middle!F45</f>
        <v>1.4</v>
      </c>
      <c r="G45" s="22">
        <f t="shared" si="32"/>
        <v>1.65</v>
      </c>
      <c r="H45" s="24">
        <f t="shared" si="26"/>
        <v>1.526</v>
      </c>
      <c r="I45" s="39">
        <f t="shared" si="27"/>
        <v>0</v>
      </c>
      <c r="J45" s="38">
        <f t="shared" si="33"/>
        <v>22.337810836481317</v>
      </c>
      <c r="K45" s="40">
        <f t="shared" si="28"/>
        <v>6.807592648716497E-5</v>
      </c>
      <c r="L45" s="22">
        <f t="shared" si="29"/>
        <v>1.0388386381941374E-4</v>
      </c>
      <c r="M45" s="24">
        <f t="shared" si="30"/>
        <v>1.0752192099716661E-4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5.5844527091203293</v>
      </c>
      <c r="AB45" s="156">
        <f>Poor!AB45</f>
        <v>0.25</v>
      </c>
      <c r="AC45" s="147">
        <f t="shared" si="39"/>
        <v>5.5844527091203293</v>
      </c>
      <c r="AD45" s="156">
        <f>Poor!AD45</f>
        <v>0.25</v>
      </c>
      <c r="AE45" s="147">
        <f t="shared" si="40"/>
        <v>5.5844527091203293</v>
      </c>
      <c r="AF45" s="122">
        <f t="shared" si="31"/>
        <v>0.25</v>
      </c>
      <c r="AG45" s="147">
        <f t="shared" si="34"/>
        <v>5.5844527091203293</v>
      </c>
      <c r="AH45" s="123">
        <f t="shared" si="35"/>
        <v>1</v>
      </c>
      <c r="AI45" s="112">
        <f t="shared" si="35"/>
        <v>22.337810836481317</v>
      </c>
      <c r="AJ45" s="148">
        <f t="shared" si="36"/>
        <v>11.168905418240659</v>
      </c>
      <c r="AK45" s="147">
        <f t="shared" si="37"/>
        <v>11.168905418240659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2769.9999999999995</v>
      </c>
      <c r="J46" s="38">
        <f t="shared" si="33"/>
        <v>2484.3343623913979</v>
      </c>
      <c r="K46" s="40">
        <f t="shared" si="28"/>
        <v>8.5748161948984557E-3</v>
      </c>
      <c r="L46" s="22">
        <f t="shared" si="29"/>
        <v>1.2004742672857838E-2</v>
      </c>
      <c r="M46" s="24">
        <f t="shared" si="30"/>
        <v>1.1958217615816794E-2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621.08359059784948</v>
      </c>
      <c r="AB46" s="156">
        <f>Poor!AB46</f>
        <v>0.25</v>
      </c>
      <c r="AC46" s="147">
        <f t="shared" si="39"/>
        <v>621.08359059784948</v>
      </c>
      <c r="AD46" s="156">
        <f>Poor!AD46</f>
        <v>0.25</v>
      </c>
      <c r="AE46" s="147">
        <f t="shared" si="40"/>
        <v>621.08359059784948</v>
      </c>
      <c r="AF46" s="122">
        <f t="shared" si="31"/>
        <v>0.25</v>
      </c>
      <c r="AG46" s="147">
        <f t="shared" si="34"/>
        <v>621.08359059784948</v>
      </c>
      <c r="AH46" s="123">
        <f t="shared" si="35"/>
        <v>1</v>
      </c>
      <c r="AI46" s="112">
        <f t="shared" si="35"/>
        <v>2484.3343623913979</v>
      </c>
      <c r="AJ46" s="148">
        <f t="shared" si="36"/>
        <v>1242.167181195699</v>
      </c>
      <c r="AK46" s="147">
        <f t="shared" si="37"/>
        <v>1242.167181195699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2664</v>
      </c>
      <c r="J47" s="38">
        <f t="shared" si="33"/>
        <v>2686.7704493745982</v>
      </c>
      <c r="K47" s="40">
        <f t="shared" si="28"/>
        <v>9.2349463911376318E-3</v>
      </c>
      <c r="L47" s="22">
        <f t="shared" si="29"/>
        <v>1.2928924947592684E-2</v>
      </c>
      <c r="M47" s="24">
        <f t="shared" si="30"/>
        <v>1.2932633466632185E-2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671.69261234364956</v>
      </c>
      <c r="AB47" s="156">
        <f>Poor!AB47</f>
        <v>0.25</v>
      </c>
      <c r="AC47" s="147">
        <f t="shared" si="39"/>
        <v>671.69261234364956</v>
      </c>
      <c r="AD47" s="156">
        <f>Poor!AD47</f>
        <v>0.25</v>
      </c>
      <c r="AE47" s="147">
        <f t="shared" si="40"/>
        <v>671.69261234364956</v>
      </c>
      <c r="AF47" s="122">
        <f t="shared" si="31"/>
        <v>0.25</v>
      </c>
      <c r="AG47" s="147">
        <f t="shared" si="34"/>
        <v>671.69261234364956</v>
      </c>
      <c r="AH47" s="123">
        <f t="shared" si="35"/>
        <v>1</v>
      </c>
      <c r="AI47" s="112">
        <f t="shared" si="35"/>
        <v>2686.7704493745982</v>
      </c>
      <c r="AJ47" s="148">
        <f t="shared" si="36"/>
        <v>1343.3852246872991</v>
      </c>
      <c r="AK47" s="147">
        <f t="shared" si="37"/>
        <v>1343.3852246872991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89.999999999999901</v>
      </c>
      <c r="J48" s="38">
        <f t="shared" si="33"/>
        <v>2874.6189544281965</v>
      </c>
      <c r="K48" s="40">
        <f t="shared" si="28"/>
        <v>9.5595104042885595E-3</v>
      </c>
      <c r="L48" s="22">
        <f t="shared" si="29"/>
        <v>1.3383314566003982E-2</v>
      </c>
      <c r="M48" s="24">
        <f t="shared" si="30"/>
        <v>1.3836832730725803E-2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718.65473860704913</v>
      </c>
      <c r="AB48" s="156">
        <f>Poor!AB48</f>
        <v>0.25</v>
      </c>
      <c r="AC48" s="147">
        <f t="shared" si="39"/>
        <v>718.65473860704913</v>
      </c>
      <c r="AD48" s="156">
        <f>Poor!AD48</f>
        <v>0.25</v>
      </c>
      <c r="AE48" s="147">
        <f t="shared" si="40"/>
        <v>718.65473860704913</v>
      </c>
      <c r="AF48" s="122">
        <f t="shared" si="31"/>
        <v>0.25</v>
      </c>
      <c r="AG48" s="147">
        <f t="shared" si="34"/>
        <v>718.65473860704913</v>
      </c>
      <c r="AH48" s="123">
        <f t="shared" si="35"/>
        <v>1</v>
      </c>
      <c r="AI48" s="112">
        <f t="shared" si="35"/>
        <v>2874.6189544281965</v>
      </c>
      <c r="AJ48" s="148">
        <f t="shared" si="36"/>
        <v>1437.3094772140983</v>
      </c>
      <c r="AK48" s="147">
        <f t="shared" si="37"/>
        <v>1437.3094772140983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3329.6607108220001</v>
      </c>
      <c r="K49" s="40">
        <f t="shared" si="28"/>
        <v>1.1060618965111603E-2</v>
      </c>
      <c r="L49" s="22">
        <f t="shared" si="29"/>
        <v>1.5484866551156244E-2</v>
      </c>
      <c r="M49" s="24">
        <f t="shared" si="30"/>
        <v>1.6027153176159995E-2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832.41517770550001</v>
      </c>
      <c r="AB49" s="156">
        <f>Poor!AB49</f>
        <v>0.25</v>
      </c>
      <c r="AC49" s="147">
        <f t="shared" si="39"/>
        <v>832.41517770550001</v>
      </c>
      <c r="AD49" s="156">
        <f>Poor!AD49</f>
        <v>0.25</v>
      </c>
      <c r="AE49" s="147">
        <f t="shared" si="40"/>
        <v>832.41517770550001</v>
      </c>
      <c r="AF49" s="122">
        <f t="shared" si="31"/>
        <v>0.25</v>
      </c>
      <c r="AG49" s="147">
        <f t="shared" si="34"/>
        <v>832.41517770550001</v>
      </c>
      <c r="AH49" s="123">
        <f t="shared" si="35"/>
        <v>1</v>
      </c>
      <c r="AI49" s="112">
        <f t="shared" si="35"/>
        <v>3329.6607108220001</v>
      </c>
      <c r="AJ49" s="148">
        <f t="shared" si="36"/>
        <v>1664.830355411</v>
      </c>
      <c r="AK49" s="147">
        <f t="shared" si="37"/>
        <v>1664.830355411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2834.6</v>
      </c>
      <c r="J50" s="38">
        <f t="shared" si="33"/>
        <v>3125.8547479096392</v>
      </c>
      <c r="K50" s="40">
        <f t="shared" si="28"/>
        <v>1.0713362976464951E-2</v>
      </c>
      <c r="L50" s="22">
        <f t="shared" si="29"/>
        <v>1.499870816705093E-2</v>
      </c>
      <c r="M50" s="24">
        <f t="shared" si="30"/>
        <v>1.5046143496947124E-2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781.46368697740979</v>
      </c>
      <c r="AB50" s="156">
        <f>Poor!AB55</f>
        <v>0.25</v>
      </c>
      <c r="AC50" s="147">
        <f t="shared" si="39"/>
        <v>781.46368697740979</v>
      </c>
      <c r="AD50" s="156">
        <f>Poor!AD55</f>
        <v>0.25</v>
      </c>
      <c r="AE50" s="147">
        <f t="shared" si="40"/>
        <v>781.46368697740979</v>
      </c>
      <c r="AF50" s="122">
        <f t="shared" si="31"/>
        <v>0.25</v>
      </c>
      <c r="AG50" s="147">
        <f t="shared" si="34"/>
        <v>781.46368697740979</v>
      </c>
      <c r="AH50" s="123">
        <f t="shared" si="35"/>
        <v>1</v>
      </c>
      <c r="AI50" s="112">
        <f t="shared" si="35"/>
        <v>3125.8547479096392</v>
      </c>
      <c r="AJ50" s="148">
        <f t="shared" si="36"/>
        <v>1562.9273739548196</v>
      </c>
      <c r="AK50" s="147">
        <f t="shared" si="37"/>
        <v>1562.9273739548196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688.28858336855149</v>
      </c>
      <c r="K51" s="40">
        <f t="shared" si="28"/>
        <v>2.2863884400992273E-3</v>
      </c>
      <c r="L51" s="22">
        <f t="shared" si="29"/>
        <v>3.2009438161389181E-3</v>
      </c>
      <c r="M51" s="24">
        <f t="shared" si="30"/>
        <v>3.3130422325602727E-3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172.07214584213787</v>
      </c>
      <c r="AB51" s="156">
        <f>Poor!AB56</f>
        <v>0.25</v>
      </c>
      <c r="AC51" s="147">
        <f t="shared" si="39"/>
        <v>172.07214584213787</v>
      </c>
      <c r="AD51" s="156">
        <f>Poor!AD56</f>
        <v>0.25</v>
      </c>
      <c r="AE51" s="147">
        <f t="shared" si="40"/>
        <v>172.07214584213787</v>
      </c>
      <c r="AF51" s="122">
        <f t="shared" si="31"/>
        <v>0.25</v>
      </c>
      <c r="AG51" s="147">
        <f t="shared" si="34"/>
        <v>172.07214584213787</v>
      </c>
      <c r="AH51" s="123">
        <f t="shared" si="35"/>
        <v>1</v>
      </c>
      <c r="AI51" s="112">
        <f t="shared" si="35"/>
        <v>688.28858336855149</v>
      </c>
      <c r="AJ51" s="148">
        <f t="shared" si="36"/>
        <v>344.14429168427574</v>
      </c>
      <c r="AK51" s="147">
        <f t="shared" si="37"/>
        <v>344.14429168427574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345</v>
      </c>
      <c r="J52" s="38">
        <f t="shared" si="33"/>
        <v>194.92203821287222</v>
      </c>
      <c r="K52" s="40">
        <f t="shared" si="28"/>
        <v>6.8763562108247443E-4</v>
      </c>
      <c r="L52" s="22">
        <f t="shared" si="29"/>
        <v>9.6268986951546416E-4</v>
      </c>
      <c r="M52" s="24">
        <f t="shared" si="30"/>
        <v>9.3824735766419147E-4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48.730509553218056</v>
      </c>
      <c r="AB52" s="156">
        <f>Poor!AB57</f>
        <v>0.25</v>
      </c>
      <c r="AC52" s="147">
        <f t="shared" si="39"/>
        <v>48.730509553218056</v>
      </c>
      <c r="AD52" s="156">
        <f>Poor!AD57</f>
        <v>0.25</v>
      </c>
      <c r="AE52" s="147">
        <f t="shared" si="40"/>
        <v>48.730509553218056</v>
      </c>
      <c r="AF52" s="122">
        <f t="shared" si="31"/>
        <v>0.25</v>
      </c>
      <c r="AG52" s="147">
        <f t="shared" si="34"/>
        <v>48.730509553218056</v>
      </c>
      <c r="AH52" s="123">
        <f t="shared" si="35"/>
        <v>1</v>
      </c>
      <c r="AI52" s="112">
        <f t="shared" si="35"/>
        <v>194.92203821287222</v>
      </c>
      <c r="AJ52" s="148">
        <f t="shared" si="36"/>
        <v>97.461019106436112</v>
      </c>
      <c r="AK52" s="147">
        <f t="shared" si="37"/>
        <v>97.461019106436112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298.08588272201922</v>
      </c>
      <c r="K53" s="40">
        <f t="shared" ref="K53:K64" si="43">(B53/B$65)</f>
        <v>9.901952943587632E-4</v>
      </c>
      <c r="L53" s="22">
        <f t="shared" ref="L53:L64" si="44">(K53*H53)</f>
        <v>1.3862734121022685E-3</v>
      </c>
      <c r="M53" s="24">
        <f t="shared" ref="M53:M64" si="45">J53/B$65</f>
        <v>1.4348212977103132E-3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106607.26857142856</v>
      </c>
      <c r="J58" s="38">
        <f t="shared" si="33"/>
        <v>106607.26857142858</v>
      </c>
      <c r="K58" s="40">
        <f t="shared" si="43"/>
        <v>0.54358971117811761</v>
      </c>
      <c r="L58" s="22">
        <f t="shared" si="44"/>
        <v>0.51314868735214303</v>
      </c>
      <c r="M58" s="24">
        <f t="shared" si="45"/>
        <v>0.51314868735214314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26651.817142857144</v>
      </c>
      <c r="AB58" s="156">
        <f>Poor!AB58</f>
        <v>0.25</v>
      </c>
      <c r="AC58" s="147">
        <f t="shared" si="39"/>
        <v>26651.817142857144</v>
      </c>
      <c r="AD58" s="156">
        <f>Poor!AD58</f>
        <v>0.25</v>
      </c>
      <c r="AE58" s="147">
        <f t="shared" si="40"/>
        <v>26651.817142857144</v>
      </c>
      <c r="AF58" s="122">
        <f t="shared" si="31"/>
        <v>0.25</v>
      </c>
      <c r="AG58" s="147">
        <f t="shared" si="34"/>
        <v>26651.817142857144</v>
      </c>
      <c r="AH58" s="123">
        <f t="shared" si="35"/>
        <v>1</v>
      </c>
      <c r="AI58" s="112">
        <f t="shared" si="35"/>
        <v>106607.26857142858</v>
      </c>
      <c r="AJ58" s="148">
        <f t="shared" si="36"/>
        <v>53303.634285714288</v>
      </c>
      <c r="AK58" s="147">
        <f t="shared" si="37"/>
        <v>53303.634285714288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680.91148441808593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3.277532940430141E-3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170.22787110452148</v>
      </c>
      <c r="AB59" s="156">
        <f>Poor!AB59</f>
        <v>0.25</v>
      </c>
      <c r="AC59" s="147">
        <f t="shared" si="39"/>
        <v>170.22787110452148</v>
      </c>
      <c r="AD59" s="156">
        <f>Poor!AD59</f>
        <v>0.25</v>
      </c>
      <c r="AE59" s="147">
        <f t="shared" si="40"/>
        <v>170.22787110452148</v>
      </c>
      <c r="AF59" s="122">
        <f t="shared" si="31"/>
        <v>0.25</v>
      </c>
      <c r="AG59" s="147">
        <f t="shared" si="34"/>
        <v>170.22787110452148</v>
      </c>
      <c r="AH59" s="123">
        <f t="shared" ref="AH59:AI64" si="46">SUM(Z59,AB59,AD59,AF59)</f>
        <v>1</v>
      </c>
      <c r="AI59" s="112">
        <f t="shared" si="46"/>
        <v>680.91148441808593</v>
      </c>
      <c r="AJ59" s="148">
        <f t="shared" si="36"/>
        <v>340.45574220904297</v>
      </c>
      <c r="AK59" s="147">
        <f t="shared" si="37"/>
        <v>340.45574220904297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10256.868026599777</v>
      </c>
      <c r="J61" s="38">
        <f t="shared" si="33"/>
        <v>10256.868026599779</v>
      </c>
      <c r="K61" s="40">
        <f t="shared" si="43"/>
        <v>4.1839758229511345E-2</v>
      </c>
      <c r="L61" s="22">
        <f t="shared" si="44"/>
        <v>4.9370914710823388E-2</v>
      </c>
      <c r="M61" s="24">
        <f t="shared" si="45"/>
        <v>4.9370914710823388E-2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2564.2170066499448</v>
      </c>
      <c r="AB61" s="156">
        <f>Poor!AB61</f>
        <v>0.25</v>
      </c>
      <c r="AC61" s="147">
        <f t="shared" si="39"/>
        <v>2564.2170066499448</v>
      </c>
      <c r="AD61" s="156">
        <f>Poor!AD61</f>
        <v>0.25</v>
      </c>
      <c r="AE61" s="147">
        <f t="shared" si="40"/>
        <v>2564.2170066499448</v>
      </c>
      <c r="AF61" s="122">
        <f t="shared" si="31"/>
        <v>0.25</v>
      </c>
      <c r="AG61" s="147">
        <f t="shared" si="34"/>
        <v>2564.2170066499448</v>
      </c>
      <c r="AH61" s="123">
        <f t="shared" si="46"/>
        <v>1</v>
      </c>
      <c r="AI61" s="112">
        <f t="shared" si="46"/>
        <v>10256.868026599779</v>
      </c>
      <c r="AJ61" s="148">
        <f t="shared" si="36"/>
        <v>5128.4340132998896</v>
      </c>
      <c r="AK61" s="147">
        <f t="shared" si="37"/>
        <v>5128.4340132998896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193360.27631231403</v>
      </c>
      <c r="J65" s="39">
        <f>SUM(J37:J64)</f>
        <v>208037.08042568734</v>
      </c>
      <c r="K65" s="40">
        <f>SUM(K37:K64)</f>
        <v>1</v>
      </c>
      <c r="L65" s="22">
        <f>SUM(L37:L64)</f>
        <v>0.99898560502699341</v>
      </c>
      <c r="M65" s="24">
        <f>SUM(M37:M64)</f>
        <v>1.0013759490469154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58023.757127922341</v>
      </c>
      <c r="AB65" s="137"/>
      <c r="AC65" s="153">
        <f>SUM(AC37:AC64)</f>
        <v>54965.848795906342</v>
      </c>
      <c r="AD65" s="137"/>
      <c r="AE65" s="153">
        <f>SUM(AE37:AE64)</f>
        <v>47371.976997688005</v>
      </c>
      <c r="AF65" s="137"/>
      <c r="AG65" s="153">
        <f>SUM(AG37:AG64)</f>
        <v>47377.411621448628</v>
      </c>
      <c r="AH65" s="137"/>
      <c r="AI65" s="153">
        <f>SUM(AI37:AI64)</f>
        <v>207738.99454296532</v>
      </c>
      <c r="AJ65" s="153">
        <f>SUM(AJ37:AJ64)</f>
        <v>112989.60592382867</v>
      </c>
      <c r="AK65" s="153">
        <f>SUM(AK37:AK64)</f>
        <v>94749.388619136633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174215.45712703682</v>
      </c>
      <c r="J74" s="51">
        <f>J128*I$83</f>
        <v>1285.5462675960832</v>
      </c>
      <c r="K74" s="40">
        <f>B74/B$76</f>
        <v>3.0052442019310059E-2</v>
      </c>
      <c r="L74" s="22">
        <f>(L128*G$37*F$9/F$7)/B$130</f>
        <v>2.9172795390341608E-2</v>
      </c>
      <c r="M74" s="24">
        <f>J74/B$76</f>
        <v>6.1879118430408272E-3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4.973286233985252E-13</v>
      </c>
      <c r="AD74" s="156"/>
      <c r="AE74" s="147">
        <f>AE30*$I$83/4</f>
        <v>1308.0886132770052</v>
      </c>
      <c r="AF74" s="156"/>
      <c r="AG74" s="147">
        <f>AG30*$I$83/4</f>
        <v>1564.3592949147758</v>
      </c>
      <c r="AH74" s="155"/>
      <c r="AI74" s="147">
        <f>SUM(AA74,AC74,AE74,AG74)</f>
        <v>2872.4479081917816</v>
      </c>
      <c r="AJ74" s="148">
        <f>(AA74+AC74)</f>
        <v>4.973286233985252E-13</v>
      </c>
      <c r="AK74" s="147">
        <f>(AE74+AG74)</f>
        <v>2872.4479081917807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109855.33497281403</v>
      </c>
      <c r="K75" s="40">
        <f>B75/B$76</f>
        <v>0.58696126886457367</v>
      </c>
      <c r="L75" s="22">
        <f>(L129*G$37*F$9/F$7)/B$130</f>
        <v>0.50340786288555683</v>
      </c>
      <c r="M75" s="24">
        <f>J75/B$76</f>
        <v>0.52878309045277971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53237.55233160303</v>
      </c>
      <c r="AB75" s="158"/>
      <c r="AC75" s="149">
        <f>AA75+AC65-SUM(AC70,AC74)</f>
        <v>103417.19633119005</v>
      </c>
      <c r="AD75" s="158"/>
      <c r="AE75" s="149">
        <f>AC75+AE65-SUM(AE70,AE74)</f>
        <v>144694.87991928175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185721.72744949628</v>
      </c>
      <c r="AJ75" s="151">
        <f>AJ76-SUM(AJ70,AJ74)</f>
        <v>103417.19633119006</v>
      </c>
      <c r="AK75" s="149">
        <f>AJ75+AK76-SUM(AK70,AK74)</f>
        <v>185721.72744949631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193360.27631231406</v>
      </c>
      <c r="J76" s="51">
        <f>J130*I$83</f>
        <v>208037.08042568737</v>
      </c>
      <c r="K76" s="40">
        <f>SUM(K70:K75)</f>
        <v>0.81256290713409696</v>
      </c>
      <c r="L76" s="22">
        <f>SUM(L70:L75)</f>
        <v>0.77780983544522775</v>
      </c>
      <c r="M76" s="24">
        <f>SUM(M70:M75)</f>
        <v>0.78020017946514986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58023.757127922341</v>
      </c>
      <c r="AB76" s="137"/>
      <c r="AC76" s="153">
        <f>AC65</f>
        <v>54965.848795906342</v>
      </c>
      <c r="AD76" s="137"/>
      <c r="AE76" s="153">
        <f>AE65</f>
        <v>47371.976997688005</v>
      </c>
      <c r="AF76" s="137"/>
      <c r="AG76" s="153">
        <f>AG65</f>
        <v>47377.411621448628</v>
      </c>
      <c r="AH76" s="137"/>
      <c r="AI76" s="153">
        <f>SUM(AA76,AC76,AE76,AG76)</f>
        <v>207738.99454296532</v>
      </c>
      <c r="AJ76" s="154">
        <f>SUM(AA76,AC76)</f>
        <v>112989.60592382868</v>
      </c>
      <c r="AK76" s="154">
        <f>SUM(AE76,AG76)</f>
        <v>94749.388619136633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53237.55233160303</v>
      </c>
      <c r="AD78" s="112"/>
      <c r="AE78" s="112">
        <f>AC75</f>
        <v>103417.19633119005</v>
      </c>
      <c r="AF78" s="112"/>
      <c r="AG78" s="112">
        <f>AE75</f>
        <v>144694.87991928175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53237.55233160303</v>
      </c>
      <c r="AB79" s="112"/>
      <c r="AC79" s="112">
        <f>AA79-AA74+AC65-AC70</f>
        <v>103417.19633119005</v>
      </c>
      <c r="AD79" s="112"/>
      <c r="AE79" s="112">
        <f>AC79-AC74+AE65-AE70</f>
        <v>146002.96853255876</v>
      </c>
      <c r="AF79" s="112"/>
      <c r="AG79" s="112">
        <f>AE79-AE74+AG65-AG70</f>
        <v>187286.08674441109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0.3575757575757576</v>
      </c>
      <c r="I91" s="22">
        <f t="shared" ref="I91" si="52">(D91*H91)</f>
        <v>6.1151076530532679E-2</v>
      </c>
      <c r="J91" s="24">
        <f>IF(I$32&lt;=1+I$131,I91,L91+J$33*(I91-L91))</f>
        <v>4.654508884863718E-2</v>
      </c>
      <c r="K91" s="22">
        <f t="shared" ref="K91" si="53">(B91)</f>
        <v>0.1315505557697248</v>
      </c>
      <c r="L91" s="22">
        <f t="shared" ref="L91" si="54">(K91*H91)</f>
        <v>4.7039289638871294E-2</v>
      </c>
      <c r="M91" s="226">
        <f t="shared" si="50"/>
        <v>4.654508884863718E-2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0.3575757575757576</v>
      </c>
      <c r="I92" s="22">
        <f t="shared" ref="I92:I118" si="59">(D92*H92)</f>
        <v>3.0575538265266341E-4</v>
      </c>
      <c r="J92" s="24">
        <f t="shared" ref="J92:J118" si="60">IF(I$32&lt;=1+I$131,I92,L92+J$33*(I92-L92))</f>
        <v>3.0575538265266341E-4</v>
      </c>
      <c r="K92" s="22">
        <f t="shared" ref="K92:K118" si="61">(B92)</f>
        <v>8.5507861250321124E-4</v>
      </c>
      <c r="L92" s="22">
        <f t="shared" ref="L92:L118" si="62">(K92*H92)</f>
        <v>3.0575538265266341E-4</v>
      </c>
      <c r="M92" s="226">
        <f t="shared" ref="M92:M118" si="63">(J92)</f>
        <v>3.0575538265266341E-4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0.57212121212121214</v>
      </c>
      <c r="I93" s="22">
        <f t="shared" si="59"/>
        <v>0.97841722448852297</v>
      </c>
      <c r="J93" s="24">
        <f t="shared" si="60"/>
        <v>0.92583566883369917</v>
      </c>
      <c r="K93" s="22">
        <f t="shared" si="61"/>
        <v>1.6213605998618583</v>
      </c>
      <c r="L93" s="22">
        <f t="shared" si="62"/>
        <v>0.92761479167854199</v>
      </c>
      <c r="M93" s="226">
        <f t="shared" si="63"/>
        <v>0.92583566883369917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0.57212121212121214</v>
      </c>
      <c r="I94" s="22">
        <f t="shared" si="59"/>
        <v>0.10311012288840589</v>
      </c>
      <c r="J94" s="24">
        <f t="shared" si="60"/>
        <v>8.5582937670131268E-2</v>
      </c>
      <c r="K94" s="22">
        <f t="shared" si="61"/>
        <v>0.15062538635633491</v>
      </c>
      <c r="L94" s="22">
        <f t="shared" si="62"/>
        <v>8.6175978618412211E-2</v>
      </c>
      <c r="M94" s="226">
        <f t="shared" si="63"/>
        <v>8.5582937670131268E-2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0.57212121212121214</v>
      </c>
      <c r="I95" s="22">
        <f t="shared" si="59"/>
        <v>0.17534741920102775</v>
      </c>
      <c r="J95" s="24">
        <f t="shared" si="60"/>
        <v>0.14650156726179625</v>
      </c>
      <c r="K95" s="22">
        <f t="shared" si="61"/>
        <v>0.25777331403077575</v>
      </c>
      <c r="L95" s="22">
        <f t="shared" si="62"/>
        <v>0.14747758087578927</v>
      </c>
      <c r="M95" s="226">
        <f t="shared" si="63"/>
        <v>0.14650156726179625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0.57212121212121214</v>
      </c>
      <c r="I96" s="22">
        <f t="shared" si="59"/>
        <v>4.5157718053316434E-3</v>
      </c>
      <c r="J96" s="24">
        <f t="shared" si="60"/>
        <v>4.5157718053316434E-3</v>
      </c>
      <c r="K96" s="22">
        <f t="shared" si="61"/>
        <v>7.8930333461834871E-3</v>
      </c>
      <c r="L96" s="22">
        <f t="shared" si="62"/>
        <v>4.5157718053316434E-3</v>
      </c>
      <c r="M96" s="226">
        <f t="shared" si="63"/>
        <v>4.5157718053316434E-3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0.92484848484848492</v>
      </c>
      <c r="I98" s="22">
        <f t="shared" si="59"/>
        <v>0</v>
      </c>
      <c r="J98" s="24">
        <f t="shared" si="60"/>
        <v>0.54984866540453647</v>
      </c>
      <c r="K98" s="22">
        <f t="shared" si="61"/>
        <v>0.5744122130046091</v>
      </c>
      <c r="L98" s="22">
        <f t="shared" si="62"/>
        <v>0.53124426487577792</v>
      </c>
      <c r="M98" s="226">
        <f t="shared" si="63"/>
        <v>0.54984866540453647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0.92484848484848492</v>
      </c>
      <c r="I99" s="22">
        <f t="shared" si="59"/>
        <v>0</v>
      </c>
      <c r="J99" s="24">
        <f t="shared" si="60"/>
        <v>1.2466581825167692E-3</v>
      </c>
      <c r="K99" s="22">
        <f t="shared" si="61"/>
        <v>1.3023505021202753E-3</v>
      </c>
      <c r="L99" s="22">
        <f t="shared" si="62"/>
        <v>1.2044768886276002E-3</v>
      </c>
      <c r="M99" s="226">
        <f t="shared" si="63"/>
        <v>1.2466581825167692E-3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0.84848484848484851</v>
      </c>
      <c r="I100" s="22">
        <f t="shared" si="59"/>
        <v>0.15459183493181597</v>
      </c>
      <c r="J100" s="24">
        <f t="shared" si="60"/>
        <v>0.13864902803835716</v>
      </c>
      <c r="K100" s="22">
        <f t="shared" si="61"/>
        <v>0.16404354304484681</v>
      </c>
      <c r="L100" s="22">
        <f t="shared" si="62"/>
        <v>0.13918846076532457</v>
      </c>
      <c r="M100" s="226">
        <f t="shared" si="63"/>
        <v>0.13864902803835716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0.84848484848484851</v>
      </c>
      <c r="I101" s="22">
        <f t="shared" si="59"/>
        <v>0.14867604630265627</v>
      </c>
      <c r="J101" s="24">
        <f t="shared" si="60"/>
        <v>0.14994684975068556</v>
      </c>
      <c r="K101" s="22">
        <f t="shared" si="61"/>
        <v>0.17667239639874041</v>
      </c>
      <c r="L101" s="22">
        <f t="shared" si="62"/>
        <v>0.14990385148984034</v>
      </c>
      <c r="M101" s="226">
        <f t="shared" si="63"/>
        <v>0.14994684975068556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0.84848484848484851</v>
      </c>
      <c r="I102" s="22">
        <f t="shared" si="59"/>
        <v>5.0228394021167621E-3</v>
      </c>
      <c r="J102" s="24">
        <f t="shared" si="60"/>
        <v>0.16043054833748494</v>
      </c>
      <c r="K102" s="22">
        <f t="shared" si="61"/>
        <v>0.1828815826310714</v>
      </c>
      <c r="L102" s="22">
        <f t="shared" si="62"/>
        <v>0.15517225192939393</v>
      </c>
      <c r="M102" s="226">
        <f t="shared" si="63"/>
        <v>0.16043054833748494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0.18582612237774288</v>
      </c>
      <c r="K103" s="22">
        <f t="shared" si="61"/>
        <v>0.21159906895560235</v>
      </c>
      <c r="L103" s="22">
        <f t="shared" si="62"/>
        <v>0.17953860396232926</v>
      </c>
      <c r="M103" s="226">
        <f t="shared" si="63"/>
        <v>0.18582612237774288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0.84848484848484851</v>
      </c>
      <c r="I104" s="22">
        <f t="shared" si="59"/>
        <v>0.15819711743600204</v>
      </c>
      <c r="J104" s="24">
        <f t="shared" si="60"/>
        <v>0.17445184881215894</v>
      </c>
      <c r="K104" s="22">
        <f t="shared" si="61"/>
        <v>0.20495576588923123</v>
      </c>
      <c r="L104" s="22">
        <f t="shared" si="62"/>
        <v>0.17390186196662044</v>
      </c>
      <c r="M104" s="226">
        <f t="shared" si="63"/>
        <v>0.17445184881215894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3.8412922406341005E-2</v>
      </c>
      <c r="K105" s="22">
        <f t="shared" si="61"/>
        <v>4.3740559793433491E-2</v>
      </c>
      <c r="L105" s="22">
        <f t="shared" si="62"/>
        <v>3.7113202248973874E-2</v>
      </c>
      <c r="M105" s="226">
        <f t="shared" si="63"/>
        <v>3.8412922406341005E-2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0.84848484848484851</v>
      </c>
      <c r="I106" s="22">
        <f t="shared" si="59"/>
        <v>1.9254217708114266E-2</v>
      </c>
      <c r="J106" s="24">
        <f t="shared" si="60"/>
        <v>1.0878467709739159E-2</v>
      </c>
      <c r="K106" s="22">
        <f t="shared" si="61"/>
        <v>1.3155055576972479E-2</v>
      </c>
      <c r="L106" s="22">
        <f t="shared" si="62"/>
        <v>1.1161865338037254E-2</v>
      </c>
      <c r="M106" s="226">
        <f t="shared" si="63"/>
        <v>1.0878467709739159E-2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1.6635972410565726E-2</v>
      </c>
      <c r="K107" s="22">
        <f t="shared" si="61"/>
        <v>1.8943280030840372E-2</v>
      </c>
      <c r="L107" s="22">
        <f t="shared" si="62"/>
        <v>1.6073086086773648E-2</v>
      </c>
      <c r="M107" s="226">
        <f t="shared" si="63"/>
        <v>1.6635972410565726E-2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0.57212121212121214</v>
      </c>
      <c r="I112" s="22">
        <f t="shared" si="59"/>
        <v>5.9496798792512857</v>
      </c>
      <c r="J112" s="24">
        <f t="shared" si="60"/>
        <v>5.9496798792512857</v>
      </c>
      <c r="K112" s="22">
        <f t="shared" si="61"/>
        <v>10.399334534708284</v>
      </c>
      <c r="L112" s="22">
        <f t="shared" si="62"/>
        <v>5.9496798792512857</v>
      </c>
      <c r="M112" s="226">
        <f t="shared" si="63"/>
        <v>5.9496798792512857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3.8001211480988645E-2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3.8001211480988645E-2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0.7151515151515152</v>
      </c>
      <c r="I115" s="22">
        <f t="shared" si="59"/>
        <v>0.5724288985146333</v>
      </c>
      <c r="J115" s="24">
        <f t="shared" si="60"/>
        <v>0.5724288985146333</v>
      </c>
      <c r="K115" s="22">
        <f t="shared" si="61"/>
        <v>0.80043023944842784</v>
      </c>
      <c r="L115" s="22">
        <f t="shared" si="62"/>
        <v>0.5724288985146333</v>
      </c>
      <c r="M115" s="226">
        <f t="shared" si="63"/>
        <v>0.5724288985146333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10.791306829618623</v>
      </c>
      <c r="J119" s="24">
        <f>SUM(J91:J118)</f>
        <v>11.610409385149744</v>
      </c>
      <c r="K119" s="22">
        <f>SUM(K91:K118)</f>
        <v>19.130852407360489</v>
      </c>
      <c r="L119" s="22">
        <f>SUM(L91:L118)</f>
        <v>11.582694646575231</v>
      </c>
      <c r="M119" s="57">
        <f t="shared" si="50"/>
        <v>11.610409385149744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9.7228473612829394</v>
      </c>
      <c r="J128" s="227">
        <f>(J30)</f>
        <v>7.1745471623619439E-2</v>
      </c>
      <c r="K128" s="22">
        <f>(B128)</f>
        <v>0.57492883275217932</v>
      </c>
      <c r="L128" s="22">
        <f>IF(L124=L119,0,(L119-L124)/(B119-B124)*K128)</f>
        <v>0.33824269268045565</v>
      </c>
      <c r="M128" s="57">
        <f t="shared" si="90"/>
        <v>7.1745471623619439E-2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6.1309522781576247</v>
      </c>
      <c r="K129" s="29">
        <f>(B129)</f>
        <v>11.229069403485196</v>
      </c>
      <c r="L129" s="60">
        <f>IF(SUM(L124:L128)&gt;L130,0,L130-SUM(L124:L128))</f>
        <v>5.8367403185262754</v>
      </c>
      <c r="M129" s="57">
        <f t="shared" si="90"/>
        <v>6.1309522781576247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10.791306829618623</v>
      </c>
      <c r="J130" s="227">
        <f>(J119)</f>
        <v>11.610409385149744</v>
      </c>
      <c r="K130" s="22">
        <f>(B130)</f>
        <v>19.130852407360489</v>
      </c>
      <c r="L130" s="22">
        <f>(L119)</f>
        <v>11.582694646575231</v>
      </c>
      <c r="M130" s="57">
        <f t="shared" si="90"/>
        <v>11.610409385149744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3873.1749481952306</v>
      </c>
      <c r="G72" s="109">
        <f>Poor!T7</f>
        <v>5296.7119827635725</v>
      </c>
      <c r="H72" s="109">
        <f>Middle!T7</f>
        <v>6588.0871912242892</v>
      </c>
      <c r="I72" s="109">
        <f>Rich!T7</f>
        <v>8880.7304637512607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135.62094054419282</v>
      </c>
      <c r="G73" s="109">
        <f>Poor!T8</f>
        <v>28.999999999999982</v>
      </c>
      <c r="H73" s="109">
        <f>Middle!T8</f>
        <v>6558.5756253798263</v>
      </c>
      <c r="I73" s="109">
        <f>Rich!T8</f>
        <v>29208.166305209328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246.48301097974294</v>
      </c>
      <c r="G74" s="109">
        <f>Poor!T9</f>
        <v>615.61511090225247</v>
      </c>
      <c r="H74" s="109">
        <f>Middle!T9</f>
        <v>1297.8171737551531</v>
      </c>
      <c r="I74" s="109">
        <f>Rich!T9</f>
        <v>1971.2968120728758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0.84285714285714286</v>
      </c>
      <c r="H75" s="109">
        <f>Middle!T10</f>
        <v>523.97082597604526</v>
      </c>
      <c r="I75" s="109">
        <f>Rich!T10</f>
        <v>959.40634216668138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385.88408163265302</v>
      </c>
      <c r="G76" s="109">
        <f>Poor!T11</f>
        <v>2730.2840000000006</v>
      </c>
      <c r="H76" s="109">
        <f>Middle!T11</f>
        <v>12040.686960751076</v>
      </c>
      <c r="I76" s="109">
        <f>Rich!T11</f>
        <v>24195.896806123801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355.22685751017309</v>
      </c>
      <c r="G77" s="109">
        <f>Poor!T12</f>
        <v>397.02266015746426</v>
      </c>
      <c r="H77" s="109">
        <f>Middle!T12</f>
        <v>42.897779931595615</v>
      </c>
      <c r="I77" s="109">
        <f>Rich!T12</f>
        <v>33.945358157319767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6573.8308531625617</v>
      </c>
      <c r="G78" s="109">
        <f>Poor!T13</f>
        <v>7579.2941859256289</v>
      </c>
      <c r="H78" s="109">
        <f>Middle!T13</f>
        <v>6566.8446308477232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33567.869387755105</v>
      </c>
      <c r="I79" s="109">
        <f>Rich!T14</f>
        <v>121836.87836734694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2000.8364157242634</v>
      </c>
      <c r="G81" s="109">
        <f>Poor!T16</f>
        <v>1615.5428571428572</v>
      </c>
      <c r="H81" s="109">
        <f>Middle!T16</f>
        <v>7101.3146048047811</v>
      </c>
      <c r="I81" s="109">
        <f>Rich!T16</f>
        <v>778.18455362066959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26458.340197615471</v>
      </c>
      <c r="G85" s="109">
        <f>Poor!T20</f>
        <v>26446.761659711399</v>
      </c>
      <c r="H85" s="109">
        <f>Middle!T20</f>
        <v>18785.952030399749</v>
      </c>
      <c r="I85" s="109">
        <f>Rich!T20</f>
        <v>11722.134887542605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48562.852881806029</v>
      </c>
      <c r="G88" s="109">
        <f>Poor!T23</f>
        <v>54215.464587763789</v>
      </c>
      <c r="H88" s="109">
        <f>Middle!T23</f>
        <v>117048.46078616465</v>
      </c>
      <c r="I88" s="109">
        <f>Rich!T23</f>
        <v>249898.04489500157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7633.363393347965</v>
      </c>
      <c r="G99" s="238">
        <f t="shared" si="0"/>
        <v>1980.751687390235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41707.525026001007</v>
      </c>
      <c r="G100" s="238">
        <f t="shared" si="0"/>
        <v>36054.913320043233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2016-06-02T07:03:34Z</dcterms:modified>
  <cp:category/>
</cp:coreProperties>
</file>