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2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<sst xmlns="http://schemas.openxmlformats.org/spreadsheetml/2006/main" count="790" uniqueCount="145">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</sst>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0.00166874221668742</c:v>
                </c:pt>
                <c:pt idx="2" formatCode="0.0%">
                  <c:v>0.00166874221668742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0.0165705775217933</c:v>
                </c:pt>
                <c:pt idx="2" formatCode="0.0%">
                  <c:v>0.0165705775217933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0.00439926836861768</c:v>
                </c:pt>
                <c:pt idx="2" formatCode="0.0%">
                  <c:v>0.00439926836861768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0.0116981433997509</c:v>
                </c:pt>
                <c:pt idx="2" formatCode="0.0%">
                  <c:v>0.0211321300124533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0.00166189290161893</c:v>
                </c:pt>
                <c:pt idx="2" formatCode="0.0%">
                  <c:v>0.0024813982974702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0.00416446139476961</c:v>
                </c:pt>
                <c:pt idx="2" formatCode="0.0%">
                  <c:v>0.00416446139476961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0.0283899452054794</c:v>
                </c:pt>
                <c:pt idx="2" formatCode="0.0%">
                  <c:v>0.0283899452054794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0.257819366685091</c:v>
                </c:pt>
                <c:pt idx="2" formatCode="0.0%">
                  <c:v>0.522498184475678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935848"/>
        <c:axId val="-2075939176"/>
      </c:barChart>
      <c:catAx>
        <c:axId val="-207593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93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93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93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0.0342495573680086</c:v>
                </c:pt>
                <c:pt idx="2">
                  <c:v>0.0342495573680086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0.0256871680260064</c:v>
                </c:pt>
                <c:pt idx="2">
                  <c:v>0.0428119467100107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0.00609526020956085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0.0101587670159347</c:v>
                </c:pt>
                <c:pt idx="2">
                  <c:v>0.0248889791890401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0.000804574347662032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0.0062740545090413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0.00325080544509912</c:v>
                </c:pt>
                <c:pt idx="2">
                  <c:v>0.00325080544509912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0.00081270136127478</c:v>
                </c:pt>
                <c:pt idx="2">
                  <c:v>0.00081270136127478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0.0121138942907729</c:v>
                </c:pt>
                <c:pt idx="2">
                  <c:v>0.0121138942907729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0.0119536760224073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0.754175253243549</c:v>
                </c:pt>
                <c:pt idx="2">
                  <c:v>0.754175253243549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812920"/>
        <c:axId val="-2073816056"/>
      </c:barChart>
      <c:catAx>
        <c:axId val="-20738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81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81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81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0.0817372631870605</c:v>
                </c:pt>
                <c:pt idx="2">
                  <c:v>0.102171578983826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0.0255428947459564</c:v>
                </c:pt>
                <c:pt idx="2">
                  <c:v>0.0306514736951477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0.00476396633533058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0.00606102587192186</c:v>
                </c:pt>
                <c:pt idx="2">
                  <c:v>0.0112735081217747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0.000480033249056211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0.00363661552315312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0.00552765559519274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0.0013576697953105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0.0899109895057666</c:v>
                </c:pt>
                <c:pt idx="2">
                  <c:v>0.0899109895057666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0.194207737332456</c:v>
                </c:pt>
                <c:pt idx="2">
                  <c:v>0.194207737332456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0.125916253939667</c:v>
                </c:pt>
                <c:pt idx="2">
                  <c:v>0.125916253939667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956376"/>
        <c:axId val="-2073959512"/>
      </c:barChart>
      <c:catAx>
        <c:axId val="-207395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95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95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956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1.18</c:v>
                </c:pt>
                <c:pt idx="2">
                  <c:v>1.18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773512"/>
        <c:axId val="-2074770488"/>
      </c:barChart>
      <c:catAx>
        <c:axId val="-20747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77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77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77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1039.937966272888</c:v>
                </c:pt>
                <c:pt idx="5">
                  <c:v>1242.863194411793</c:v>
                </c:pt>
                <c:pt idx="6">
                  <c:v>1967.19723687314</c:v>
                </c:pt>
                <c:pt idx="7">
                  <c:v>2133.165071001467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42.0</c:v>
                </c:pt>
                <c:pt idx="6">
                  <c:v>997.4999999999999</c:v>
                </c:pt>
                <c:pt idx="7">
                  <c:v>976.8888888888887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62.33247554789808</c:v>
                </c:pt>
                <c:pt idx="5">
                  <c:v>96.33335797768255</c:v>
                </c:pt>
                <c:pt idx="6">
                  <c:v>165.9933587333901</c:v>
                </c:pt>
                <c:pt idx="7">
                  <c:v>432.3465404733914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295.0</c:v>
                </c:pt>
                <c:pt idx="6">
                  <c:v>2655.0</c:v>
                </c:pt>
                <c:pt idx="7">
                  <c:v>7394.666666666666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234.9665829792843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1143.743821866164</c:v>
                </c:pt>
                <c:pt idx="6">
                  <c:v>417.3600000000001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14583.75111111111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411.84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25983.6</c:v>
                </c:pt>
                <c:pt idx="5">
                  <c:v>25983.6</c:v>
                </c:pt>
                <c:pt idx="6">
                  <c:v>25983.6</c:v>
                </c:pt>
                <c:pt idx="7">
                  <c:v>6463.253333333333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4984744"/>
        <c:axId val="-207498813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984744"/>
        <c:axId val="-2074988136"/>
      </c:lineChart>
      <c:catAx>
        <c:axId val="-207498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98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98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984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103640"/>
        <c:axId val="-20751068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03640"/>
        <c:axId val="-2075106888"/>
      </c:lineChart>
      <c:catAx>
        <c:axId val="-207510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10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0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103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2567640"/>
        <c:axId val="-20725643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67640"/>
        <c:axId val="-2072564360"/>
      </c:lineChart>
      <c:catAx>
        <c:axId val="-20725676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56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56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56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0.777060311852178</c:v>
                </c:pt>
                <c:pt idx="2">
                  <c:v>0.777060311852178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0.33179621788418</c:v>
                </c:pt>
                <c:pt idx="2">
                  <c:v>0.32394500186129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0.147063725436543</c:v>
                </c:pt>
                <c:pt idx="2">
                  <c:v>0.298040176464629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-0.674221404727842</c:v>
                </c:pt>
                <c:pt idx="2">
                  <c:v>-0.648316579331181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492008"/>
        <c:axId val="-2072488632"/>
      </c:barChart>
      <c:catAx>
        <c:axId val="-207249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88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488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9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0.551788829113968</c:v>
                </c:pt>
                <c:pt idx="2">
                  <c:v>0.551788829113968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0.0993221385170218</c:v>
                </c:pt>
                <c:pt idx="2">
                  <c:v>0.187412735976849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0.0993221385170218</c:v>
                </c:pt>
                <c:pt idx="2">
                  <c:v>0.187412735976849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-0.478763145928269</c:v>
                </c:pt>
                <c:pt idx="2">
                  <c:v>-0.215377998686343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429608"/>
        <c:axId val="-2072426200"/>
      </c:barChart>
      <c:catAx>
        <c:axId val="-207242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2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42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29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0.0254773019506606</c:v>
                </c:pt>
                <c:pt idx="2">
                  <c:v>0.105963986065683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0.0254773019506606</c:v>
                </c:pt>
                <c:pt idx="2">
                  <c:v>0.105963986065683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-0.321350050219929</c:v>
                </c:pt>
                <c:pt idx="2">
                  <c:v>-0.224551041370751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374264"/>
        <c:axId val="-2072370760"/>
      </c:barChart>
      <c:catAx>
        <c:axId val="-207237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7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37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7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0.86334153176492</c:v>
                </c:pt>
                <c:pt idx="2">
                  <c:v>0.86334153176492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0.31665846823508</c:v>
                </c:pt>
                <c:pt idx="2">
                  <c:v>0.31665846823508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0.182498308291798</c:v>
                </c:pt>
                <c:pt idx="2">
                  <c:v>0.31665846823508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-0.749083863154708</c:v>
                </c:pt>
                <c:pt idx="2">
                  <c:v>-0.749083863154708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313208"/>
        <c:axId val="-2072309832"/>
      </c:barChart>
      <c:catAx>
        <c:axId val="-207231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0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30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13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0.0026074097135741</c:v>
                </c:pt>
                <c:pt idx="2" formatCode="0.0%">
                  <c:v>0.0026074097135741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0.00928734433374844</c:v>
                </c:pt>
                <c:pt idx="2" formatCode="0.0%">
                  <c:v>0.00928734433374844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0.0399233604452055</c:v>
                </c:pt>
                <c:pt idx="2" formatCode="0.0%">
                  <c:v>0.0621030051369863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0.0215417507783313</c:v>
                </c:pt>
                <c:pt idx="2" formatCode="0.0%">
                  <c:v>0.0135326383094645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0.00044970298879203</c:v>
                </c:pt>
                <c:pt idx="2" formatCode="0.0%">
                  <c:v>0.000674554483188045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0.0122517123287671</c:v>
                </c:pt>
                <c:pt idx="2" formatCode="0.0%">
                  <c:v>0.0141080323785803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0.0188679732254047</c:v>
                </c:pt>
                <c:pt idx="2" formatCode="0.0%">
                  <c:v>0.0283019598381071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0.0049123599003736</c:v>
                </c:pt>
                <c:pt idx="2" formatCode="0.0%">
                  <c:v>0.00954693372549234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0.00419831880448319</c:v>
                </c:pt>
                <c:pt idx="2" formatCode="0.0%">
                  <c:v>0.00419831880448319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0.245209820692782</c:v>
                </c:pt>
                <c:pt idx="2" formatCode="0.0%">
                  <c:v>0.462690836812289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854424"/>
        <c:axId val="-2074851128"/>
      </c:barChart>
      <c:catAx>
        <c:axId val="-207485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85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85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85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2145400"/>
        <c:axId val="-20721419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45400"/>
        <c:axId val="-20721419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145400"/>
        <c:axId val="-2072141976"/>
      </c:scatterChart>
      <c:catAx>
        <c:axId val="-2072145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2141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2141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2145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3995336"/>
        <c:axId val="-20739987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95336"/>
        <c:axId val="-2073998760"/>
      </c:lineChart>
      <c:catAx>
        <c:axId val="-20739953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9987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3998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9953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065752"/>
        <c:axId val="-20630624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058792"/>
        <c:axId val="-2063055896"/>
      </c:scatterChart>
      <c:valAx>
        <c:axId val="-20630657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062408"/>
        <c:crosses val="autoZero"/>
        <c:crossBetween val="midCat"/>
      </c:valAx>
      <c:valAx>
        <c:axId val="-2063062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065752"/>
        <c:crosses val="autoZero"/>
        <c:crossBetween val="midCat"/>
      </c:valAx>
      <c:valAx>
        <c:axId val="-20630587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63055896"/>
        <c:crosses val="autoZero"/>
        <c:crossBetween val="midCat"/>
      </c:valAx>
      <c:valAx>
        <c:axId val="-20630558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0587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975544"/>
        <c:axId val="20950314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75544"/>
        <c:axId val="2095031496"/>
      </c:lineChart>
      <c:catAx>
        <c:axId val="-206297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031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5031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9755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0.0170953369309534</c:v>
                </c:pt>
                <c:pt idx="2" formatCode="0.0%">
                  <c:v>0.0170953369309534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0.0138857565379826</c:v>
                </c:pt>
                <c:pt idx="2" formatCode="0.0%">
                  <c:v>0.0138857565379826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0.01</c:v>
                </c:pt>
                <c:pt idx="2" formatCode="0.0%">
                  <c:v>0.01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0.0487360726027397</c:v>
                </c:pt>
                <c:pt idx="2" formatCode="0.0%">
                  <c:v>0.0693976438356164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0.0115684464508095</c:v>
                </c:pt>
                <c:pt idx="2" formatCode="0.0%">
                  <c:v>0.0115684464508095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0.0133546580323786</c:v>
                </c:pt>
                <c:pt idx="2" formatCode="0.0%">
                  <c:v>0.00913222938978829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0.00039973599003736</c:v>
                </c:pt>
                <c:pt idx="2" formatCode="0.0%">
                  <c:v>0.00059960398505604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0.00759028642590286</c:v>
                </c:pt>
                <c:pt idx="2" formatCode="0.0%">
                  <c:v>0.0125404732254047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0.0209644146948941</c:v>
                </c:pt>
                <c:pt idx="2" formatCode="0.0%">
                  <c:v>0.0310273337484433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0.00141206586412066</c:v>
                </c:pt>
                <c:pt idx="2" formatCode="0.0%">
                  <c:v>0.0040783157509138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0.00451432129514321</c:v>
                </c:pt>
                <c:pt idx="2" formatCode="0.0%">
                  <c:v>0.00451432129514321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0.0168372381594336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0.0937103526283483</c:v>
                </c:pt>
                <c:pt idx="2" formatCode="0.0%">
                  <c:v>0.389755654635284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066728"/>
        <c:axId val="-2076070088"/>
      </c:barChart>
      <c:catAx>
        <c:axId val="-207606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7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07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66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0.00281600249066002</c:v>
                </c:pt>
                <c:pt idx="2" formatCode="0.0%">
                  <c:v>0.00281600249066002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0.000469333748443337</c:v>
                </c:pt>
                <c:pt idx="2" formatCode="0.0%">
                  <c:v>0.000469333748443337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 formatCode="0.0%">
                  <c:v>0.00883764134495641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0.00997167496886675</c:v>
                </c:pt>
                <c:pt idx="2" formatCode="0.0%">
                  <c:v>0.0124645937110834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0.00660379062889165</c:v>
                </c:pt>
                <c:pt idx="2" formatCode="0.0%">
                  <c:v>0.00660379062889165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0.0012219800747198</c:v>
                </c:pt>
                <c:pt idx="2" formatCode="0.0%">
                  <c:v>0.0012219800747198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0.00507861145703611</c:v>
                </c:pt>
                <c:pt idx="2" formatCode="0.0%">
                  <c:v>0.00507861145703611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0.287965799478957</c:v>
                </c:pt>
                <c:pt idx="2" formatCode="0.0%">
                  <c:v>0.499658379415209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662120"/>
        <c:axId val="-2073658792"/>
      </c:barChart>
      <c:catAx>
        <c:axId val="-207366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5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65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62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0.00113474470734745</c:v>
                </c:pt>
                <c:pt idx="1">
                  <c:v>0.00113474470734745</c:v>
                </c:pt>
                <c:pt idx="2">
                  <c:v>0.0022027397260274</c:v>
                </c:pt>
                <c:pt idx="3">
                  <c:v>0.0022027397260274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0.0209372587173101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0.106462294520548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0.044409147758406</c:v>
                </c:pt>
                <c:pt idx="3">
                  <c:v>0.0218731623287671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0.00439926836861768</c:v>
                </c:pt>
                <c:pt idx="1">
                  <c:v>0.00439926836861768</c:v>
                </c:pt>
                <c:pt idx="2">
                  <c:v>0.00439926836861768</c:v>
                </c:pt>
                <c:pt idx="3">
                  <c:v>0.00439926836861768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0.0207907845579078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0.0248598377466501</c:v>
                </c:pt>
                <c:pt idx="1">
                  <c:v>0.014919283788792</c:v>
                </c:pt>
                <c:pt idx="2">
                  <c:v>0.019889560767721</c:v>
                </c:pt>
                <c:pt idx="3">
                  <c:v>0.0248598377466501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-0.113173717546055</c:v>
                </c:pt>
                <c:pt idx="1">
                  <c:v>-0.0823007775560911</c:v>
                </c:pt>
                <c:pt idx="2">
                  <c:v>-0.143214390328159</c:v>
                </c:pt>
                <c:pt idx="3">
                  <c:v>2.428681623333019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568600"/>
        <c:axId val="-2073565224"/>
      </c:barChart>
      <c:catAx>
        <c:axId val="-2073568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5652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56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56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0.00191488169364882</c:v>
                </c:pt>
                <c:pt idx="1">
                  <c:v>0.00191488169364882</c:v>
                </c:pt>
                <c:pt idx="2">
                  <c:v>0.00371712328767123</c:v>
                </c:pt>
                <c:pt idx="3">
                  <c:v>0.00371712328767123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0.00187733499377335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0.0047251400996264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0.106462294520548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0.0236848788044832</c:v>
                </c:pt>
                <c:pt idx="3">
                  <c:v>0.0116656865753425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0.0498583748443337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-1.36227473418857</c:v>
                </c:pt>
                <c:pt idx="1">
                  <c:v>-1.36227473418857</c:v>
                </c:pt>
                <c:pt idx="2">
                  <c:v>-1.36227473418857</c:v>
                </c:pt>
                <c:pt idx="3">
                  <c:v>-1.36227473418857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461672"/>
        <c:axId val="-2073458296"/>
      </c:barChart>
      <c:catAx>
        <c:axId val="-20734616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458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45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461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0.00177303860523039</c:v>
                </c:pt>
                <c:pt idx="1">
                  <c:v>0.00177303860523039</c:v>
                </c:pt>
                <c:pt idx="2">
                  <c:v>0.00344178082191781</c:v>
                </c:pt>
                <c:pt idx="3">
                  <c:v>0.00344178082191781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0.0371493773349938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0.248412020547945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0.0362674706693649</c:v>
                </c:pt>
                <c:pt idx="3">
                  <c:v>0.0178630825684931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0.00269821793275218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0.0564321295143213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0.0332944255535492</c:v>
                </c:pt>
                <c:pt idx="1">
                  <c:v>0.0199811836457036</c:v>
                </c:pt>
                <c:pt idx="2">
                  <c:v>0.0266378045996264</c:v>
                </c:pt>
                <c:pt idx="3">
                  <c:v>0.0332944255535492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-0.262592333514905</c:v>
                </c:pt>
                <c:pt idx="1">
                  <c:v>-0.618596530077461</c:v>
                </c:pt>
                <c:pt idx="2">
                  <c:v>-0.618596530077461</c:v>
                </c:pt>
                <c:pt idx="3">
                  <c:v>-0.503615890321381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350808"/>
        <c:axId val="-2073347432"/>
      </c:barChart>
      <c:catAx>
        <c:axId val="-2073350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347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34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35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0.0116248291130483</c:v>
                </c:pt>
                <c:pt idx="1">
                  <c:v>0.0116248291130483</c:v>
                </c:pt>
                <c:pt idx="2">
                  <c:v>0.0225658447488584</c:v>
                </c:pt>
                <c:pt idx="3">
                  <c:v>0.0225658447488584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0.0555430261519303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0.277590575342466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0.0462737858032378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0.0244743747646326</c:v>
                </c:pt>
                <c:pt idx="3">
                  <c:v>0.0120545427945205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0.00239841594022416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0.0501618929016189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0.0365005554216687</c:v>
                </c:pt>
                <c:pt idx="1">
                  <c:v>0.021905297626401</c:v>
                </c:pt>
                <c:pt idx="2">
                  <c:v>0.0292029265240349</c:v>
                </c:pt>
                <c:pt idx="3">
                  <c:v>0.0365005554216687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0.202010348405546</c:v>
                </c:pt>
                <c:pt idx="1">
                  <c:v>0.633614577558224</c:v>
                </c:pt>
                <c:pt idx="2">
                  <c:v>0.583698988202722</c:v>
                </c:pt>
                <c:pt idx="3">
                  <c:v>-0.28869631332071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244792"/>
        <c:axId val="-2073241416"/>
      </c:barChart>
      <c:catAx>
        <c:axId val="-20732447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241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24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244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0.0120580421009606</c:v>
                </c:pt>
                <c:pt idx="2">
                  <c:v>0.0120580421009606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0.00743919885550786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0.000412017167381974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0.00171673819742489</c:v>
                </c:pt>
                <c:pt idx="2">
                  <c:v>0.00171673819742489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0.025158185162477</c:v>
                </c:pt>
                <c:pt idx="2">
                  <c:v>0.025158185162477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1.062072348252606</c:v>
                </c:pt>
                <c:pt idx="2">
                  <c:v>1.062072348252606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065640"/>
        <c:axId val="-2073062584"/>
      </c:barChart>
      <c:catAx>
        <c:axId val="-207306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06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06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06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2.8160024906600254E-3</v>
      </c>
      <c r="J6" s="24">
        <f t="shared" ref="J6:J13" si="3">IF(I$32&lt;=1+I$131,I6,B6*H6+J$33*(I6-B6*H6))</f>
        <v>2.8160024906600254E-3</v>
      </c>
      <c r="K6" s="22">
        <f t="shared" ref="K6:K31" si="4">B6</f>
        <v>1.4080012453300126E-2</v>
      </c>
      <c r="L6" s="22">
        <f t="shared" ref="L6:L29" si="5">IF(K6="","",K6*H6)</f>
        <v>2.8160024906600254E-3</v>
      </c>
      <c r="M6" s="177">
        <f t="shared" ref="M6:M31" si="6">J6</f>
        <v>2.8160024906600254E-3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1.1264009962640101E-2</v>
      </c>
      <c r="Z6" s="156">
        <f>Poor!Z6</f>
        <v>0.17</v>
      </c>
      <c r="AA6" s="121">
        <f>$M6*Z6*4</f>
        <v>1.9148816936488174E-3</v>
      </c>
      <c r="AB6" s="156">
        <f>Poor!AB6</f>
        <v>0.17</v>
      </c>
      <c r="AC6" s="121">
        <f t="shared" ref="AC6:AC29" si="7">$M6*AB6*4</f>
        <v>1.9148816936488174E-3</v>
      </c>
      <c r="AD6" s="156">
        <f>Poor!AD6</f>
        <v>0.33</v>
      </c>
      <c r="AE6" s="121">
        <f t="shared" ref="AE6:AE29" si="8">$M6*AD6*4</f>
        <v>3.7171232876712338E-3</v>
      </c>
      <c r="AF6" s="122">
        <f>1-SUM(Z6,AB6,AD6)</f>
        <v>0.32999999999999996</v>
      </c>
      <c r="AG6" s="121">
        <f>$M6*AF6*4</f>
        <v>3.7171232876712329E-3</v>
      </c>
      <c r="AH6" s="123">
        <f>SUM(Z6,AB6,AD6,AF6)</f>
        <v>1</v>
      </c>
      <c r="AI6" s="183">
        <f>SUM(AA6,AC6,AE6,AG6)/4</f>
        <v>2.8160024906600254E-3</v>
      </c>
      <c r="AJ6" s="120">
        <f>(AA6+AC6)/2</f>
        <v>1.9148816936488174E-3</v>
      </c>
      <c r="AK6" s="119">
        <f>(AE6+AG6)/2</f>
        <v>3.7171232876712333E-3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4.6933374844333753E-4</v>
      </c>
      <c r="J7" s="24">
        <f t="shared" si="3"/>
        <v>4.6933374844333753E-4</v>
      </c>
      <c r="K7" s="22">
        <f t="shared" si="4"/>
        <v>2.3466687422166875E-3</v>
      </c>
      <c r="L7" s="22">
        <f t="shared" si="5"/>
        <v>4.6933374844333753E-4</v>
      </c>
      <c r="M7" s="177">
        <f t="shared" si="6"/>
        <v>4.6933374844333753E-4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1005.148852229533</v>
      </c>
      <c r="T7" s="222">
        <f>IF($B$81=0,0,(SUMIF($N$6:$N$28,$U7,M$6:M$28)+SUMIF($N$91:$N$118,$U7,M$91:M$118))*$I$83*Poor!$B$81/$B$81)</f>
        <v>1039.9379662728882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1.8773349937733501E-3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1.8773349937733501E-3</v>
      </c>
      <c r="AH7" s="123">
        <f t="shared" ref="AH7:AH30" si="12">SUM(Z7,AB7,AD7,AF7)</f>
        <v>1</v>
      </c>
      <c r="AI7" s="183">
        <f t="shared" ref="AI7:AI30" si="13">SUM(AA7,AC7,AE7,AG7)/4</f>
        <v>4.6933374844333753E-4</v>
      </c>
      <c r="AJ7" s="120">
        <f t="shared" ref="AJ7:AJ31" si="14">(AA7+AC7)/2</f>
        <v>0</v>
      </c>
      <c r="AK7" s="119">
        <f t="shared" ref="AK7:AK31" si="15">(AE7+AG7)/2</f>
        <v>9.3866749688667505E-4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4">
        <f t="shared" si="6"/>
        <v>1.1812850249066002E-3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4.7251400996264009E-3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62.332475547898078</v>
      </c>
      <c r="T9" s="222">
        <f>IF($B$81=0,0,(SUMIF($N$6:$N$28,$U9,M$6:M$28)+SUMIF($N$91:$N$118,$U9,M$91:M$118))*$I$83*Poor!$B$81/$B$81)</f>
        <v>62.332475547898078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0.10646229452054792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0.10646229452054792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5.3231147260273962E-2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0.2</v>
      </c>
      <c r="H12" s="24">
        <f t="shared" si="1"/>
        <v>0.2</v>
      </c>
      <c r="I12" s="22">
        <f t="shared" si="2"/>
        <v>8.8376413449564161E-3</v>
      </c>
      <c r="J12" s="24">
        <f t="shared" si="3"/>
        <v>8.8376413449564161E-3</v>
      </c>
      <c r="K12" s="22">
        <f t="shared" si="4"/>
        <v>4.4188206724782075E-2</v>
      </c>
      <c r="L12" s="22">
        <f t="shared" si="5"/>
        <v>8.8376413449564161E-3</v>
      </c>
      <c r="M12" s="224">
        <f t="shared" si="6"/>
        <v>8.8376413449564161E-3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3.5350565379825664E-2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2.3684878804483198E-2</v>
      </c>
      <c r="AF12" s="122">
        <f>1-SUM(Z12,AB12,AD12)</f>
        <v>0.32999999999999996</v>
      </c>
      <c r="AG12" s="121">
        <f>$M12*AF12*4</f>
        <v>1.1665686575342468E-2</v>
      </c>
      <c r="AH12" s="123">
        <f t="shared" si="12"/>
        <v>1</v>
      </c>
      <c r="AI12" s="183">
        <f t="shared" si="13"/>
        <v>8.8376413449564161E-3</v>
      </c>
      <c r="AJ12" s="120">
        <f t="shared" si="14"/>
        <v>0</v>
      </c>
      <c r="AK12" s="119">
        <f t="shared" si="15"/>
        <v>1.7675282689912832E-2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0.2</v>
      </c>
      <c r="H13" s="24">
        <f t="shared" si="1"/>
        <v>0.2</v>
      </c>
      <c r="I13" s="22">
        <f t="shared" si="2"/>
        <v>1.2464593711083438E-2</v>
      </c>
      <c r="J13" s="24">
        <f t="shared" si="3"/>
        <v>1.2464593711083438E-2</v>
      </c>
      <c r="K13" s="22">
        <f t="shared" si="4"/>
        <v>4.9858374844333753E-2</v>
      </c>
      <c r="L13" s="22">
        <f t="shared" si="5"/>
        <v>9.9716749688667505E-3</v>
      </c>
      <c r="M13" s="225">
        <f t="shared" si="6"/>
        <v>1.2464593711083438E-2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4.9858374844333753E-2</v>
      </c>
      <c r="Z13" s="156">
        <f>Poor!Z13</f>
        <v>1</v>
      </c>
      <c r="AA13" s="121">
        <f>$M13*Z13*4</f>
        <v>4.9858374844333753E-2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1.2464593711083438E-2</v>
      </c>
      <c r="AJ13" s="120">
        <f t="shared" si="14"/>
        <v>2.4929187422166876E-2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5.197696139476962E-3</v>
      </c>
      <c r="J16" s="24">
        <f t="shared" si="17"/>
        <v>5.197696139476962E-3</v>
      </c>
      <c r="K16" s="22">
        <f t="shared" ref="K16:K25" si="21">B16</f>
        <v>2.5988480697384807E-2</v>
      </c>
      <c r="L16" s="22">
        <f t="shared" ref="L16:L25" si="22">IF(K16="","",K16*H16)</f>
        <v>5.197696139476962E-3</v>
      </c>
      <c r="M16" s="226">
        <f t="shared" ref="M16:M25" si="23">J16</f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0.2</v>
      </c>
      <c r="F17" s="22"/>
      <c r="H17" s="24">
        <f t="shared" si="19"/>
        <v>0.2</v>
      </c>
      <c r="I17" s="22">
        <f t="shared" si="20"/>
        <v>6.6037906288916566E-3</v>
      </c>
      <c r="J17" s="24">
        <f t="shared" si="17"/>
        <v>6.6037906288916566E-3</v>
      </c>
      <c r="K17" s="22">
        <f t="shared" si="21"/>
        <v>3.3018953144458282E-2</v>
      </c>
      <c r="L17" s="22">
        <f t="shared" si="22"/>
        <v>6.6037906288916566E-3</v>
      </c>
      <c r="M17" s="226">
        <f t="shared" si="23"/>
        <v>6.6037906288916566E-3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0.2</v>
      </c>
      <c r="F18" s="22"/>
      <c r="H18" s="24">
        <f t="shared" si="19"/>
        <v>0.2</v>
      </c>
      <c r="I18" s="22">
        <f t="shared" si="20"/>
        <v>1.2219800747198008E-3</v>
      </c>
      <c r="J18" s="24">
        <f t="shared" si="17"/>
        <v>1.2219800747198008E-3</v>
      </c>
      <c r="K18" s="22">
        <f t="shared" si="21"/>
        <v>6.1099003735990039E-3</v>
      </c>
      <c r="L18" s="22">
        <f t="shared" si="22"/>
        <v>1.2219800747198008E-3</v>
      </c>
      <c r="M18" s="226">
        <f t="shared" si="23"/>
        <v>1.2219800747198008E-3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0.2</v>
      </c>
      <c r="F19" s="22"/>
      <c r="H19" s="24">
        <f t="shared" si="19"/>
        <v>0.2</v>
      </c>
      <c r="I19" s="22">
        <f t="shared" si="20"/>
        <v>5.0786114570361149E-3</v>
      </c>
      <c r="J19" s="24">
        <f t="shared" si="17"/>
        <v>5.0786114570361149E-3</v>
      </c>
      <c r="K19" s="22">
        <f t="shared" si="21"/>
        <v>2.5393057285180574E-2</v>
      </c>
      <c r="L19" s="22">
        <f t="shared" si="22"/>
        <v>5.0786114570361149E-3</v>
      </c>
      <c r="M19" s="226">
        <f t="shared" si="23"/>
        <v>5.0786114570361149E-3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28712.41152899967</v>
      </c>
      <c r="T23" s="179">
        <f>SUM(T7:T22)</f>
        <v>28747.200643043027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0.49965837941520874</v>
      </c>
      <c r="J30" s="231">
        <f>IF(I$32&lt;=1,I30,1-SUM(J6:J29))</f>
        <v>0.49965837941520874</v>
      </c>
      <c r="K30" s="22">
        <f t="shared" si="4"/>
        <v>0.57517989881693654</v>
      </c>
      <c r="L30" s="22">
        <f>IF(L124=L119,0,IF(K30="",0,(L119-L124)/(B119-B124)*K30))</f>
        <v>0.2879657994789574</v>
      </c>
      <c r="M30" s="175">
        <f t="shared" si="6"/>
        <v>0.49965837941520874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1118.6974931488949</v>
      </c>
      <c r="T30" s="234">
        <f t="shared" si="24"/>
        <v>1083.9083791055382</v>
      </c>
      <c r="V30" s="56"/>
      <c r="W30" s="110"/>
      <c r="X30" s="118"/>
      <c r="Y30" s="183">
        <f>M30*4</f>
        <v>1.998633517660835</v>
      </c>
      <c r="Z30" s="122">
        <f>IF($Y30=0,0,AA30/($Y$30))</f>
        <v>-0.68160306637054313</v>
      </c>
      <c r="AA30" s="187">
        <f>IF(AA79*4/$I$83+SUM(AA6:AA29)&lt;1,AA79*4/$I$83,1-SUM(AA6:AA29))</f>
        <v>-1.3622747341885701</v>
      </c>
      <c r="AB30" s="122">
        <f>IF($Y30=0,0,AC30/($Y$30))</f>
        <v>-0.68160306637054313</v>
      </c>
      <c r="AC30" s="187">
        <f>IF(AC79*4/$I$83+SUM(AC6:AC29)&lt;1,AC79*4/$I$83,1-SUM(AC6:AC29))</f>
        <v>-1.3622747341885701</v>
      </c>
      <c r="AD30" s="122">
        <f>IF($Y30=0,0,AE30/($Y$30))</f>
        <v>-0.68160306637054313</v>
      </c>
      <c r="AE30" s="187">
        <f>IF(AE79*4/$I$83+SUM(AE6:AE29)&lt;1,AE79*4/$I$83,1-SUM(AE6:AE29))</f>
        <v>-1.3622747341885701</v>
      </c>
      <c r="AF30" s="122">
        <f>IF($Y30=0,0,AG30/($Y$30))</f>
        <v>-0.68160306637054313</v>
      </c>
      <c r="AG30" s="187">
        <f>IF(AG79*4/$I$83+SUM(AG6:AG29)&lt;1,AG79*4/$I$83,1-SUM(AG6:AG29))</f>
        <v>-1.3622747341885701</v>
      </c>
      <c r="AH30" s="123">
        <f t="shared" si="12"/>
        <v>-2.7264122654821725</v>
      </c>
      <c r="AI30" s="183">
        <f t="shared" si="13"/>
        <v>-1.3622747341885701</v>
      </c>
      <c r="AJ30" s="120">
        <f t="shared" si="14"/>
        <v>-1.3622747341885701</v>
      </c>
      <c r="AK30" s="119">
        <f t="shared" si="15"/>
        <v>-1.3622747341885701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7.7670719344863803E-2</v>
      </c>
      <c r="K31" s="22" t="str">
        <f t="shared" si="4"/>
        <v/>
      </c>
      <c r="L31" s="22">
        <f>(1-SUM(L6:L30))</f>
        <v>0.30205309937504254</v>
      </c>
      <c r="M31" s="241">
        <f t="shared" si="6"/>
        <v>7.7670719344863803E-2</v>
      </c>
      <c r="N31" s="167">
        <f>M31*I83</f>
        <v>1083.90837910554</v>
      </c>
      <c r="P31" s="22"/>
      <c r="Q31" s="238" t="s">
        <v>142</v>
      </c>
      <c r="R31" s="234">
        <f t="shared" si="24"/>
        <v>7977.3159711895714</v>
      </c>
      <c r="S31" s="234">
        <f t="shared" si="24"/>
        <v>17613.524159815563</v>
      </c>
      <c r="T31" s="234">
        <f>IF(T25&gt;T$23,T25-T$23,0)</f>
        <v>17578.735045772206</v>
      </c>
      <c r="V31" s="56"/>
      <c r="W31" s="129" t="s">
        <v>84</v>
      </c>
      <c r="X31" s="130"/>
      <c r="Y31" s="121">
        <f>M31*4</f>
        <v>0.31068287737945521</v>
      </c>
      <c r="Z31" s="131"/>
      <c r="AA31" s="132">
        <f>1-AA32+IF($Y32&lt;0,$Y32/4,0)</f>
        <v>1.8216296500407971</v>
      </c>
      <c r="AB31" s="131"/>
      <c r="AC31" s="133">
        <f>1-AC32+IF($Y32&lt;0,$Y32/4,0)</f>
        <v>2.0166754595053051</v>
      </c>
      <c r="AD31" s="134"/>
      <c r="AE31" s="133">
        <f>1-AE32+IF($Y32&lt;0,$Y32/4,0)</f>
        <v>1.9911883391067997</v>
      </c>
      <c r="AF31" s="134"/>
      <c r="AG31" s="133">
        <f>1-AG32+IF($Y32&lt;0,$Y32/4,0)</f>
        <v>2.0013301963421668</v>
      </c>
      <c r="AH31" s="123"/>
      <c r="AI31" s="182">
        <f>SUM(AA31,AC31,AE31,AG31)/4</f>
        <v>1.9577059112487671</v>
      </c>
      <c r="AJ31" s="135">
        <f t="shared" si="14"/>
        <v>1.919152554773051</v>
      </c>
      <c r="AK31" s="136">
        <f t="shared" si="15"/>
        <v>1.9962592677244833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0.9223292806551362</v>
      </c>
      <c r="J32" s="17"/>
      <c r="L32" s="22">
        <f>SUM(L6:L30)</f>
        <v>0.69794690062495746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50351.444159815554</v>
      </c>
      <c r="T32" s="234">
        <f t="shared" si="24"/>
        <v>50316.655045772197</v>
      </c>
      <c r="V32" s="56"/>
      <c r="W32" s="110"/>
      <c r="X32" s="118"/>
      <c r="Y32" s="115">
        <f>SUM(Y6:Y31)</f>
        <v>3.9275916867995018</v>
      </c>
      <c r="Z32" s="137"/>
      <c r="AA32" s="138">
        <f>SUM(AA6:AA30)</f>
        <v>-0.82162965004079713</v>
      </c>
      <c r="AB32" s="137"/>
      <c r="AC32" s="139">
        <f>SUM(AC6:AC30)</f>
        <v>-1.0166754595053051</v>
      </c>
      <c r="AD32" s="137"/>
      <c r="AE32" s="139">
        <f>SUM(AE6:AE30)</f>
        <v>-0.9911883391067996</v>
      </c>
      <c r="AF32" s="137"/>
      <c r="AG32" s="139">
        <f>SUM(AG6:AG30)</f>
        <v>-1.001330196342167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2.4013078480607426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16494.826666666664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1</v>
      </c>
      <c r="L55" s="22">
        <f t="shared" si="34"/>
        <v>1.18</v>
      </c>
      <c r="M55" s="24">
        <f t="shared" si="35"/>
        <v>1.1800000000000002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25983.599999999999</v>
      </c>
      <c r="J65" s="39">
        <f>SUM(J37:J64)</f>
        <v>25983.600000000002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0.61667252268922845</v>
      </c>
      <c r="L70" s="22">
        <f t="shared" ref="L70:L74" si="45">(L124*G$37*F$9/F$7)/B$130</f>
        <v>0.86334153176491979</v>
      </c>
      <c r="M70" s="24">
        <f>J70/B$76</f>
        <v>0.8633415317649199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6972.8194705364685</v>
      </c>
      <c r="J71" s="51">
        <f t="shared" si="44"/>
        <v>6972.8194705364685</v>
      </c>
      <c r="K71" s="40">
        <f t="shared" ref="K71:K72" si="47">B71/B$76</f>
        <v>0.63481683318195581</v>
      </c>
      <c r="L71" s="22">
        <f t="shared" si="45"/>
        <v>0.31665846823508031</v>
      </c>
      <c r="M71" s="24">
        <f t="shared" ref="M71:M72" si="48">J71/B$76</f>
        <v>0.31665846823508031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6972.8194705364685</v>
      </c>
      <c r="J74" s="51">
        <f t="shared" si="44"/>
        <v>6972.8194705364685</v>
      </c>
      <c r="K74" s="40">
        <f>B74/B$76</f>
        <v>0.22092134949331008</v>
      </c>
      <c r="L74" s="22">
        <f t="shared" si="45"/>
        <v>0.18249830829179797</v>
      </c>
      <c r="M74" s="24">
        <f>J74/B$76</f>
        <v>0.31665846823508031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-4752.6951323658841</v>
      </c>
      <c r="AB74" s="156"/>
      <c r="AC74" s="147">
        <f>AC30*$I$83/4</f>
        <v>-4752.6951323658841</v>
      </c>
      <c r="AD74" s="156"/>
      <c r="AE74" s="147">
        <f>AE30*$I$83/4</f>
        <v>-4752.6951323658841</v>
      </c>
      <c r="AF74" s="156"/>
      <c r="AG74" s="147">
        <f>AG30*$I$83/4</f>
        <v>-4752.6951323658841</v>
      </c>
      <c r="AH74" s="155"/>
      <c r="AI74" s="147">
        <f>SUM(AA74,AC74,AE74,AG74)</f>
        <v>-19010.780529463536</v>
      </c>
      <c r="AJ74" s="148">
        <f>(AA74+AC74)</f>
        <v>-9505.3902647317682</v>
      </c>
      <c r="AK74" s="147">
        <f>(AE74+AG74)</f>
        <v>-9505.3902647317682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25983.600000000002</v>
      </c>
      <c r="J76" s="51">
        <f t="shared" si="44"/>
        <v>25983.600000000002</v>
      </c>
      <c r="K76" s="40">
        <f>SUM(K70:K75)</f>
        <v>2.8595133393336134</v>
      </c>
      <c r="L76" s="22">
        <f>SUM(L70:L75)</f>
        <v>1.3624983082917981</v>
      </c>
      <c r="M76" s="24">
        <f>SUM(M70:M75)</f>
        <v>1.4966584682350805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16494.826666666664</v>
      </c>
      <c r="K77" s="40"/>
      <c r="L77" s="22">
        <f>-(L131*G$37*F$9/F$7)/B$130</f>
        <v>-0.74908386315470787</v>
      </c>
      <c r="M77" s="24">
        <f>-J77/B$76</f>
        <v>-0.74908386315470776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6355.2895414148134</v>
      </c>
      <c r="AB77" s="112"/>
      <c r="AC77" s="111">
        <f>AC31*$I$83/4</f>
        <v>7035.7640785737867</v>
      </c>
      <c r="AD77" s="112"/>
      <c r="AE77" s="111">
        <f>AE31*$I$83/4</f>
        <v>6946.8447805673159</v>
      </c>
      <c r="AF77" s="112"/>
      <c r="AG77" s="111">
        <f>AG31*$I$83/4</f>
        <v>6982.2276253826749</v>
      </c>
      <c r="AH77" s="110"/>
      <c r="AI77" s="154">
        <f>SUM(AA77,AC77,AE77,AG77)</f>
        <v>27320.126025938593</v>
      </c>
      <c r="AJ77" s="153">
        <f>SUM(AA77,AC77)</f>
        <v>13391.053619988601</v>
      </c>
      <c r="AK77" s="160">
        <f>SUM(AE77,AG77)</f>
        <v>13929.072405949992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-4752.6951323658841</v>
      </c>
      <c r="AB79" s="112"/>
      <c r="AC79" s="112">
        <f>AA79-AA74+AC65-AC70</f>
        <v>-4752.6951323658841</v>
      </c>
      <c r="AD79" s="112"/>
      <c r="AE79" s="112">
        <f>AC79-AC74+AE65-AE70</f>
        <v>-4752.6951323658841</v>
      </c>
      <c r="AF79" s="112"/>
      <c r="AG79" s="112">
        <f>AE79-AE74+AG65-AG70</f>
        <v>-4752.6951323658841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0.33636363636363642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0.28606060606060607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0.28606060606060607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0.7151515151515152</v>
      </c>
      <c r="I109" s="22">
        <f t="shared" si="61"/>
        <v>1.8619331136037789</v>
      </c>
      <c r="J109" s="24">
        <f t="shared" si="62"/>
        <v>1.8619331136037789</v>
      </c>
      <c r="K109" s="22">
        <f t="shared" si="63"/>
        <v>2.6035505402086736</v>
      </c>
      <c r="L109" s="22">
        <f t="shared" si="64"/>
        <v>1.8619331136037789</v>
      </c>
      <c r="M109" s="228">
        <f t="shared" si="65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1.8619331136037789</v>
      </c>
      <c r="J119" s="24">
        <f>SUM(J91:J118)</f>
        <v>1.8619331136037789</v>
      </c>
      <c r="K119" s="22">
        <f>SUM(K91:K118)</f>
        <v>2.6035505402086736</v>
      </c>
      <c r="L119" s="22">
        <f>SUM(L91:L118)</f>
        <v>1.8619331136037789</v>
      </c>
      <c r="M119" s="57">
        <f t="shared" si="49"/>
        <v>1.8619331136037789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66"/>
        <v>1.3622747341885701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0.49965837941520874</v>
      </c>
      <c r="J125" s="237">
        <f>IF(SUMPRODUCT($B$124:$B125,$H$124:$H125)&lt;J$119,($B125*$H125),IF(SUMPRODUCT($B$124:$B124,$H$124:$H124)&lt;J$119,J$119-SUMPRODUCT($B$124:$B124,$H$124:$H124),0))</f>
        <v>0.49965837941520874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0.49965837941520874</v>
      </c>
      <c r="M125" s="240">
        <f t="shared" si="66"/>
        <v>0.49965837941520874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0.49965837941520874</v>
      </c>
      <c r="J128" s="228">
        <f>(J30)</f>
        <v>0.49965837941520874</v>
      </c>
      <c r="K128" s="29">
        <f>(B128)</f>
        <v>0.57517989881693654</v>
      </c>
      <c r="L128" s="29">
        <f>IF(L124=L119,0,(L119-L124)/(B119-B124)*K128)</f>
        <v>0.2879657994789574</v>
      </c>
      <c r="M128" s="240">
        <f t="shared" si="66"/>
        <v>0.49965837941520874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1.8619331136037789</v>
      </c>
      <c r="J130" s="228">
        <f>(J119)</f>
        <v>1.8619331136037789</v>
      </c>
      <c r="K130" s="29">
        <f>(B130)</f>
        <v>2.6035505402086736</v>
      </c>
      <c r="L130" s="29">
        <f>(L119)</f>
        <v>1.8619331136037789</v>
      </c>
      <c r="M130" s="240">
        <f t="shared" si="66"/>
        <v>1.8619331136037789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1.1819864827745694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1.6687422166874223E-3</v>
      </c>
      <c r="J6" s="24">
        <f t="shared" ref="J6:J13" si="3">IF(I$32&lt;=1+I$131,I6,B6*H6+J$33*(I6-B6*H6))</f>
        <v>1.6687422166874223E-3</v>
      </c>
      <c r="K6" s="22">
        <f t="shared" ref="K6:K31" si="4">B6</f>
        <v>8.3437110834371116E-3</v>
      </c>
      <c r="L6" s="22">
        <f t="shared" ref="L6:L29" si="5">IF(K6="","",K6*H6)</f>
        <v>1.6687422166874223E-3</v>
      </c>
      <c r="M6" s="224">
        <f t="shared" ref="M6:M31" si="6">J6</f>
        <v>1.6687422166874223E-3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6.6749688667496893E-3</v>
      </c>
      <c r="Z6" s="116">
        <v>0.17</v>
      </c>
      <c r="AA6" s="121">
        <f>$M6*Z6*4</f>
        <v>1.1347447073474474E-3</v>
      </c>
      <c r="AB6" s="116">
        <v>0.17</v>
      </c>
      <c r="AC6" s="121">
        <f t="shared" ref="AC6:AC29" si="7">$M6*AB6*4</f>
        <v>1.1347447073474474E-3</v>
      </c>
      <c r="AD6" s="116">
        <v>0.33</v>
      </c>
      <c r="AE6" s="121">
        <f t="shared" ref="AE6:AE29" si="8">$M6*AD6*4</f>
        <v>2.2027397260273975E-3</v>
      </c>
      <c r="AF6" s="122">
        <f>1-SUM(Z6,AB6,AD6)</f>
        <v>0.32999999999999996</v>
      </c>
      <c r="AG6" s="121">
        <f>$M6*AF6*4</f>
        <v>2.2027397260273971E-3</v>
      </c>
      <c r="AH6" s="123">
        <f>SUM(Z6,AB6,AD6,AF6)</f>
        <v>1</v>
      </c>
      <c r="AI6" s="183">
        <f>SUM(AA6,AC6,AE6,AG6)/4</f>
        <v>1.6687422166874223E-3</v>
      </c>
      <c r="AJ6" s="120">
        <f>(AA6+AC6)/2</f>
        <v>1.1347447073474474E-3</v>
      </c>
      <c r="AK6" s="119">
        <f>(AE6+AG6)/2</f>
        <v>2.2027397260273975E-3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1099.7739325006637</v>
      </c>
      <c r="T7" s="222">
        <f>IF($B$81=0,0,(SUMIF($N$6:$N$28,$U7,M$6:M$28)+SUMIF($N$91:$N$118,$U7,M$91:M$118))*$I$83*Poor!$B$81/$B$81)</f>
        <v>1242.8631944117926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4">
        <f t="shared" si="6"/>
        <v>5.2343146793275216E-3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234.08</v>
      </c>
      <c r="T8" s="222">
        <f>IF($B$81=0,0,(SUMIF($N$6:$N$28,$U8,M$6:M$28)+SUMIF($N$91:$N$118,$U8,M$91:M$118))*$I$83*Poor!$B$81/$B$81)</f>
        <v>42</v>
      </c>
      <c r="U8" s="223">
        <v>2</v>
      </c>
      <c r="V8" s="184"/>
      <c r="W8" s="115"/>
      <c r="X8" s="124">
        <v>1</v>
      </c>
      <c r="Y8" s="183">
        <f t="shared" si="9"/>
        <v>2.0937258717310087E-2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2.0937258717310087E-2</v>
      </c>
      <c r="AH8" s="123">
        <f t="shared" si="12"/>
        <v>1</v>
      </c>
      <c r="AI8" s="183">
        <f t="shared" si="13"/>
        <v>5.2343146793275216E-3</v>
      </c>
      <c r="AJ8" s="120">
        <f t="shared" si="14"/>
        <v>0</v>
      </c>
      <c r="AK8" s="119">
        <f t="shared" si="15"/>
        <v>1.0468629358655043E-2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96.333357977682553</v>
      </c>
      <c r="T9" s="222">
        <f>IF($B$81=0,0,(SUMIF($N$6:$N$28,$U9,M$6:M$28)+SUMIF($N$91:$N$118,$U9,M$91:M$118))*$I$83*Poor!$B$81/$B$81)</f>
        <v>96.333357977682553</v>
      </c>
      <c r="U9" s="223">
        <v>3</v>
      </c>
      <c r="V9" s="56"/>
      <c r="W9" s="115"/>
      <c r="X9" s="124">
        <v>1</v>
      </c>
      <c r="Y9" s="183">
        <f t="shared" si="9"/>
        <v>3.4000000000000002E-2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3.4000000000000002E-2</v>
      </c>
      <c r="AH9" s="123">
        <f t="shared" si="12"/>
        <v>1</v>
      </c>
      <c r="AI9" s="183">
        <f t="shared" si="13"/>
        <v>8.5000000000000006E-3</v>
      </c>
      <c r="AJ9" s="120">
        <f t="shared" si="14"/>
        <v>0</v>
      </c>
      <c r="AK9" s="119">
        <f t="shared" si="15"/>
        <v>1.7000000000000001E-2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0.10646229452054792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0.10646229452054792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0</v>
      </c>
      <c r="AK10" s="119">
        <f t="shared" si="15"/>
        <v>5.3231147260273962E-2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295</v>
      </c>
      <c r="T11" s="222">
        <f>IF($B$81=0,0,(SUMIF($N$6:$N$28,$U11,M$6:M$28)+SUMIF($N$91:$N$118,$U11,M$91:M$118))*$I$83*Poor!$B$81/$B$81)</f>
        <v>295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0.2</v>
      </c>
      <c r="H12" s="24">
        <f t="shared" si="1"/>
        <v>0.2</v>
      </c>
      <c r="I12" s="22">
        <f t="shared" si="2"/>
        <v>1.6570577521793278E-2</v>
      </c>
      <c r="J12" s="24">
        <f t="shared" si="3"/>
        <v>1.6570577521793278E-2</v>
      </c>
      <c r="K12" s="22">
        <f t="shared" si="4"/>
        <v>8.2852887608966391E-2</v>
      </c>
      <c r="L12" s="22">
        <f t="shared" si="5"/>
        <v>1.6570577521793278E-2</v>
      </c>
      <c r="M12" s="224">
        <f t="shared" si="6"/>
        <v>1.6570577521793278E-2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6.6282310087173113E-2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4.4409147758405987E-2</v>
      </c>
      <c r="AF12" s="122">
        <f>1-SUM(Z12,AB12,AD12)</f>
        <v>0.32999999999999996</v>
      </c>
      <c r="AG12" s="121">
        <f>$M12*AF12*4</f>
        <v>2.1873162328767126E-2</v>
      </c>
      <c r="AH12" s="123">
        <f t="shared" si="12"/>
        <v>1</v>
      </c>
      <c r="AI12" s="183">
        <f t="shared" si="13"/>
        <v>1.6570577521793278E-2</v>
      </c>
      <c r="AJ12" s="120">
        <f t="shared" si="14"/>
        <v>0</v>
      </c>
      <c r="AK12" s="119">
        <f t="shared" si="15"/>
        <v>3.3141155043586557E-2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1143.7438218661641</v>
      </c>
      <c r="T13" s="222">
        <f>IF($B$81=0,0,(SUMIF($N$6:$N$28,$U13,M$6:M$28)+SUMIF($N$91:$N$118,$U13,M$91:M$118))*$I$83*Poor!$B$81/$B$81)</f>
        <v>1143.7438218661641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0.2</v>
      </c>
      <c r="F15" s="22"/>
      <c r="H15" s="24">
        <f t="shared" si="1"/>
        <v>0.2</v>
      </c>
      <c r="I15" s="22">
        <f t="shared" si="2"/>
        <v>4.3992683686176837E-3</v>
      </c>
      <c r="J15" s="24">
        <f>IF(I$32&lt;=1+I131,I15,B15*H15+J$33*(I15-B15*H15))</f>
        <v>4.3992683686176837E-3</v>
      </c>
      <c r="K15" s="22">
        <f t="shared" si="4"/>
        <v>2.1996341843088418E-2</v>
      </c>
      <c r="L15" s="22">
        <f t="shared" si="5"/>
        <v>4.3992683686176837E-3</v>
      </c>
      <c r="M15" s="226">
        <f t="shared" si="6"/>
        <v>4.3992683686176837E-3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1.7597073474470735E-2</v>
      </c>
      <c r="Z15" s="116">
        <v>0.25</v>
      </c>
      <c r="AA15" s="121">
        <f t="shared" si="16"/>
        <v>4.3992683686176837E-3</v>
      </c>
      <c r="AB15" s="116">
        <v>0.25</v>
      </c>
      <c r="AC15" s="121">
        <f t="shared" si="7"/>
        <v>4.3992683686176837E-3</v>
      </c>
      <c r="AD15" s="116">
        <v>0.25</v>
      </c>
      <c r="AE15" s="121">
        <f t="shared" si="8"/>
        <v>4.3992683686176837E-3</v>
      </c>
      <c r="AF15" s="122">
        <f t="shared" si="10"/>
        <v>0.25</v>
      </c>
      <c r="AG15" s="121">
        <f t="shared" si="11"/>
        <v>4.3992683686176837E-3</v>
      </c>
      <c r="AH15" s="123">
        <f t="shared" si="12"/>
        <v>1</v>
      </c>
      <c r="AI15" s="183">
        <f t="shared" si="13"/>
        <v>4.3992683686176837E-3</v>
      </c>
      <c r="AJ15" s="120">
        <f t="shared" si="14"/>
        <v>4.3992683686176837E-3</v>
      </c>
      <c r="AK15" s="119">
        <f t="shared" si="15"/>
        <v>4.3992683686176837E-3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0.2</v>
      </c>
      <c r="F16" s="22"/>
      <c r="H16" s="24">
        <f t="shared" si="1"/>
        <v>0.2</v>
      </c>
      <c r="I16" s="22">
        <f t="shared" si="2"/>
        <v>5.197696139476962E-3</v>
      </c>
      <c r="J16" s="24">
        <f>IF(I$32&lt;=1+I131,I16,B16*H16+J$33*(I16-B16*H16))</f>
        <v>5.197696139476962E-3</v>
      </c>
      <c r="K16" s="22">
        <f t="shared" si="4"/>
        <v>2.5988480697384807E-2</v>
      </c>
      <c r="L16" s="22">
        <f t="shared" si="5"/>
        <v>5.197696139476962E-3</v>
      </c>
      <c r="M16" s="224">
        <f t="shared" si="6"/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2.0790784557907848E-2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2.0790784557907848E-2</v>
      </c>
      <c r="AH16" s="123">
        <f t="shared" si="12"/>
        <v>1</v>
      </c>
      <c r="AI16" s="183">
        <f t="shared" si="13"/>
        <v>5.197696139476962E-3</v>
      </c>
      <c r="AJ16" s="120">
        <f t="shared" si="14"/>
        <v>0</v>
      </c>
      <c r="AK16" s="119">
        <f t="shared" si="15"/>
        <v>1.0395392278953924E-2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0.2</v>
      </c>
      <c r="F17" s="22"/>
      <c r="H17" s="24">
        <f t="shared" si="1"/>
        <v>0.2</v>
      </c>
      <c r="I17" s="22">
        <f t="shared" si="2"/>
        <v>2.1132130012453301E-2</v>
      </c>
      <c r="J17" s="24">
        <f t="shared" ref="J17:J25" si="17">IF(I$32&lt;=1+I131,I17,B17*H17+J$33*(I17-B17*H17))</f>
        <v>2.1132130012453301E-2</v>
      </c>
      <c r="K17" s="22">
        <f t="shared" si="4"/>
        <v>5.849071699875466E-2</v>
      </c>
      <c r="L17" s="22">
        <f t="shared" si="5"/>
        <v>1.1698143399750933E-2</v>
      </c>
      <c r="M17" s="225">
        <f t="shared" si="6"/>
        <v>2.1132130012453301E-2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8.4528520049813205E-2</v>
      </c>
      <c r="Z17" s="116">
        <v>0.29409999999999997</v>
      </c>
      <c r="AA17" s="121">
        <f t="shared" si="16"/>
        <v>2.485983774665006E-2</v>
      </c>
      <c r="AB17" s="116">
        <v>0.17649999999999999</v>
      </c>
      <c r="AC17" s="121">
        <f t="shared" si="7"/>
        <v>1.491928378879203E-2</v>
      </c>
      <c r="AD17" s="116">
        <v>0.23530000000000001</v>
      </c>
      <c r="AE17" s="121">
        <f t="shared" si="8"/>
        <v>1.9889560767721047E-2</v>
      </c>
      <c r="AF17" s="122">
        <f t="shared" si="10"/>
        <v>0.29410000000000003</v>
      </c>
      <c r="AG17" s="121">
        <f t="shared" si="11"/>
        <v>2.4859837746650067E-2</v>
      </c>
      <c r="AH17" s="123">
        <f t="shared" si="12"/>
        <v>1</v>
      </c>
      <c r="AI17" s="183">
        <f t="shared" si="13"/>
        <v>2.1132130012453301E-2</v>
      </c>
      <c r="AJ17" s="120">
        <f t="shared" si="14"/>
        <v>1.9889560767721047E-2</v>
      </c>
      <c r="AK17" s="119">
        <f t="shared" si="15"/>
        <v>2.2374699257185555E-2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2.1018057285180575E-3</v>
      </c>
      <c r="J18" s="24">
        <f t="shared" si="17"/>
        <v>2.4813982974702048E-3</v>
      </c>
      <c r="K18" s="22">
        <f t="shared" ref="K18:K20" si="21">B18</f>
        <v>8.3094645080946453E-3</v>
      </c>
      <c r="L18" s="22">
        <f t="shared" ref="L18:L20" si="22">IF(K18="","",K18*H18)</f>
        <v>1.6618929016189291E-3</v>
      </c>
      <c r="M18" s="225">
        <f t="shared" ref="M18:M20" si="23">J18</f>
        <v>2.4813982974702048E-3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9.9255931898808193E-3</v>
      </c>
      <c r="Z18" s="116">
        <v>1.2941</v>
      </c>
      <c r="AA18" s="121">
        <f t="shared" ref="AA18:AA20" si="25">$M18*Z18*4</f>
        <v>1.2844710147024768E-2</v>
      </c>
      <c r="AB18" s="116">
        <v>1.1765000000000001</v>
      </c>
      <c r="AC18" s="121">
        <f t="shared" ref="AC18:AC20" si="26">$M18*AB18*4</f>
        <v>1.1677460387894785E-2</v>
      </c>
      <c r="AD18" s="116">
        <v>1.2353000000000001</v>
      </c>
      <c r="AE18" s="121">
        <f t="shared" ref="AE18:AE20" si="27">$M18*AD18*4</f>
        <v>1.2261085267459776E-2</v>
      </c>
      <c r="AF18" s="122">
        <f t="shared" ref="AF18:AF20" si="28">1-SUM(Z18,AB18,AD18)</f>
        <v>-2.7059000000000002</v>
      </c>
      <c r="AG18" s="121">
        <f t="shared" ref="AG18:AG20" si="29">$M18*AF18*4</f>
        <v>-2.6857662612498511E-2</v>
      </c>
      <c r="AH18" s="123">
        <f t="shared" ref="AH18:AH20" si="30">SUM(Z18,AB18,AD18,AF18)</f>
        <v>1</v>
      </c>
      <c r="AI18" s="183">
        <f t="shared" ref="AI18:AI20" si="31">SUM(AA18,AC18,AE18,AG18)/4</f>
        <v>2.4813982974702048E-3</v>
      </c>
      <c r="AJ18" s="120">
        <f t="shared" ref="AJ18:AJ20" si="32">(AA18+AC18)/2</f>
        <v>1.2261085267459776E-2</v>
      </c>
      <c r="AK18" s="119">
        <f t="shared" ref="AK18:AK20" si="33">(AE18+AG18)/2</f>
        <v>-7.2982886725193674E-3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0.2</v>
      </c>
      <c r="F19" s="22"/>
      <c r="H19" s="24">
        <f t="shared" si="19"/>
        <v>0.2</v>
      </c>
      <c r="I19" s="22">
        <f t="shared" si="20"/>
        <v>4.1644613947696141E-3</v>
      </c>
      <c r="J19" s="24">
        <f t="shared" si="17"/>
        <v>4.1644613947696141E-3</v>
      </c>
      <c r="K19" s="22">
        <f t="shared" si="21"/>
        <v>2.082230697384807E-2</v>
      </c>
      <c r="L19" s="22">
        <f t="shared" si="22"/>
        <v>4.1644613947696141E-3</v>
      </c>
      <c r="M19" s="225">
        <f t="shared" si="23"/>
        <v>4.1644613947696141E-3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1.6657845579078456E-2</v>
      </c>
      <c r="Z19" s="116">
        <v>2.2940999999999998</v>
      </c>
      <c r="AA19" s="121">
        <f t="shared" si="25"/>
        <v>3.8214763542963881E-2</v>
      </c>
      <c r="AB19" s="116">
        <v>2.1764999999999999</v>
      </c>
      <c r="AC19" s="121">
        <f t="shared" si="26"/>
        <v>3.625580090286426E-2</v>
      </c>
      <c r="AD19" s="116">
        <v>2.2353000000000001</v>
      </c>
      <c r="AE19" s="121">
        <f t="shared" si="27"/>
        <v>3.7235282222914078E-2</v>
      </c>
      <c r="AF19" s="122">
        <f t="shared" si="28"/>
        <v>-5.7058999999999997</v>
      </c>
      <c r="AG19" s="121">
        <f t="shared" si="29"/>
        <v>-9.5048001089663756E-2</v>
      </c>
      <c r="AH19" s="123">
        <f t="shared" si="30"/>
        <v>1</v>
      </c>
      <c r="AI19" s="183">
        <f t="shared" si="31"/>
        <v>4.1644613947696175E-3</v>
      </c>
      <c r="AJ19" s="120">
        <f t="shared" si="32"/>
        <v>3.7235282222914071E-2</v>
      </c>
      <c r="AK19" s="119">
        <f t="shared" si="33"/>
        <v>-2.8906359433374839E-2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2.8389945205479453E-2</v>
      </c>
      <c r="J21" s="24">
        <f t="shared" si="17"/>
        <v>2.8389945205479453E-2</v>
      </c>
      <c r="K21" s="22">
        <f t="shared" ref="K21:K25" si="37">B21</f>
        <v>5.6779890410958905E-2</v>
      </c>
      <c r="L21" s="22">
        <f t="shared" ref="L21:L25" si="38">IF(K21="","",K21*H21)</f>
        <v>2.8389945205479453E-2</v>
      </c>
      <c r="M21" s="225">
        <f t="shared" ref="M21:M25" si="39">J21</f>
        <v>2.8389945205479453E-2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0.11355978082191781</v>
      </c>
      <c r="Z21" s="116">
        <v>4.2941000000000003</v>
      </c>
      <c r="AA21" s="121">
        <f t="shared" ref="AA21:AA25" si="41">$M21*Z21*4</f>
        <v>0.48763705482739728</v>
      </c>
      <c r="AB21" s="116">
        <v>4.1764999999999999</v>
      </c>
      <c r="AC21" s="121">
        <f t="shared" ref="AC21:AC25" si="42">$M21*AB21*4</f>
        <v>0.47428242460273973</v>
      </c>
      <c r="AD21" s="116">
        <v>4.2352999999999996</v>
      </c>
      <c r="AE21" s="121">
        <f t="shared" ref="AE21:AE25" si="43">$M21*AD21*4</f>
        <v>0.48095973971506845</v>
      </c>
      <c r="AF21" s="122">
        <f t="shared" ref="AF21:AF25" si="44">1-SUM(Z21,AB21,AD21)</f>
        <v>-11.7059</v>
      </c>
      <c r="AG21" s="121">
        <f t="shared" ref="AG21:AG25" si="45">$M21*AF21*4</f>
        <v>-1.3293194383232876</v>
      </c>
      <c r="AH21" s="123">
        <f t="shared" ref="AH21:AH25" si="46">SUM(Z21,AB21,AD21,AF21)</f>
        <v>1</v>
      </c>
      <c r="AI21" s="183">
        <f t="shared" ref="AI21:AI25" si="47">SUM(AA21,AC21,AE21,AG21)/4</f>
        <v>2.8389945205479494E-2</v>
      </c>
      <c r="AJ21" s="120">
        <f t="shared" ref="AJ21:AJ25" si="48">(AA21+AC21)/2</f>
        <v>0.4809597397150685</v>
      </c>
      <c r="AK21" s="119">
        <f t="shared" ref="AK21:AK25" si="49">(AE21+AG21)/2</f>
        <v>-0.42417984930410957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0.5</v>
      </c>
      <c r="F22" s="22"/>
      <c r="H22" s="24">
        <f t="shared" si="35"/>
        <v>0.5</v>
      </c>
      <c r="I22" s="22">
        <f t="shared" si="36"/>
        <v>9.4633150684931503E-3</v>
      </c>
      <c r="J22" s="24">
        <f t="shared" si="17"/>
        <v>9.4633150684931503E-3</v>
      </c>
      <c r="K22" s="22">
        <f t="shared" si="37"/>
        <v>1.8926630136986301E-2</v>
      </c>
      <c r="L22" s="22">
        <f t="shared" si="38"/>
        <v>9.4633150684931503E-3</v>
      </c>
      <c r="M22" s="225">
        <f t="shared" si="39"/>
        <v>9.4633150684931503E-3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3.7853260273972601E-2</v>
      </c>
      <c r="Z22" s="116">
        <v>5.2941000000000003</v>
      </c>
      <c r="AA22" s="121">
        <f t="shared" si="41"/>
        <v>0.20039894521643836</v>
      </c>
      <c r="AB22" s="116">
        <v>5.1764999999999999</v>
      </c>
      <c r="AC22" s="121">
        <f t="shared" si="42"/>
        <v>0.19594740180821918</v>
      </c>
      <c r="AD22" s="116">
        <v>5.2352999999999996</v>
      </c>
      <c r="AE22" s="121">
        <f t="shared" si="43"/>
        <v>0.19817317351232874</v>
      </c>
      <c r="AF22" s="122">
        <f t="shared" si="44"/>
        <v>-14.7059</v>
      </c>
      <c r="AG22" s="121">
        <f t="shared" si="45"/>
        <v>-0.55666626026301369</v>
      </c>
      <c r="AH22" s="123">
        <f t="shared" si="46"/>
        <v>1</v>
      </c>
      <c r="AI22" s="183">
        <f t="shared" si="47"/>
        <v>9.4633150684931555E-3</v>
      </c>
      <c r="AJ22" s="120">
        <f t="shared" si="48"/>
        <v>0.19817317351232877</v>
      </c>
      <c r="AK22" s="119">
        <f t="shared" si="49"/>
        <v>-0.17924654337534246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30513.861313566751</v>
      </c>
      <c r="T23" s="179">
        <f>SUM(T7:T22)</f>
        <v>30464.870575477878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0.56791227729856719</v>
      </c>
      <c r="J30" s="231">
        <f>IF(I$32&lt;=1,I30,1-SUM(J6:J29))</f>
        <v>0.52249818447567831</v>
      </c>
      <c r="K30" s="22">
        <f t="shared" si="4"/>
        <v>0.57048734589041095</v>
      </c>
      <c r="L30" s="22">
        <f>IF(L124=L119,0,IF(K30="",0,(L119-L124)/(B119-B124)*K30))</f>
        <v>0.2578193666850912</v>
      </c>
      <c r="M30" s="175">
        <f t="shared" si="6"/>
        <v>0.52249818447567831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2.0899927379027132</v>
      </c>
      <c r="Z30" s="122">
        <f>IF($Y30=0,0,AA30/($Y$30))</f>
        <v>-5.4150292244375987E-2</v>
      </c>
      <c r="AA30" s="187">
        <f>IF(AA79*4/$I$83+SUM(AA6:AA29)&lt;1,AA79*4/$I$83,1-SUM(AA6:AA29))</f>
        <v>-0.11317371754605543</v>
      </c>
      <c r="AB30" s="122">
        <f>IF($Y30=0,0,AC30/($Y$30))</f>
        <v>-3.9378499295016266E-2</v>
      </c>
      <c r="AC30" s="187">
        <f>IF(AC79*4/$I$83+SUM(AC6:AC29)&lt;1,AC79*4/$I$83,1-SUM(AC6:AC29))</f>
        <v>-8.2300777556091109E-2</v>
      </c>
      <c r="AD30" s="122">
        <f>IF($Y30=0,0,AE30/($Y$30))</f>
        <v>-6.8523869835008855E-2</v>
      </c>
      <c r="AE30" s="187">
        <f>IF(AE79*4/$I$83+SUM(AE6:AE29)&lt;1,AE79*4/$I$83,1-SUM(AE6:AE29))</f>
        <v>-0.1432143903281593</v>
      </c>
      <c r="AF30" s="122">
        <f>IF($Y30=0,0,AG30/($Y$30))</f>
        <v>1.1620526613744011</v>
      </c>
      <c r="AG30" s="187">
        <f>IF(AG79*4/$I$83+SUM(AG6:AG29)&lt;1,AG79*4/$I$83,1-SUM(AG6:AG29))</f>
        <v>2.4286816233330191</v>
      </c>
      <c r="AH30" s="123">
        <f t="shared" si="12"/>
        <v>1</v>
      </c>
      <c r="AI30" s="183">
        <f t="shared" si="13"/>
        <v>0.52249818447567831</v>
      </c>
      <c r="AJ30" s="120">
        <f t="shared" si="14"/>
        <v>-9.773724755107327E-2</v>
      </c>
      <c r="AK30" s="119">
        <f t="shared" si="15"/>
        <v>1.1427336165024298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0.26926901400265713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2829.2848104815494</v>
      </c>
      <c r="S31" s="234">
        <f t="shared" si="50"/>
        <v>15812.074375248481</v>
      </c>
      <c r="T31" s="234">
        <f>IF(T25&gt;T$23,T25-T$23,0)</f>
        <v>15861.065113337354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2.2204460492503131E-16</v>
      </c>
      <c r="AH31" s="123"/>
      <c r="AI31" s="182">
        <f>SUM(AA31,AC31,AE31,AG31)/4</f>
        <v>5.5511151231257827E-17</v>
      </c>
      <c r="AJ31" s="135">
        <f t="shared" si="14"/>
        <v>0</v>
      </c>
      <c r="AK31" s="136">
        <f t="shared" si="15"/>
        <v>1.1102230246251565E-16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1.0450345002539367</v>
      </c>
      <c r="J32" s="17"/>
      <c r="L32" s="22">
        <f>SUM(L6:L30)</f>
        <v>0.73073098599734287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48549.994375248469</v>
      </c>
      <c r="T32" s="234">
        <f t="shared" si="50"/>
        <v>48598.985113337345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0.99999999999999978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1.8628813386229981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15861.065113337354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295</v>
      </c>
      <c r="K38" s="40">
        <f t="shared" si="54"/>
        <v>2.0437359493153485E-2</v>
      </c>
      <c r="L38" s="22">
        <f t="shared" si="55"/>
        <v>1.2058042100960556E-2</v>
      </c>
      <c r="M38" s="24">
        <f t="shared" si="56"/>
        <v>1.2058042100960556E-2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295</v>
      </c>
      <c r="AH38" s="123">
        <f t="shared" ref="AH38:AI58" si="61">SUM(Z38,AB38,AD38,AF38)</f>
        <v>1</v>
      </c>
      <c r="AI38" s="112">
        <f t="shared" si="61"/>
        <v>295</v>
      </c>
      <c r="AJ38" s="148">
        <f t="shared" ref="AJ38:AJ64" si="62">(AA38+AC38)</f>
        <v>0</v>
      </c>
      <c r="AK38" s="147">
        <f t="shared" ref="AK38:AK64" si="63">(AE38+AG38)</f>
        <v>295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7.439198855507867E-3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4.120171673819742E-4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41.999999999999993</v>
      </c>
      <c r="J47" s="38">
        <f t="shared" si="53"/>
        <v>42</v>
      </c>
      <c r="K47" s="40">
        <f t="shared" si="54"/>
        <v>6.1312078479460455E-3</v>
      </c>
      <c r="L47" s="22">
        <f t="shared" si="55"/>
        <v>1.7167381974248926E-3</v>
      </c>
      <c r="M47" s="24">
        <f t="shared" si="56"/>
        <v>1.7167381974248926E-3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10.5</v>
      </c>
      <c r="AB47" s="116">
        <v>0.25</v>
      </c>
      <c r="AC47" s="147">
        <f t="shared" si="65"/>
        <v>10.5</v>
      </c>
      <c r="AD47" s="116">
        <v>0.25</v>
      </c>
      <c r="AE47" s="147">
        <f t="shared" si="66"/>
        <v>10.5</v>
      </c>
      <c r="AF47" s="122">
        <f t="shared" si="57"/>
        <v>0.25</v>
      </c>
      <c r="AG47" s="147">
        <f t="shared" si="60"/>
        <v>10.5</v>
      </c>
      <c r="AH47" s="123">
        <f t="shared" si="61"/>
        <v>1</v>
      </c>
      <c r="AI47" s="112">
        <f t="shared" si="61"/>
        <v>42</v>
      </c>
      <c r="AJ47" s="148">
        <f t="shared" si="62"/>
        <v>21</v>
      </c>
      <c r="AK47" s="147">
        <f t="shared" si="63"/>
        <v>21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615.495</v>
      </c>
      <c r="J50" s="38">
        <f t="shared" ref="J50:J64" si="70">J104*I$83</f>
        <v>615.49500000000012</v>
      </c>
      <c r="K50" s="40">
        <f t="shared" ref="K50:K64" si="71">(B50/B$65)</f>
        <v>4.533006335581443E-2</v>
      </c>
      <c r="L50" s="22">
        <f t="shared" ref="L50:L64" si="72">(K50*H50)</f>
        <v>2.5158185162477011E-2</v>
      </c>
      <c r="M50" s="24">
        <f t="shared" ref="M50:M64" si="73">J50/B$65</f>
        <v>2.5158185162477014E-2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0.4</v>
      </c>
      <c r="F51" s="26">
        <v>1.18</v>
      </c>
      <c r="G51" s="22">
        <f t="shared" si="59"/>
        <v>1.65</v>
      </c>
      <c r="H51" s="24">
        <f t="shared" si="68"/>
        <v>0.47199999999999998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0.4</v>
      </c>
      <c r="F52" s="26">
        <v>1.18</v>
      </c>
      <c r="G52" s="22">
        <f t="shared" si="59"/>
        <v>1.65</v>
      </c>
      <c r="H52" s="24">
        <f t="shared" si="68"/>
        <v>0.47199999999999998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1.18</v>
      </c>
      <c r="G55" s="22">
        <f t="shared" si="59"/>
        <v>1.65</v>
      </c>
      <c r="H55" s="24">
        <f t="shared" si="68"/>
        <v>1.18</v>
      </c>
      <c r="I55" s="39">
        <f t="shared" si="69"/>
        <v>25983.599999999999</v>
      </c>
      <c r="J55" s="38">
        <f t="shared" si="70"/>
        <v>25983.600000000002</v>
      </c>
      <c r="K55" s="40">
        <f t="shared" si="71"/>
        <v>0.9000613120784795</v>
      </c>
      <c r="L55" s="22">
        <f t="shared" si="72"/>
        <v>1.0620723482526058</v>
      </c>
      <c r="M55" s="24">
        <f t="shared" si="73"/>
        <v>1.0620723482526058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6495.9000000000005</v>
      </c>
      <c r="AB55" s="116">
        <v>0.25</v>
      </c>
      <c r="AC55" s="147">
        <f t="shared" si="65"/>
        <v>6495.9000000000005</v>
      </c>
      <c r="AD55" s="116">
        <v>0.25</v>
      </c>
      <c r="AE55" s="147">
        <f t="shared" si="66"/>
        <v>6495.9000000000005</v>
      </c>
      <c r="AF55" s="122">
        <f t="shared" si="57"/>
        <v>0.25</v>
      </c>
      <c r="AG55" s="147">
        <f t="shared" si="60"/>
        <v>6495.9000000000005</v>
      </c>
      <c r="AH55" s="123">
        <f t="shared" si="61"/>
        <v>1</v>
      </c>
      <c r="AI55" s="112">
        <f t="shared" si="61"/>
        <v>25983.600000000002</v>
      </c>
      <c r="AJ55" s="148">
        <f t="shared" si="62"/>
        <v>12991.800000000001</v>
      </c>
      <c r="AK55" s="147">
        <f t="shared" si="63"/>
        <v>12991.800000000001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26936.094999999998</v>
      </c>
      <c r="J65" s="39">
        <f>SUM(J37:J64)</f>
        <v>26936.095000000001</v>
      </c>
      <c r="K65" s="40">
        <f>SUM(K37:K64)</f>
        <v>1</v>
      </c>
      <c r="L65" s="22">
        <f>SUM(L37:L64)</f>
        <v>1.1088565297363582</v>
      </c>
      <c r="M65" s="24">
        <f>SUM(M37:M64)</f>
        <v>1.1010053137134683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6506.4000000000005</v>
      </c>
      <c r="AB65" s="137"/>
      <c r="AC65" s="153">
        <f>SUM(AC37:AC64)</f>
        <v>6506.4000000000005</v>
      </c>
      <c r="AD65" s="137"/>
      <c r="AE65" s="153">
        <f>SUM(AE37:AE64)</f>
        <v>6506.4000000000005</v>
      </c>
      <c r="AF65" s="137"/>
      <c r="AG65" s="153">
        <f>SUM(AG37:AG64)</f>
        <v>6801.4000000000005</v>
      </c>
      <c r="AH65" s="137"/>
      <c r="AI65" s="153">
        <f>SUM(AI37:AI64)</f>
        <v>26320.600000000002</v>
      </c>
      <c r="AJ65" s="153">
        <f>SUM(AJ37:AJ64)</f>
        <v>13012.800000000001</v>
      </c>
      <c r="AK65" s="153">
        <f>SUM(AK37:AK64)</f>
        <v>13307.800000000001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75">J124*I$83</f>
        <v>19010.780529463536</v>
      </c>
      <c r="K70" s="40">
        <f>B70/B$76</f>
        <v>0.55504307989441282</v>
      </c>
      <c r="L70" s="22">
        <f t="shared" ref="L70:L75" si="76">(L124*G$37*F$9/F$7)/B$130</f>
        <v>0.77706031185217805</v>
      </c>
      <c r="M70" s="24">
        <f>J70/B$76</f>
        <v>0.77706031185217805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4752.6951323658841</v>
      </c>
      <c r="AB70" s="116">
        <v>0.25</v>
      </c>
      <c r="AC70" s="147">
        <f>$J70*AB70</f>
        <v>4752.6951323658841</v>
      </c>
      <c r="AD70" s="116">
        <v>0.25</v>
      </c>
      <c r="AE70" s="147">
        <f>$J70*AD70</f>
        <v>4752.6951323658841</v>
      </c>
      <c r="AF70" s="122">
        <f>1-SUM(Z70,AB70,AD70)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7925.3144705364693</v>
      </c>
      <c r="J71" s="51">
        <f t="shared" si="75"/>
        <v>7925.3144705364693</v>
      </c>
      <c r="K71" s="40">
        <f t="shared" ref="K71:K72" si="78">B71/B$76</f>
        <v>0.57137407180325639</v>
      </c>
      <c r="L71" s="22">
        <f t="shared" si="76"/>
        <v>0.33179621788418023</v>
      </c>
      <c r="M71" s="24">
        <f t="shared" ref="M71:M72" si="79">J71/B$76</f>
        <v>0.32394500186129038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7925.3144705364693</v>
      </c>
      <c r="J74" s="51">
        <f t="shared" si="75"/>
        <v>7291.5529172071556</v>
      </c>
      <c r="K74" s="40">
        <f>B74/B$76</f>
        <v>0.19722051910893112</v>
      </c>
      <c r="L74" s="22">
        <f t="shared" si="76"/>
        <v>0.14706372543654339</v>
      </c>
      <c r="M74" s="24">
        <f>J74/B$76</f>
        <v>0.29804017646462927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-394.83972138209975</v>
      </c>
      <c r="AB74" s="156"/>
      <c r="AC74" s="147">
        <f>AC30*$I$83/4</f>
        <v>-287.13041140981579</v>
      </c>
      <c r="AD74" s="156"/>
      <c r="AE74" s="147">
        <f>AE30*$I$83/4</f>
        <v>-499.64542299378223</v>
      </c>
      <c r="AF74" s="156"/>
      <c r="AG74" s="147">
        <f>AG30*$I$83/4</f>
        <v>8473.1684729928529</v>
      </c>
      <c r="AH74" s="155"/>
      <c r="AI74" s="147">
        <f>SUM(AA74,AC74,AE74,AG74)</f>
        <v>7291.5529172071547</v>
      </c>
      <c r="AJ74" s="148">
        <f>(AA74+AC74)</f>
        <v>-681.9701327919156</v>
      </c>
      <c r="AK74" s="147">
        <f>(AE74+AG74)</f>
        <v>7973.5230499990703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2148.5445890162164</v>
      </c>
      <c r="AB75" s="158"/>
      <c r="AC75" s="149">
        <f>AA75+AC65-SUM(AC70,AC74)</f>
        <v>4189.3798680601485</v>
      </c>
      <c r="AD75" s="158"/>
      <c r="AE75" s="149">
        <f>AC75+AE65-SUM(AE70,AE74)</f>
        <v>6442.7301586880467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18.266553329311137</v>
      </c>
      <c r="AJ75" s="151">
        <f>AJ76-SUM(AJ70,AJ74)</f>
        <v>4189.3798680601485</v>
      </c>
      <c r="AK75" s="149">
        <f>AJ75+AK76-SUM(AK70,AK74)</f>
        <v>18.266553329311137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26936.095000000005</v>
      </c>
      <c r="J76" s="51">
        <f t="shared" si="75"/>
        <v>26936.095000000005</v>
      </c>
      <c r="K76" s="40">
        <f>SUM(K70:K75)</f>
        <v>2.6105373233714886</v>
      </c>
      <c r="L76" s="22">
        <f>SUM(L70:L75)</f>
        <v>1.2559202551729016</v>
      </c>
      <c r="M76" s="24">
        <f>SUM(M70:M75)</f>
        <v>1.3990454901780975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6506.4000000000005</v>
      </c>
      <c r="AB76" s="137"/>
      <c r="AC76" s="153">
        <f>AC65</f>
        <v>6506.4000000000005</v>
      </c>
      <c r="AD76" s="137"/>
      <c r="AE76" s="153">
        <f>AE65</f>
        <v>6506.4000000000005</v>
      </c>
      <c r="AF76" s="137"/>
      <c r="AG76" s="153">
        <f>AG65</f>
        <v>6801.4000000000005</v>
      </c>
      <c r="AH76" s="137"/>
      <c r="AI76" s="153">
        <f>SUM(AA76,AC76,AE76,AG76)</f>
        <v>26320.600000000002</v>
      </c>
      <c r="AJ76" s="154">
        <f>SUM(AA76,AC76)</f>
        <v>13012.800000000001</v>
      </c>
      <c r="AK76" s="154">
        <f>SUM(AE76,AG76)</f>
        <v>13307.800000000001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16494.82666666666</v>
      </c>
      <c r="J77" s="100">
        <f t="shared" si="75"/>
        <v>15861.065113337354</v>
      </c>
      <c r="K77" s="40"/>
      <c r="L77" s="22">
        <f>-(L131*G$37*F$9/F$7)/B$130</f>
        <v>-0.67422140472784242</v>
      </c>
      <c r="M77" s="24">
        <f>-J77/B$76</f>
        <v>-0.64831657933118148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7.746677571788708E-13</v>
      </c>
      <c r="AH77" s="110"/>
      <c r="AI77" s="154">
        <f>SUM(AA77,AC77,AE77,AG77)</f>
        <v>7.746677571788708E-13</v>
      </c>
      <c r="AJ77" s="153">
        <f>SUM(AA77,AC77)</f>
        <v>0</v>
      </c>
      <c r="AK77" s="160">
        <f>SUM(AE77,AG77)</f>
        <v>7.746677571788708E-13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2148.5445890162164</v>
      </c>
      <c r="AD78" s="112"/>
      <c r="AE78" s="112">
        <f>AC75</f>
        <v>4189.3798680601485</v>
      </c>
      <c r="AF78" s="112"/>
      <c r="AG78" s="112">
        <f>AE75</f>
        <v>6442.7301586880467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1753.7048676341165</v>
      </c>
      <c r="AB79" s="112"/>
      <c r="AC79" s="112">
        <f>AA79-AA74+AC65-AC70</f>
        <v>3902.2494566503328</v>
      </c>
      <c r="AD79" s="112"/>
      <c r="AE79" s="112">
        <f>AC79-AC74+AE65-AE70</f>
        <v>5943.0847356942641</v>
      </c>
      <c r="AF79" s="112"/>
      <c r="AG79" s="112">
        <f>AE79-AE74+AG65-AG70</f>
        <v>8491.435026322164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0.3575757575757576</v>
      </c>
      <c r="I92" s="22">
        <f t="shared" ref="I92:I118" si="88">(D92*H92)</f>
        <v>2.1139113460533362E-2</v>
      </c>
      <c r="J92" s="24">
        <f t="shared" ref="J92:J118" si="89">IF(I$32&lt;=1+I$131,I92,L92+J$33*(I92-L92))</f>
        <v>2.1139113460533362E-2</v>
      </c>
      <c r="K92" s="22">
        <f t="shared" ref="K92:K118" si="90">IF(B92="",0,B92)</f>
        <v>5.9117859677762792E-2</v>
      </c>
      <c r="L92" s="22">
        <f t="shared" ref="L92:L118" si="91">(K92*H92)</f>
        <v>2.1139113460533362E-2</v>
      </c>
      <c r="M92" s="227">
        <f t="shared" ref="M92:M118" si="92">(J92)</f>
        <v>2.1139113460533362E-2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1.3041758134973125E-2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7.2231275824466543E-4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0.16969696969696968</v>
      </c>
      <c r="I101" s="22">
        <f t="shared" si="88"/>
        <v>3.0096364926861059E-3</v>
      </c>
      <c r="J101" s="24">
        <f t="shared" si="89"/>
        <v>3.0096364926861059E-3</v>
      </c>
      <c r="K101" s="22">
        <f t="shared" si="90"/>
        <v>1.7735357903328839E-2</v>
      </c>
      <c r="L101" s="22">
        <f t="shared" si="91"/>
        <v>3.0096364926861059E-3</v>
      </c>
      <c r="M101" s="227">
        <f t="shared" si="92"/>
        <v>3.0096364926861059E-3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0.33636363636363642</v>
      </c>
      <c r="I104" s="22">
        <f t="shared" si="88"/>
        <v>4.4105147930138928E-2</v>
      </c>
      <c r="J104" s="24">
        <f t="shared" si="89"/>
        <v>4.4105147930138928E-2</v>
      </c>
      <c r="K104" s="22">
        <f t="shared" si="90"/>
        <v>0.13112341276527786</v>
      </c>
      <c r="L104" s="22">
        <f t="shared" si="91"/>
        <v>4.4105147930138928E-2</v>
      </c>
      <c r="M104" s="227">
        <f t="shared" si="92"/>
        <v>4.4105147930138928E-2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0.28606060606060607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0.28606060606060607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0.7151515151515152</v>
      </c>
      <c r="I109" s="22">
        <f t="shared" si="88"/>
        <v>1.8619331136037789</v>
      </c>
      <c r="J109" s="24">
        <f t="shared" si="89"/>
        <v>1.8619331136037789</v>
      </c>
      <c r="K109" s="22">
        <f t="shared" si="90"/>
        <v>2.6035505402086736</v>
      </c>
      <c r="L109" s="22">
        <f t="shared" si="91"/>
        <v>1.8619331136037789</v>
      </c>
      <c r="M109" s="227">
        <f t="shared" si="9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1.9301870114871373</v>
      </c>
      <c r="J119" s="24">
        <f>SUM(J91:J118)</f>
        <v>1.9301870114871373</v>
      </c>
      <c r="K119" s="22">
        <f>SUM(K91:K118)</f>
        <v>2.8926368740329336</v>
      </c>
      <c r="L119" s="22">
        <f>SUM(L91:L118)</f>
        <v>1.9439510823803552</v>
      </c>
      <c r="M119" s="57">
        <f t="shared" si="80"/>
        <v>1.9301870114871373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9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0.56791227729856719</v>
      </c>
      <c r="J125" s="237">
        <f>IF(SUMPRODUCT($B$124:$B125,$H$124:$H125)&lt;J$119,($B125*$H125),IF(SUMPRODUCT($B$124:$B124,$H$124:$H124)&lt;J$119,J$119-SUMPRODUCT($B$124:$B124,$H$124:$H124),0))</f>
        <v>0.56791227729856719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0.58167634819178504</v>
      </c>
      <c r="M125" s="240">
        <f t="shared" si="93"/>
        <v>0.56791227729856719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0.56791227729856719</v>
      </c>
      <c r="J128" s="228">
        <f>(J30)</f>
        <v>0.52249818447567831</v>
      </c>
      <c r="K128" s="29">
        <f>(B128)</f>
        <v>0.57048734589041095</v>
      </c>
      <c r="L128" s="29">
        <f>IF(L124=L119,0,(L119-L124)/(B119-B124)*K128)</f>
        <v>0.2578193666850912</v>
      </c>
      <c r="M128" s="240">
        <f t="shared" si="93"/>
        <v>0.52249818447567831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1.9301870114871373</v>
      </c>
      <c r="J130" s="228">
        <f>(J119)</f>
        <v>1.9301870114871373</v>
      </c>
      <c r="K130" s="29">
        <f>(B130)</f>
        <v>2.8926368740329336</v>
      </c>
      <c r="L130" s="29">
        <f>(L119)</f>
        <v>1.9439510823803552</v>
      </c>
      <c r="M130" s="240">
        <f t="shared" si="93"/>
        <v>1.9301870114871373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1.1819864827745692</v>
      </c>
      <c r="J131" s="237">
        <f>IF(SUMPRODUCT($B124:$B125,$H124:$H125)&gt;(J119-J128),SUMPRODUCT($B124:$B125,$H124:$H125)+J128-J119,0)</f>
        <v>1.1365723899516806</v>
      </c>
      <c r="K131" s="29"/>
      <c r="L131" s="29">
        <f>IF(I131&lt;SUM(L126:L127),0,I131-(SUM(L126:L127)))</f>
        <v>1.1819864827745692</v>
      </c>
      <c r="M131" s="237">
        <f>IF(I131&lt;SUM(M126:M127),0,I131-(SUM(M126:M127)))</f>
        <v>1.1819864827745692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2.6074097135740971E-3</v>
      </c>
      <c r="J6" s="24">
        <f t="shared" ref="J6:J13" si="3">IF(I$32&lt;=1+I$131,I6,B6*H6+J$33*(I6-B6*H6))</f>
        <v>2.6074097135740971E-3</v>
      </c>
      <c r="K6" s="22">
        <f t="shared" ref="K6:K31" si="4">B6</f>
        <v>1.3037048567870486E-2</v>
      </c>
      <c r="L6" s="22">
        <f t="shared" ref="L6:L29" si="5">IF(K6="","",K6*H6)</f>
        <v>2.6074097135740971E-3</v>
      </c>
      <c r="M6" s="224">
        <f t="shared" ref="M6:M31" si="6">J6</f>
        <v>2.6074097135740971E-3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1.0429638854296389E-2</v>
      </c>
      <c r="Z6" s="156">
        <f>Poor!Z6</f>
        <v>0.17</v>
      </c>
      <c r="AA6" s="121">
        <f>$M6*Z6*4</f>
        <v>1.7730386052303862E-3</v>
      </c>
      <c r="AB6" s="156">
        <f>Poor!AB6</f>
        <v>0.17</v>
      </c>
      <c r="AC6" s="121">
        <f t="shared" ref="AC6:AC29" si="7">$M6*AB6*4</f>
        <v>1.7730386052303862E-3</v>
      </c>
      <c r="AD6" s="156">
        <f>Poor!AD6</f>
        <v>0.33</v>
      </c>
      <c r="AE6" s="121">
        <f t="shared" ref="AE6:AE29" si="8">$M6*AD6*4</f>
        <v>3.4417808219178083E-3</v>
      </c>
      <c r="AF6" s="122">
        <f>1-SUM(Z6,AB6,AD6)</f>
        <v>0.32999999999999996</v>
      </c>
      <c r="AG6" s="121">
        <f>$M6*AF6*4</f>
        <v>3.4417808219178079E-3</v>
      </c>
      <c r="AH6" s="123">
        <f>SUM(Z6,AB6,AD6,AF6)</f>
        <v>1</v>
      </c>
      <c r="AI6" s="183">
        <f>SUM(AA6,AC6,AE6,AG6)/4</f>
        <v>2.6074097135740971E-3</v>
      </c>
      <c r="AJ6" s="120">
        <f>(AA6+AC6)/2</f>
        <v>1.7730386052303862E-3</v>
      </c>
      <c r="AK6" s="119">
        <f>(AE6+AG6)/2</f>
        <v>3.4417808219178083E-3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1544.0726835583616</v>
      </c>
      <c r="T7" s="222">
        <f>IF($B$81=0,0,(SUMIF($N$6:$N$28,$U7,M$6:M$28)+SUMIF($N$91:$N$118,$U7,M$91:M$118))*$I$83*Poor!$B$81/$B$81)</f>
        <v>1967.1972368731397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9.287344333748445E-3</v>
      </c>
      <c r="J8" s="24">
        <f t="shared" si="3"/>
        <v>9.287344333748445E-3</v>
      </c>
      <c r="K8" s="22">
        <f t="shared" si="4"/>
        <v>4.6436721668742222E-2</v>
      </c>
      <c r="L8" s="22">
        <f t="shared" si="5"/>
        <v>9.287344333748445E-3</v>
      </c>
      <c r="M8" s="224">
        <f t="shared" si="6"/>
        <v>9.287344333748445E-3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1083.8799999999999</v>
      </c>
      <c r="T8" s="222">
        <f>IF($B$81=0,0,(SUMIF($N$6:$N$28,$U8,M$6:M$28)+SUMIF($N$91:$N$118,$U8,M$91:M$118))*$I$83*Poor!$B$81/$B$81)</f>
        <v>997.49999999999989</v>
      </c>
      <c r="U8" s="223">
        <v>2</v>
      </c>
      <c r="V8" s="56"/>
      <c r="W8" s="115"/>
      <c r="X8" s="118">
        <f>Poor!X8</f>
        <v>1</v>
      </c>
      <c r="Y8" s="183">
        <f t="shared" si="9"/>
        <v>3.714937733499378E-2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3.714937733499378E-2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9.287344333748445E-3</v>
      </c>
      <c r="AJ8" s="120">
        <f t="shared" si="14"/>
        <v>1.857468866749689E-2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165.9933587333901</v>
      </c>
      <c r="T9" s="222">
        <f>IF($B$81=0,0,(SUMIF($N$6:$N$28,$U9,M$6:M$28)+SUMIF($N$91:$N$118,$U9,M$91:M$118))*$I$83*Poor!$B$81/$B$81)</f>
        <v>165.9933587333901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0.3</v>
      </c>
      <c r="H10" s="24">
        <f t="shared" si="1"/>
        <v>0.3</v>
      </c>
      <c r="I10" s="22">
        <f t="shared" si="2"/>
        <v>6.2103005136986293E-2</v>
      </c>
      <c r="J10" s="24">
        <f t="shared" si="3"/>
        <v>6.2103005136986293E-2</v>
      </c>
      <c r="K10" s="22">
        <f t="shared" si="4"/>
        <v>0.13307786815068492</v>
      </c>
      <c r="L10" s="22">
        <f t="shared" si="5"/>
        <v>3.9923360445205475E-2</v>
      </c>
      <c r="M10" s="224">
        <f t="shared" si="6"/>
        <v>6.2103005136986293E-2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0.24841202054794517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0.24841202054794517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6.2103005136986293E-2</v>
      </c>
      <c r="AJ10" s="120">
        <f t="shared" si="14"/>
        <v>0.12420601027397259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2064.9999999999995</v>
      </c>
      <c r="T11" s="222">
        <f>IF($B$81=0,0,(SUMIF($N$6:$N$28,$U11,M$6:M$28)+SUMIF($N$91:$N$118,$U11,M$91:M$118))*$I$83*Poor!$B$81/$B$81)</f>
        <v>2655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0.2</v>
      </c>
      <c r="H12" s="24">
        <f t="shared" si="1"/>
        <v>0.2</v>
      </c>
      <c r="I12" s="22">
        <f t="shared" si="2"/>
        <v>1.3532638309464509E-2</v>
      </c>
      <c r="J12" s="24">
        <f t="shared" si="3"/>
        <v>1.3532638309464509E-2</v>
      </c>
      <c r="K12" s="22">
        <f t="shared" si="4"/>
        <v>0.10770875389165629</v>
      </c>
      <c r="L12" s="22">
        <f t="shared" si="5"/>
        <v>2.1541750778331259E-2</v>
      </c>
      <c r="M12" s="224">
        <f t="shared" si="6"/>
        <v>1.3532638309464509E-2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5.4130553237858037E-2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3.6267470669364886E-2</v>
      </c>
      <c r="AF12" s="122">
        <f>1-SUM(Z12,AB12,AD12)</f>
        <v>0.32999999999999996</v>
      </c>
      <c r="AG12" s="121">
        <f>$M12*AF12*4</f>
        <v>1.7863082568493151E-2</v>
      </c>
      <c r="AH12" s="123">
        <f t="shared" si="12"/>
        <v>1</v>
      </c>
      <c r="AI12" s="183">
        <f t="shared" si="13"/>
        <v>1.3532638309464509E-2</v>
      </c>
      <c r="AJ12" s="120">
        <f t="shared" si="14"/>
        <v>0</v>
      </c>
      <c r="AK12" s="119">
        <f t="shared" si="15"/>
        <v>2.7065276618929018E-2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417.36000000000007</v>
      </c>
      <c r="T13" s="222">
        <f>IF($B$81=0,0,(SUMIF($N$6:$N$28,$U13,M$6:M$28)+SUMIF($N$91:$N$118,$U13,M$91:M$118))*$I$83*Poor!$B$81/$B$81)</f>
        <v>417.36000000000007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0.2</v>
      </c>
      <c r="F14" s="22"/>
      <c r="H14" s="24">
        <f t="shared" si="1"/>
        <v>0.2</v>
      </c>
      <c r="I14" s="22">
        <f t="shared" si="2"/>
        <v>6.7455448318804487E-4</v>
      </c>
      <c r="J14" s="24">
        <f>IF(I$32&lt;=1+I131,I14,B14*H14+J$33*(I14-B14*H14))</f>
        <v>6.7455448318804487E-4</v>
      </c>
      <c r="K14" s="22">
        <f t="shared" si="4"/>
        <v>2.2485149439601493E-3</v>
      </c>
      <c r="L14" s="22">
        <f t="shared" si="5"/>
        <v>4.4970298879202987E-4</v>
      </c>
      <c r="M14" s="225">
        <f t="shared" si="6"/>
        <v>6.7455448318804487E-4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2.6982179327521795E-3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2.6982179327521795E-3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6.7455448318804487E-4</v>
      </c>
      <c r="AJ14" s="120">
        <f t="shared" si="14"/>
        <v>1.3491089663760897E-3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0.2</v>
      </c>
      <c r="F16" s="22"/>
      <c r="H16" s="24">
        <f t="shared" si="1"/>
        <v>0.2</v>
      </c>
      <c r="I16" s="22">
        <f t="shared" si="2"/>
        <v>1.4108032378580325E-2</v>
      </c>
      <c r="J16" s="24">
        <f>IF(I$32&lt;=1+I131,I16,B16*H16+J$33*(I16-B16*H16))</f>
        <v>1.4108032378580325E-2</v>
      </c>
      <c r="K16" s="22">
        <f t="shared" si="4"/>
        <v>6.125856164383562E-2</v>
      </c>
      <c r="L16" s="22">
        <f t="shared" si="5"/>
        <v>1.2251712328767124E-2</v>
      </c>
      <c r="M16" s="224">
        <f t="shared" si="6"/>
        <v>1.4108032378580325E-2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411.84</v>
      </c>
      <c r="U16" s="223">
        <v>10</v>
      </c>
      <c r="V16" s="56"/>
      <c r="W16" s="110"/>
      <c r="X16" s="118"/>
      <c r="Y16" s="183">
        <f t="shared" si="9"/>
        <v>5.6432129514321298E-2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5.6432129514321298E-2</v>
      </c>
      <c r="AH16" s="123">
        <f t="shared" si="12"/>
        <v>1</v>
      </c>
      <c r="AI16" s="183">
        <f t="shared" si="13"/>
        <v>1.4108032378580325E-2</v>
      </c>
      <c r="AJ16" s="120">
        <f t="shared" si="14"/>
        <v>0</v>
      </c>
      <c r="AK16" s="119">
        <f t="shared" si="15"/>
        <v>2.8216064757160649E-2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0.2</v>
      </c>
      <c r="F17" s="22"/>
      <c r="H17" s="24">
        <f t="shared" si="1"/>
        <v>0.2</v>
      </c>
      <c r="I17" s="22">
        <f t="shared" si="2"/>
        <v>2.8301959838107099E-2</v>
      </c>
      <c r="J17" s="24">
        <f t="shared" ref="J17:J25" si="17">IF(I$32&lt;=1+I131,I17,B17*H17+J$33*(I17-B17*H17))</f>
        <v>2.8301959838107099E-2</v>
      </c>
      <c r="K17" s="22">
        <f t="shared" si="4"/>
        <v>9.4339866127023678E-2</v>
      </c>
      <c r="L17" s="22">
        <f t="shared" si="5"/>
        <v>1.8867973225404736E-2</v>
      </c>
      <c r="M17" s="225">
        <f t="shared" si="6"/>
        <v>2.8301959838107099E-2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0.1132078393524284</v>
      </c>
      <c r="Z17" s="156">
        <f>Poor!Z17</f>
        <v>0.29409999999999997</v>
      </c>
      <c r="AA17" s="121">
        <f t="shared" si="16"/>
        <v>3.3294425553549188E-2</v>
      </c>
      <c r="AB17" s="156">
        <f>Poor!AB17</f>
        <v>0.17649999999999999</v>
      </c>
      <c r="AC17" s="121">
        <f t="shared" si="7"/>
        <v>1.9981183645703612E-2</v>
      </c>
      <c r="AD17" s="156">
        <f>Poor!AD17</f>
        <v>0.23530000000000001</v>
      </c>
      <c r="AE17" s="121">
        <f t="shared" si="8"/>
        <v>2.6637804599626402E-2</v>
      </c>
      <c r="AF17" s="122">
        <f t="shared" si="10"/>
        <v>0.29410000000000003</v>
      </c>
      <c r="AG17" s="121">
        <f t="shared" si="11"/>
        <v>3.3294425553549195E-2</v>
      </c>
      <c r="AH17" s="123">
        <f t="shared" si="12"/>
        <v>1</v>
      </c>
      <c r="AI17" s="183">
        <f t="shared" si="13"/>
        <v>2.8301959838107099E-2</v>
      </c>
      <c r="AJ17" s="120">
        <f t="shared" si="14"/>
        <v>2.6637804599626398E-2</v>
      </c>
      <c r="AK17" s="119">
        <f t="shared" si="15"/>
        <v>2.99661150765878E-2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9.6292029887920308E-3</v>
      </c>
      <c r="J18" s="24">
        <f t="shared" si="17"/>
        <v>9.5469337254923438E-3</v>
      </c>
      <c r="K18" s="22">
        <f t="shared" ref="K18:K25" si="21">B18</f>
        <v>2.4561799501867997E-2</v>
      </c>
      <c r="L18" s="22">
        <f t="shared" ref="L18:L25" si="22">IF(K18="","",K18*H18)</f>
        <v>4.9123599003736002E-3</v>
      </c>
      <c r="M18" s="225">
        <f t="shared" ref="M18:M25" si="23">J18</f>
        <v>9.5469337254923438E-3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4.1983188044831879E-3</v>
      </c>
      <c r="J19" s="24">
        <f t="shared" si="17"/>
        <v>4.1983188044831879E-3</v>
      </c>
      <c r="K19" s="22">
        <f t="shared" si="21"/>
        <v>2.0991594022415939E-2</v>
      </c>
      <c r="L19" s="22">
        <f t="shared" si="22"/>
        <v>4.1983188044831879E-3</v>
      </c>
      <c r="M19" s="225">
        <f t="shared" si="23"/>
        <v>4.1983188044831879E-3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37910.13294675987</v>
      </c>
      <c r="T23" s="179">
        <f>SUM(T7:T22)</f>
        <v>38905.517500074653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1.1129449059719678</v>
      </c>
      <c r="J30" s="231">
        <f>IF(I$32&lt;=1,I30,1-SUM(J6:J29))</f>
        <v>0.46269083681228884</v>
      </c>
      <c r="K30" s="22">
        <f t="shared" si="4"/>
        <v>0.56457277397260275</v>
      </c>
      <c r="L30" s="22">
        <f>IF(L124=L119,0,IF(K30="",0,(L119-L124)/(B119-B124)*K30))</f>
        <v>0.24520982069278213</v>
      </c>
      <c r="M30" s="175">
        <f t="shared" si="6"/>
        <v>0.46269083681228884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1.8507633472491554</v>
      </c>
      <c r="Z30" s="122">
        <f>IF($Y30=0,0,AA30/($Y$30))</f>
        <v>-0.14188325801091972</v>
      </c>
      <c r="AA30" s="187">
        <f>IF(AA79*4/$I$84+SUM(AA6:AA29)&lt;1,AA79*4/$I$84,1-SUM(AA6:AA29))</f>
        <v>-0.2625923335149053</v>
      </c>
      <c r="AB30" s="122">
        <f>IF($Y30=0,0,AC30/($Y$30))</f>
        <v>-0.33423858917289406</v>
      </c>
      <c r="AC30" s="187">
        <f>IF(AC79*4/$I$84+SUM(AC6:AC29)&lt;1,AC79*4/$I$84,1-SUM(AC6:AC29))</f>
        <v>-0.61859653007746074</v>
      </c>
      <c r="AD30" s="122">
        <f>IF($Y30=0,0,AE30/($Y$30))</f>
        <v>-0.33423858917289406</v>
      </c>
      <c r="AE30" s="187">
        <f>IF(AE79*4/$I$84+SUM(AE6:AE29)&lt;1,AE79*4/$I$84,1-SUM(AE6:AE29))</f>
        <v>-0.61859653007746074</v>
      </c>
      <c r="AF30" s="122">
        <f>IF($Y30=0,0,AG30/($Y$30))</f>
        <v>-0.27211252647180445</v>
      </c>
      <c r="AG30" s="187">
        <f>IF(AG79*4/$I$84+SUM(AG6:AG29)&lt;1,AG79*4/$I$84,1-SUM(AG6:AG29))</f>
        <v>-0.50361589032138121</v>
      </c>
      <c r="AH30" s="123">
        <f t="shared" si="12"/>
        <v>-1.0824729628285124</v>
      </c>
      <c r="AI30" s="183">
        <f t="shared" si="13"/>
        <v>-0.50085032099780191</v>
      </c>
      <c r="AJ30" s="120">
        <f t="shared" si="14"/>
        <v>-0.44059443179618302</v>
      </c>
      <c r="AK30" s="119">
        <f t="shared" si="15"/>
        <v>-0.56110621019942097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0.22787294950306092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8415.8027420553626</v>
      </c>
      <c r="T31" s="234">
        <f>IF(T25&gt;T$23,T25-T$23,0)</f>
        <v>7420.4181887405794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0.56427907848357062</v>
      </c>
      <c r="AB31" s="131"/>
      <c r="AC31" s="133">
        <f>1-AC32+IF($Y32&lt;0,$Y32/4,0)</f>
        <v>1.2504596969041586</v>
      </c>
      <c r="AD31" s="134"/>
      <c r="AE31" s="133">
        <f>1-AE32+IF($Y32&lt;0,$Y32/4,0)</f>
        <v>1.2085650809969355</v>
      </c>
      <c r="AF31" s="134"/>
      <c r="AG31" s="133">
        <f>1-AG32+IF($Y32&lt;0,$Y32/4,0)</f>
        <v>1.0489000788734837</v>
      </c>
      <c r="AH31" s="123"/>
      <c r="AI31" s="182">
        <f>SUM(AA31,AC31,AE31,AG31)/4</f>
        <v>1.0180509838145371</v>
      </c>
      <c r="AJ31" s="135">
        <f t="shared" si="14"/>
        <v>0.90736938769386466</v>
      </c>
      <c r="AK31" s="136">
        <f t="shared" si="15"/>
        <v>1.1287325799352095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1.6503363384229788</v>
      </c>
      <c r="J32" s="17"/>
      <c r="L32" s="22">
        <f>SUM(L6:L30)</f>
        <v>0.77212705049693908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41153.722742055354</v>
      </c>
      <c r="T32" s="234">
        <f t="shared" si="24"/>
        <v>40158.33818874057</v>
      </c>
      <c r="V32" s="56"/>
      <c r="W32" s="110"/>
      <c r="X32" s="118"/>
      <c r="Y32" s="115">
        <f>SUM(Y6:Y31)</f>
        <v>3.7819606959822147</v>
      </c>
      <c r="Z32" s="137"/>
      <c r="AA32" s="138">
        <f>SUM(AA6:AA30)</f>
        <v>0.43572092151642938</v>
      </c>
      <c r="AB32" s="137"/>
      <c r="AC32" s="139">
        <f>SUM(AC6:AC30)</f>
        <v>-0.25045969690415848</v>
      </c>
      <c r="AD32" s="137"/>
      <c r="AE32" s="139">
        <f>SUM(AE6:AE30)</f>
        <v>-0.20856508099693555</v>
      </c>
      <c r="AF32" s="137"/>
      <c r="AG32" s="139">
        <f>SUM(AG6:AG30)</f>
        <v>-4.8900078873483688E-2</v>
      </c>
      <c r="AH32" s="127"/>
      <c r="AI32" s="110"/>
      <c r="AJ32" s="140">
        <f>SUM(AJ6:AJ31)</f>
        <v>1.0000000000000002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0.98255840574775788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7420.4181887405866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1180</v>
      </c>
      <c r="J37" s="38">
        <f>J91*I$83</f>
        <v>1180</v>
      </c>
      <c r="K37" s="40">
        <f>(B37/B$65)</f>
        <v>5.805009723391287E-2</v>
      </c>
      <c r="L37" s="22">
        <f t="shared" ref="L37" si="28">(K37*H37)</f>
        <v>3.4249557368008589E-2</v>
      </c>
      <c r="M37" s="24">
        <f>J37/B$65</f>
        <v>3.4249557368008589E-2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1180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1180</v>
      </c>
      <c r="AJ37" s="148">
        <f>(AA37+AC37)</f>
        <v>1180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1475</v>
      </c>
      <c r="J38" s="38">
        <f t="shared" ref="J38:J64" si="32">J92*I$83</f>
        <v>1475.0000000000002</v>
      </c>
      <c r="K38" s="40">
        <f t="shared" ref="K38:K64" si="33">(B38/B$65)</f>
        <v>4.3537572925434649E-2</v>
      </c>
      <c r="L38" s="22">
        <f t="shared" ref="L38:L64" si="34">(K38*H38)</f>
        <v>2.5687168026006443E-2</v>
      </c>
      <c r="M38" s="24">
        <f t="shared" ref="M38:M64" si="35">J38/B$65</f>
        <v>4.2811946710010748E-2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1475.0000000000002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1475.0000000000002</v>
      </c>
      <c r="AJ38" s="148">
        <f t="shared" ref="AJ38:AJ64" si="38">(AA38+AC38)</f>
        <v>1475.0000000000002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1.4512524308478218E-2</v>
      </c>
      <c r="L40" s="22">
        <f t="shared" si="34"/>
        <v>6.0952602095608512E-3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857.49999999999989</v>
      </c>
      <c r="J41" s="38">
        <f t="shared" si="32"/>
        <v>857.49999999999989</v>
      </c>
      <c r="K41" s="40">
        <f t="shared" si="33"/>
        <v>3.6281310771195542E-2</v>
      </c>
      <c r="L41" s="22">
        <f t="shared" si="34"/>
        <v>1.0158767015934751E-2</v>
      </c>
      <c r="M41" s="24">
        <f t="shared" si="35"/>
        <v>2.488897918904014E-2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857.49999999999989</v>
      </c>
      <c r="AH41" s="123">
        <f t="shared" si="37"/>
        <v>1</v>
      </c>
      <c r="AI41" s="112">
        <f t="shared" si="37"/>
        <v>857.49999999999989</v>
      </c>
      <c r="AJ41" s="148">
        <f t="shared" si="38"/>
        <v>0</v>
      </c>
      <c r="AK41" s="147">
        <f t="shared" si="39"/>
        <v>857.49999999999989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2.8734798130786868E-3</v>
      </c>
      <c r="L42" s="22">
        <f t="shared" si="34"/>
        <v>8.0457434766203226E-4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7.2562621542391088E-3</v>
      </c>
      <c r="L43" s="22">
        <f t="shared" si="34"/>
        <v>2.0317534031869503E-3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7.2562621542391088E-3</v>
      </c>
      <c r="L44" s="22">
        <f t="shared" si="34"/>
        <v>2.0317534031869503E-3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2.2407337532290367E-2</v>
      </c>
      <c r="L45" s="22">
        <f t="shared" si="34"/>
        <v>6.2740545090413024E-3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111.99999999999999</v>
      </c>
      <c r="J46" s="38">
        <f t="shared" si="32"/>
        <v>111.99999999999999</v>
      </c>
      <c r="K46" s="40">
        <f t="shared" si="33"/>
        <v>1.1610019446782574E-2</v>
      </c>
      <c r="L46" s="22">
        <f t="shared" si="34"/>
        <v>3.2508054450991202E-3</v>
      </c>
      <c r="M46" s="24">
        <f t="shared" si="35"/>
        <v>3.2508054450991202E-3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27.999999999999996</v>
      </c>
      <c r="AB46" s="156">
        <f>Poor!AB46</f>
        <v>0.25</v>
      </c>
      <c r="AC46" s="147">
        <f t="shared" si="41"/>
        <v>27.999999999999996</v>
      </c>
      <c r="AD46" s="156">
        <f>Poor!AD46</f>
        <v>0.25</v>
      </c>
      <c r="AE46" s="147">
        <f t="shared" si="42"/>
        <v>27.999999999999996</v>
      </c>
      <c r="AF46" s="122">
        <f t="shared" si="29"/>
        <v>0.25</v>
      </c>
      <c r="AG46" s="147">
        <f t="shared" si="36"/>
        <v>27.999999999999996</v>
      </c>
      <c r="AH46" s="123">
        <f t="shared" si="37"/>
        <v>1</v>
      </c>
      <c r="AI46" s="112">
        <f t="shared" si="37"/>
        <v>111.99999999999999</v>
      </c>
      <c r="AJ46" s="148">
        <f t="shared" si="38"/>
        <v>55.999999999999993</v>
      </c>
      <c r="AK46" s="147">
        <f t="shared" si="39"/>
        <v>55.999999999999993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27.999999999999996</v>
      </c>
      <c r="J47" s="38">
        <f t="shared" si="32"/>
        <v>27.999999999999996</v>
      </c>
      <c r="K47" s="40">
        <f t="shared" si="33"/>
        <v>2.9025048616956434E-3</v>
      </c>
      <c r="L47" s="22">
        <f t="shared" si="34"/>
        <v>8.1270136127478004E-4</v>
      </c>
      <c r="M47" s="24">
        <f t="shared" si="35"/>
        <v>8.1270136127478004E-4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6.9999999999999991</v>
      </c>
      <c r="AB47" s="156">
        <f>Poor!AB47</f>
        <v>0.25</v>
      </c>
      <c r="AC47" s="147">
        <f t="shared" si="41"/>
        <v>6.9999999999999991</v>
      </c>
      <c r="AD47" s="156">
        <f>Poor!AD47</f>
        <v>0.25</v>
      </c>
      <c r="AE47" s="147">
        <f t="shared" si="42"/>
        <v>6.9999999999999991</v>
      </c>
      <c r="AF47" s="122">
        <f t="shared" si="29"/>
        <v>0.25</v>
      </c>
      <c r="AG47" s="147">
        <f t="shared" si="36"/>
        <v>6.9999999999999991</v>
      </c>
      <c r="AH47" s="123">
        <f t="shared" si="37"/>
        <v>1</v>
      </c>
      <c r="AI47" s="112">
        <f t="shared" si="37"/>
        <v>27.999999999999996</v>
      </c>
      <c r="AJ47" s="148">
        <f t="shared" si="38"/>
        <v>13.999999999999998</v>
      </c>
      <c r="AK47" s="147">
        <f t="shared" si="39"/>
        <v>13.999999999999998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417.36</v>
      </c>
      <c r="J50" s="38">
        <f t="shared" si="32"/>
        <v>417.36000000000007</v>
      </c>
      <c r="K50" s="40">
        <f t="shared" si="33"/>
        <v>2.1826836559951237E-2</v>
      </c>
      <c r="L50" s="22">
        <f t="shared" si="34"/>
        <v>1.2113894290772937E-2</v>
      </c>
      <c r="M50" s="24">
        <f t="shared" si="35"/>
        <v>1.2113894290772939E-2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104.34000000000002</v>
      </c>
      <c r="AB50" s="156">
        <f>Poor!AB55</f>
        <v>0.25</v>
      </c>
      <c r="AC50" s="147">
        <f t="shared" si="41"/>
        <v>104.34000000000002</v>
      </c>
      <c r="AD50" s="156">
        <f>Poor!AD55</f>
        <v>0.25</v>
      </c>
      <c r="AE50" s="147">
        <f t="shared" si="42"/>
        <v>104.34000000000002</v>
      </c>
      <c r="AF50" s="122">
        <f t="shared" si="29"/>
        <v>0.25</v>
      </c>
      <c r="AG50" s="147">
        <f t="shared" si="36"/>
        <v>104.34000000000002</v>
      </c>
      <c r="AH50" s="123">
        <f t="shared" si="37"/>
        <v>1</v>
      </c>
      <c r="AI50" s="112">
        <f t="shared" si="37"/>
        <v>417.36000000000007</v>
      </c>
      <c r="AJ50" s="148">
        <f t="shared" si="38"/>
        <v>208.68000000000004</v>
      </c>
      <c r="AK50" s="147">
        <f t="shared" si="39"/>
        <v>208.68000000000004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411.84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1.1953676022407336E-2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0.63913157054538061</v>
      </c>
      <c r="L55" s="22">
        <f t="shared" si="34"/>
        <v>0.75417525324354906</v>
      </c>
      <c r="M55" s="24">
        <f t="shared" si="35"/>
        <v>0.75417525324354928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34542.119999999995</v>
      </c>
      <c r="J65" s="39">
        <f>SUM(J37:J64)</f>
        <v>34542.120000000003</v>
      </c>
      <c r="K65" s="40">
        <f>SUM(K37:K64)</f>
        <v>1</v>
      </c>
      <c r="L65" s="22">
        <f>SUM(L37:L64)</f>
        <v>0.98597683801120362</v>
      </c>
      <c r="M65" s="24">
        <f>SUM(M37:M64)</f>
        <v>1.0025867123327432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2794.34</v>
      </c>
      <c r="AB65" s="137"/>
      <c r="AC65" s="153">
        <f>SUM(AC37:AC64)</f>
        <v>139.34</v>
      </c>
      <c r="AD65" s="137"/>
      <c r="AE65" s="153">
        <f>SUM(AE37:AE64)</f>
        <v>139.34</v>
      </c>
      <c r="AF65" s="137"/>
      <c r="AG65" s="153">
        <f>SUM(AG37:AG64)</f>
        <v>996.83999999999992</v>
      </c>
      <c r="AH65" s="137"/>
      <c r="AI65" s="153">
        <f>SUM(AI37:AI64)</f>
        <v>4069.86</v>
      </c>
      <c r="AJ65" s="153">
        <f>SUM(AJ37:AJ64)</f>
        <v>2933.68</v>
      </c>
      <c r="AK65" s="153">
        <f>SUM(AK37:AK64)</f>
        <v>1136.1799999999998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0.39413487793854846</v>
      </c>
      <c r="L70" s="22">
        <f t="shared" ref="L70:L75" si="45">(L124*G$37*F$9/F$7)/B$130</f>
        <v>0.55178882911396787</v>
      </c>
      <c r="M70" s="24">
        <f>J70/B$76</f>
        <v>0.55178882911396787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15531.339470536464</v>
      </c>
      <c r="J71" s="51">
        <f t="shared" si="44"/>
        <v>15531.339470536464</v>
      </c>
      <c r="K71" s="40">
        <f t="shared" ref="K71:K72" si="47">B71/B$76</f>
        <v>0.40573147960022837</v>
      </c>
      <c r="L71" s="22">
        <f t="shared" si="45"/>
        <v>0.43418800889723574</v>
      </c>
      <c r="M71" s="24">
        <f t="shared" ref="M71:M72" si="48">J71/B$76</f>
        <v>0.45079788321877529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0.80527094882883932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15531.339470536464</v>
      </c>
      <c r="J74" s="51">
        <f t="shared" si="44"/>
        <v>6456.9309926103833</v>
      </c>
      <c r="K74" s="40">
        <f>B74/B$76</f>
        <v>0.13859392323812963</v>
      </c>
      <c r="L74" s="22">
        <f t="shared" si="45"/>
        <v>9.9322138517021819E-2</v>
      </c>
      <c r="M74" s="24">
        <f>J74/B$76</f>
        <v>0.18741273597684913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-1958.3551323658842</v>
      </c>
      <c r="AB74" s="156"/>
      <c r="AC74" s="147">
        <f>AC30*$I$84/4</f>
        <v>-4613.3551323658839</v>
      </c>
      <c r="AD74" s="156"/>
      <c r="AE74" s="147">
        <f>AE30*$I$84/4</f>
        <v>-4613.3551323658839</v>
      </c>
      <c r="AF74" s="156"/>
      <c r="AG74" s="147">
        <f>AG30*$I$84/4</f>
        <v>-3755.8551323658844</v>
      </c>
      <c r="AH74" s="155"/>
      <c r="AI74" s="147">
        <f>SUM(AA74,AC74,AE74,AG74)</f>
        <v>-14940.920529463538</v>
      </c>
      <c r="AJ74" s="148">
        <f>(AA74+AC74)</f>
        <v>-6571.7102647317679</v>
      </c>
      <c r="AK74" s="147">
        <f>(AE74+AG74)</f>
        <v>-8369.2102647317679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34542.120000000003</v>
      </c>
      <c r="J76" s="51">
        <f t="shared" si="44"/>
        <v>34542.120000000003</v>
      </c>
      <c r="K76" s="40">
        <f>SUM(K70:K75)</f>
        <v>1.9617093447190888</v>
      </c>
      <c r="L76" s="22">
        <f>SUM(L70:L75)</f>
        <v>1.0852989765282255</v>
      </c>
      <c r="M76" s="24">
        <f>SUM(M70:M75)</f>
        <v>1.1899994483095924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2794.34</v>
      </c>
      <c r="AB76" s="137"/>
      <c r="AC76" s="153">
        <f>AC65</f>
        <v>139.34</v>
      </c>
      <c r="AD76" s="137"/>
      <c r="AE76" s="153">
        <f>AE65</f>
        <v>139.34</v>
      </c>
      <c r="AF76" s="137"/>
      <c r="AG76" s="153">
        <f>AG65</f>
        <v>996.83999999999992</v>
      </c>
      <c r="AH76" s="137"/>
      <c r="AI76" s="153">
        <f>SUM(AA76,AC76,AE76,AG76)</f>
        <v>4069.8600000000006</v>
      </c>
      <c r="AJ76" s="154">
        <f>SUM(AA76,AC76)</f>
        <v>2933.6800000000003</v>
      </c>
      <c r="AK76" s="154">
        <f>SUM(AE76,AG76)</f>
        <v>1136.1799999999998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7420.4181887405866</v>
      </c>
      <c r="K77" s="40"/>
      <c r="L77" s="22">
        <f>-(L131*G$37*F$9/F$7)/B$130</f>
        <v>-0.47876314592826941</v>
      </c>
      <c r="M77" s="24">
        <f>-J77/B$76</f>
        <v>-0.21537799868634333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4208.2676772902305</v>
      </c>
      <c r="AB77" s="112"/>
      <c r="AC77" s="111">
        <f>AC31*$I$84/4</f>
        <v>9325.6498865377016</v>
      </c>
      <c r="AD77" s="112"/>
      <c r="AE77" s="111">
        <f>AE31*$I$84/4</f>
        <v>9013.2091728953492</v>
      </c>
      <c r="AF77" s="112"/>
      <c r="AG77" s="111">
        <f>AG31*$I$84/4</f>
        <v>7822.4631515537803</v>
      </c>
      <c r="AH77" s="110"/>
      <c r="AI77" s="154">
        <f>SUM(AA77,AC77,AE77,AG77)</f>
        <v>30369.58988827706</v>
      </c>
      <c r="AJ77" s="153">
        <f>SUM(AA77,AC77)</f>
        <v>13533.917563827932</v>
      </c>
      <c r="AK77" s="160">
        <f>SUM(AE77,AG77)</f>
        <v>16835.67232444913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-1958.3551323658839</v>
      </c>
      <c r="AB79" s="112"/>
      <c r="AC79" s="112">
        <f>AA79-AA74+AC65-AC70</f>
        <v>-4613.3551323658839</v>
      </c>
      <c r="AD79" s="112"/>
      <c r="AE79" s="112">
        <f>AC79-AC74+AE65-AE70</f>
        <v>-4613.3551323658839</v>
      </c>
      <c r="AF79" s="112"/>
      <c r="AG79" s="112">
        <f>AE79-AE74+AG65-AG70</f>
        <v>-3755.8551323658839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0.3575757575757576</v>
      </c>
      <c r="I91" s="22">
        <f t="shared" ref="I91" si="52">(D91*H91)</f>
        <v>8.455645384213345E-2</v>
      </c>
      <c r="J91" s="24">
        <f>IF(I$32&lt;=1+I$131,I91,L91+J$33*(I91-L91))</f>
        <v>8.455645384213345E-2</v>
      </c>
      <c r="K91" s="22">
        <f t="shared" ref="K91" si="53">(B91)</f>
        <v>0.23647143871105117</v>
      </c>
      <c r="L91" s="22">
        <f t="shared" ref="L91" si="54">(K91*H91)</f>
        <v>8.455645384213345E-2</v>
      </c>
      <c r="M91" s="227">
        <f t="shared" si="49"/>
        <v>8.455645384213345E-2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0.3575757575757576</v>
      </c>
      <c r="I92" s="22">
        <f t="shared" ref="I92:I118" si="58">(D92*H92)</f>
        <v>0.10569556730266683</v>
      </c>
      <c r="J92" s="24">
        <f t="shared" ref="J92:J118" si="59">IF(I$32&lt;=1+I$131,I92,L92+J$33*(I92-L92))</f>
        <v>0.10569556730266683</v>
      </c>
      <c r="K92" s="22">
        <f t="shared" ref="K92:K118" si="60">(B92)</f>
        <v>0.17735357903328838</v>
      </c>
      <c r="L92" s="22">
        <f t="shared" ref="L92:L118" si="61">(K92*H92)</f>
        <v>6.3417340381600087E-2</v>
      </c>
      <c r="M92" s="227">
        <f t="shared" ref="M92:M118" si="62">(J92)</f>
        <v>0.10569556730266683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5.9117859677762792E-2</v>
      </c>
      <c r="L94" s="22">
        <f t="shared" si="61"/>
        <v>1.504818246343053E-2</v>
      </c>
      <c r="M94" s="227">
        <f t="shared" si="6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0.16969696969696968</v>
      </c>
      <c r="I95" s="22">
        <f t="shared" si="58"/>
        <v>6.144674505900799E-2</v>
      </c>
      <c r="J95" s="24">
        <f t="shared" si="59"/>
        <v>6.144674505900799E-2</v>
      </c>
      <c r="K95" s="22">
        <f t="shared" si="60"/>
        <v>0.14779464919440699</v>
      </c>
      <c r="L95" s="22">
        <f t="shared" si="61"/>
        <v>2.5080304105717547E-2</v>
      </c>
      <c r="M95" s="227">
        <f t="shared" si="62"/>
        <v>6.144674505900799E-2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1.1705336216197033E-2</v>
      </c>
      <c r="L96" s="22">
        <f t="shared" si="61"/>
        <v>1.9863600851728297E-3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2.9558929838881396E-2</v>
      </c>
      <c r="L97" s="22">
        <f t="shared" si="61"/>
        <v>5.0160608211435092E-3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2.9558929838881396E-2</v>
      </c>
      <c r="L98" s="22">
        <f t="shared" si="61"/>
        <v>5.0160608211435092E-3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9.1277975342465748E-2</v>
      </c>
      <c r="L99" s="22">
        <f t="shared" si="61"/>
        <v>1.5489595815691155E-2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0.16969696969696968</v>
      </c>
      <c r="I100" s="22">
        <f t="shared" si="58"/>
        <v>8.0256973138296151E-3</v>
      </c>
      <c r="J100" s="24">
        <f t="shared" si="59"/>
        <v>8.0256973138296151E-3</v>
      </c>
      <c r="K100" s="22">
        <f t="shared" si="60"/>
        <v>4.7294287742210235E-2</v>
      </c>
      <c r="L100" s="22">
        <f t="shared" si="61"/>
        <v>8.0256973138296151E-3</v>
      </c>
      <c r="M100" s="227">
        <f t="shared" si="62"/>
        <v>8.0256973138296151E-3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0.16969696969696968</v>
      </c>
      <c r="I101" s="22">
        <f t="shared" si="58"/>
        <v>2.0064243284574038E-3</v>
      </c>
      <c r="J101" s="24">
        <f t="shared" si="59"/>
        <v>2.0064243284574038E-3</v>
      </c>
      <c r="K101" s="22">
        <f t="shared" si="60"/>
        <v>1.1823571935552559E-2</v>
      </c>
      <c r="L101" s="22">
        <f t="shared" si="61"/>
        <v>2.0064243284574038E-3</v>
      </c>
      <c r="M101" s="227">
        <f t="shared" si="62"/>
        <v>2.0064243284574038E-3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0.33636363636363642</v>
      </c>
      <c r="I104" s="22">
        <f t="shared" si="58"/>
        <v>2.9907187775892224E-2</v>
      </c>
      <c r="J104" s="24">
        <f t="shared" si="59"/>
        <v>2.9907187775892224E-2</v>
      </c>
      <c r="K104" s="22">
        <f t="shared" si="60"/>
        <v>8.8913260955355247E-2</v>
      </c>
      <c r="L104" s="22">
        <f t="shared" si="61"/>
        <v>2.9907187775892224E-2</v>
      </c>
      <c r="M104" s="227">
        <f t="shared" si="62"/>
        <v>2.9907187775892224E-2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0.28606060606060607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0.28606060606060607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2.9511635551139188E-2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2.9511635551139188E-2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0.7151515151515152</v>
      </c>
      <c r="I109" s="22">
        <f t="shared" si="58"/>
        <v>1.8619331136037789</v>
      </c>
      <c r="J109" s="24">
        <f t="shared" si="59"/>
        <v>1.8619331136037789</v>
      </c>
      <c r="K109" s="22">
        <f t="shared" si="60"/>
        <v>2.6035505402086736</v>
      </c>
      <c r="L109" s="22">
        <f t="shared" si="61"/>
        <v>1.8619331136037789</v>
      </c>
      <c r="M109" s="227">
        <f t="shared" si="6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2.475219640160538</v>
      </c>
      <c r="J119" s="24">
        <f>SUM(J91:J118)</f>
        <v>2.475219640160538</v>
      </c>
      <c r="K119" s="22">
        <f>SUM(K91:K118)</f>
        <v>4.0735752389559234</v>
      </c>
      <c r="L119" s="22">
        <f>SUM(L91:L118)</f>
        <v>2.4342126263675725</v>
      </c>
      <c r="M119" s="57">
        <f t="shared" si="49"/>
        <v>2.475219640160538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6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1.1129449059719678</v>
      </c>
      <c r="J125" s="237">
        <f>IF(SUMPRODUCT($B$124:$B125,$H$124:$H125)&lt;J$119,($B125*$H125),IF(SUMPRODUCT($B$124:$B124,$H$124:$H124)&lt;J$119,J$119-SUMPRODUCT($B$124:$B124,$H$124:$H124),0))</f>
        <v>1.1129449059719678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1.0719378921790024</v>
      </c>
      <c r="M125" s="57">
        <f t="shared" ref="M125:M126" si="65">(J125)</f>
        <v>1.1129449059719678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1.1129449059719678</v>
      </c>
      <c r="J128" s="228">
        <f>(J30)</f>
        <v>0.46269083681228884</v>
      </c>
      <c r="K128" s="22">
        <f>(B128)</f>
        <v>0.56457277397260275</v>
      </c>
      <c r="L128" s="22">
        <f>IF(L124=L119,0,(L119-L124)/(B119-B124)*K128)</f>
        <v>0.24520982069278213</v>
      </c>
      <c r="M128" s="57">
        <f t="shared" si="63"/>
        <v>0.46269083681228884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2.475219640160538</v>
      </c>
      <c r="J130" s="228">
        <f>(J119)</f>
        <v>2.475219640160538</v>
      </c>
      <c r="K130" s="22">
        <f>(B130)</f>
        <v>4.0735752389559234</v>
      </c>
      <c r="L130" s="22">
        <f>(L119)</f>
        <v>2.4342126263675725</v>
      </c>
      <c r="M130" s="57">
        <f t="shared" si="63"/>
        <v>2.475219640160538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0.53173241361489065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1.7095336930953369E-2</v>
      </c>
      <c r="J6" s="24">
        <f t="shared" ref="J6:J13" si="3">IF(I$32&lt;=1+I$131,I6,B6*H6+J$33*(I6-B6*H6))</f>
        <v>1.7095336930953369E-2</v>
      </c>
      <c r="K6" s="22">
        <f t="shared" ref="K6:K31" si="4">B6</f>
        <v>8.5476684654766849E-2</v>
      </c>
      <c r="L6" s="22">
        <f t="shared" ref="L6:L29" si="5">IF(K6="","",K6*H6)</f>
        <v>1.7095336930953369E-2</v>
      </c>
      <c r="M6" s="177">
        <f t="shared" ref="M6:M31" si="6">J6</f>
        <v>1.7095336930953369E-2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6.8381347723813476E-2</v>
      </c>
      <c r="Z6" s="156">
        <f>Poor!Z6</f>
        <v>0.17</v>
      </c>
      <c r="AA6" s="121">
        <f>$M6*Z6*4</f>
        <v>1.1624829113048293E-2</v>
      </c>
      <c r="AB6" s="156">
        <f>Poor!AB6</f>
        <v>0.17</v>
      </c>
      <c r="AC6" s="121">
        <f t="shared" ref="AC6:AC29" si="7">$M6*AB6*4</f>
        <v>1.1624829113048293E-2</v>
      </c>
      <c r="AD6" s="156">
        <f>Poor!AD6</f>
        <v>0.33</v>
      </c>
      <c r="AE6" s="121">
        <f t="shared" ref="AE6:AE29" si="8">$M6*AD6*4</f>
        <v>2.2565844748858449E-2</v>
      </c>
      <c r="AF6" s="122">
        <f>1-SUM(Z6,AB6,AD6)</f>
        <v>0.32999999999999996</v>
      </c>
      <c r="AG6" s="121">
        <f>$M6*AF6*4</f>
        <v>2.2565844748858446E-2</v>
      </c>
      <c r="AH6" s="123">
        <f>SUM(Z6,AB6,AD6,AF6)</f>
        <v>1</v>
      </c>
      <c r="AI6" s="183">
        <f>SUM(AA6,AC6,AE6,AG6)/4</f>
        <v>1.7095336930953369E-2</v>
      </c>
      <c r="AJ6" s="120">
        <f>(AA6+AC6)/2</f>
        <v>1.1624829113048293E-2</v>
      </c>
      <c r="AK6" s="119">
        <f>(AE6+AG6)/2</f>
        <v>2.2565844748858449E-2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1654.2463081678052</v>
      </c>
      <c r="T7" s="222">
        <f>IF($B$81=0,0,(SUMIF($N$6:$N$28,$U7,M$6:M$28)+SUMIF($N$91:$N$118,$U7,M$91:M$118))*$I$83*Poor!$B$81/$B$81)</f>
        <v>2133.1650710014669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1.3885756537982567E-2</v>
      </c>
      <c r="J8" s="24">
        <f t="shared" si="3"/>
        <v>1.3885756537982567E-2</v>
      </c>
      <c r="K8" s="22">
        <f t="shared" si="4"/>
        <v>6.942878268991283E-2</v>
      </c>
      <c r="L8" s="22">
        <f t="shared" si="5"/>
        <v>1.3885756537982567E-2</v>
      </c>
      <c r="M8" s="224">
        <f t="shared" si="6"/>
        <v>1.3885756537982567E-2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1518.5955555555552</v>
      </c>
      <c r="T8" s="222">
        <f>IF($B$81=0,0,(SUMIF($N$6:$N$28,$U8,M$6:M$28)+SUMIF($N$91:$N$118,$U8,M$91:M$118))*$I$83*Poor!$B$81/$B$81)</f>
        <v>976.88888888888869</v>
      </c>
      <c r="U8" s="223">
        <v>2</v>
      </c>
      <c r="V8" s="56"/>
      <c r="W8" s="115"/>
      <c r="X8" s="118">
        <f>Poor!X8</f>
        <v>1</v>
      </c>
      <c r="Y8" s="183">
        <f t="shared" si="9"/>
        <v>5.5543026151930269E-2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5.5543026151930269E-2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1.3885756537982567E-2</v>
      </c>
      <c r="AJ8" s="120">
        <f t="shared" si="14"/>
        <v>2.7771513075965135E-2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1.0000000000000002E-2</v>
      </c>
      <c r="J9" s="24">
        <f t="shared" si="3"/>
        <v>1.0000000000000002E-2</v>
      </c>
      <c r="K9" s="22">
        <f t="shared" si="4"/>
        <v>0.05</v>
      </c>
      <c r="L9" s="22">
        <f t="shared" si="5"/>
        <v>1.0000000000000002E-2</v>
      </c>
      <c r="M9" s="224">
        <f t="shared" si="6"/>
        <v>1.0000000000000002E-2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432.34654047339143</v>
      </c>
      <c r="T9" s="222">
        <f>IF($B$81=0,0,(SUMIF($N$6:$N$28,$U9,M$6:M$28)+SUMIF($N$91:$N$118,$U9,M$91:M$118))*$I$83*Poor!$B$81/$B$81)</f>
        <v>432.34654047339143</v>
      </c>
      <c r="U9" s="223">
        <v>3</v>
      </c>
      <c r="V9" s="56"/>
      <c r="W9" s="115"/>
      <c r="X9" s="118">
        <f>Poor!X9</f>
        <v>1</v>
      </c>
      <c r="Y9" s="183">
        <f t="shared" si="9"/>
        <v>4.0000000000000008E-2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4.0000000000000008E-2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1.0000000000000002E-2</v>
      </c>
      <c r="AJ9" s="120">
        <f t="shared" si="14"/>
        <v>2.0000000000000004E-2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0.3</v>
      </c>
      <c r="H10" s="24">
        <f t="shared" si="1"/>
        <v>0.3</v>
      </c>
      <c r="I10" s="22">
        <f t="shared" si="2"/>
        <v>6.9397643835616432E-2</v>
      </c>
      <c r="J10" s="24">
        <f t="shared" si="3"/>
        <v>6.9397643835616432E-2</v>
      </c>
      <c r="K10" s="22">
        <f t="shared" si="4"/>
        <v>0.16245357534246571</v>
      </c>
      <c r="L10" s="22">
        <f t="shared" si="5"/>
        <v>4.8736072602739711E-2</v>
      </c>
      <c r="M10" s="224">
        <f t="shared" si="6"/>
        <v>6.9397643835616432E-2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0.27759057534246573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0.27759057534246573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6.9397643835616432E-2</v>
      </c>
      <c r="AJ10" s="120">
        <f t="shared" si="14"/>
        <v>0.13879528767123286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0.3</v>
      </c>
      <c r="H11" s="24">
        <f t="shared" si="1"/>
        <v>0.3</v>
      </c>
      <c r="I11" s="22">
        <f t="shared" si="2"/>
        <v>1.1568446450809464E-2</v>
      </c>
      <c r="J11" s="24">
        <f t="shared" si="3"/>
        <v>1.1568446450809464E-2</v>
      </c>
      <c r="K11" s="22">
        <f t="shared" si="4"/>
        <v>3.8561488169364881E-2</v>
      </c>
      <c r="L11" s="22">
        <f t="shared" si="5"/>
        <v>1.1568446450809464E-2</v>
      </c>
      <c r="M11" s="224">
        <f t="shared" si="6"/>
        <v>1.1568446450809464E-2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6083.5555555555557</v>
      </c>
      <c r="T11" s="222">
        <f>IF($B$81=0,0,(SUMIF($N$6:$N$28,$U11,M$6:M$28)+SUMIF($N$91:$N$118,$U11,M$91:M$118))*$I$83*Poor!$B$81/$B$81)</f>
        <v>7394.666666666667</v>
      </c>
      <c r="U11" s="223">
        <v>5</v>
      </c>
      <c r="V11" s="56"/>
      <c r="W11" s="115"/>
      <c r="X11" s="118">
        <f>Poor!X11</f>
        <v>1</v>
      </c>
      <c r="Y11" s="183">
        <f t="shared" si="9"/>
        <v>4.6273785803237856E-2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4.6273785803237856E-2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1.1568446450809464E-2</v>
      </c>
      <c r="AJ11" s="120">
        <f t="shared" si="14"/>
        <v>2.3136892901618928E-2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0.2</v>
      </c>
      <c r="H12" s="24">
        <f t="shared" si="1"/>
        <v>0.2</v>
      </c>
      <c r="I12" s="22">
        <f t="shared" si="2"/>
        <v>9.132229389788294E-3</v>
      </c>
      <c r="J12" s="24">
        <f t="shared" si="3"/>
        <v>9.132229389788294E-3</v>
      </c>
      <c r="K12" s="22">
        <f t="shared" si="4"/>
        <v>6.6773290161892901E-2</v>
      </c>
      <c r="L12" s="22">
        <f t="shared" si="5"/>
        <v>1.3354658032378581E-2</v>
      </c>
      <c r="M12" s="224">
        <f t="shared" si="6"/>
        <v>9.132229389788294E-3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234.96658297928434</v>
      </c>
      <c r="U12" s="223">
        <v>6</v>
      </c>
      <c r="V12" s="56"/>
      <c r="W12" s="117"/>
      <c r="X12" s="118"/>
      <c r="Y12" s="183">
        <f t="shared" si="9"/>
        <v>3.6528917559153176E-2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2.4474374764632628E-2</v>
      </c>
      <c r="AF12" s="122">
        <f>1-SUM(Z12,AB12,AD12)</f>
        <v>0.32999999999999996</v>
      </c>
      <c r="AG12" s="121">
        <f>$M12*AF12*4</f>
        <v>1.2054542794520546E-2</v>
      </c>
      <c r="AH12" s="123">
        <f t="shared" si="12"/>
        <v>1</v>
      </c>
      <c r="AI12" s="183">
        <f t="shared" si="13"/>
        <v>9.132229389788294E-3</v>
      </c>
      <c r="AJ12" s="120">
        <f t="shared" si="14"/>
        <v>0</v>
      </c>
      <c r="AK12" s="119">
        <f t="shared" si="15"/>
        <v>1.8264458779576588E-2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5.9960398505603987E-4</v>
      </c>
      <c r="J14" s="24">
        <f>IF(I$32&lt;=1+I131,I14,B14*H14+J$33*(I14-B14*H14))</f>
        <v>5.9960398505603987E-4</v>
      </c>
      <c r="K14" s="22">
        <f t="shared" si="4"/>
        <v>1.9986799501867992E-3</v>
      </c>
      <c r="L14" s="22">
        <f t="shared" si="5"/>
        <v>3.9973599003735984E-4</v>
      </c>
      <c r="M14" s="225">
        <f t="shared" si="6"/>
        <v>5.9960398505603987E-4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14583.751111111109</v>
      </c>
      <c r="T14" s="222">
        <f>IF($B$81=0,0,(SUMIF($N$6:$N$28,$U14,M$6:M$28)+SUMIF($N$91:$N$118,$U14,M$91:M$118))*$I$83*Poor!$B$81/$B$81)</f>
        <v>14583.751111111109</v>
      </c>
      <c r="U14" s="223">
        <v>8</v>
      </c>
      <c r="V14" s="56"/>
      <c r="W14" s="110"/>
      <c r="X14" s="118"/>
      <c r="Y14" s="183">
        <f>M14*4</f>
        <v>2.3984159402241595E-3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2.3984159402241595E-3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5.9960398505603987E-4</v>
      </c>
      <c r="AJ14" s="120">
        <f t="shared" si="14"/>
        <v>1.1992079701120797E-3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0.2</v>
      </c>
      <c r="F16" s="22"/>
      <c r="H16" s="24">
        <f t="shared" si="1"/>
        <v>0.2</v>
      </c>
      <c r="I16" s="22">
        <f t="shared" si="2"/>
        <v>1.2540473225404733E-2</v>
      </c>
      <c r="J16" s="24">
        <f>IF(I$32&lt;=1+I131,I16,B16*H16+J$33*(I16-B16*H16))</f>
        <v>1.2540473225404733E-2</v>
      </c>
      <c r="K16" s="22">
        <f t="shared" si="4"/>
        <v>3.7951432129514323E-2</v>
      </c>
      <c r="L16" s="22">
        <f t="shared" si="5"/>
        <v>7.590286425902865E-3</v>
      </c>
      <c r="M16" s="224">
        <f t="shared" si="6"/>
        <v>1.2540473225404733E-2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5.0161892901618932E-2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5.0161892901618932E-2</v>
      </c>
      <c r="AH16" s="123">
        <f t="shared" si="12"/>
        <v>1</v>
      </c>
      <c r="AI16" s="183">
        <f t="shared" si="13"/>
        <v>1.2540473225404733E-2</v>
      </c>
      <c r="AJ16" s="120">
        <f t="shared" si="14"/>
        <v>0</v>
      </c>
      <c r="AK16" s="119">
        <f t="shared" si="15"/>
        <v>2.5080946450809466E-2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0.2</v>
      </c>
      <c r="F17" s="22"/>
      <c r="H17" s="24">
        <f t="shared" si="1"/>
        <v>0.2</v>
      </c>
      <c r="I17" s="22">
        <f t="shared" si="2"/>
        <v>3.1027333748443343E-2</v>
      </c>
      <c r="J17" s="24">
        <f t="shared" ref="J17:J25" si="17">IF(I$32&lt;=1+I131,I17,B17*H17+J$33*(I17-B17*H17))</f>
        <v>3.1027333748443343E-2</v>
      </c>
      <c r="K17" s="22">
        <f t="shared" si="4"/>
        <v>0.10482207347447074</v>
      </c>
      <c r="L17" s="22">
        <f t="shared" si="5"/>
        <v>2.096441469489415E-2</v>
      </c>
      <c r="M17" s="225">
        <f t="shared" si="6"/>
        <v>3.1027333748443343E-2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0.12410933499377337</v>
      </c>
      <c r="Z17" s="156">
        <f>Poor!Z17</f>
        <v>0.29409999999999997</v>
      </c>
      <c r="AA17" s="121">
        <f t="shared" si="16"/>
        <v>3.6500555421668746E-2</v>
      </c>
      <c r="AB17" s="156">
        <f>Poor!AB17</f>
        <v>0.17649999999999999</v>
      </c>
      <c r="AC17" s="121">
        <f t="shared" si="7"/>
        <v>2.1905297626400998E-2</v>
      </c>
      <c r="AD17" s="156">
        <f>Poor!AD17</f>
        <v>0.23530000000000001</v>
      </c>
      <c r="AE17" s="121">
        <f t="shared" si="8"/>
        <v>2.9202926524034875E-2</v>
      </c>
      <c r="AF17" s="122">
        <f t="shared" si="10"/>
        <v>0.29410000000000003</v>
      </c>
      <c r="AG17" s="121">
        <f t="shared" si="11"/>
        <v>3.6500555421668752E-2</v>
      </c>
      <c r="AH17" s="123">
        <f t="shared" si="12"/>
        <v>1</v>
      </c>
      <c r="AI17" s="183">
        <f t="shared" si="13"/>
        <v>3.1027333748443339E-2</v>
      </c>
      <c r="AJ17" s="120">
        <f t="shared" si="14"/>
        <v>2.9202926524034872E-2</v>
      </c>
      <c r="AK17" s="119">
        <f t="shared" si="15"/>
        <v>3.2851740972851817E-2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2.9327521793275219E-3</v>
      </c>
      <c r="J18" s="24">
        <f t="shared" si="17"/>
        <v>4.0783157509137963E-3</v>
      </c>
      <c r="K18" s="22">
        <f t="shared" ref="K18:K25" si="21">B18</f>
        <v>7.0603293206032928E-3</v>
      </c>
      <c r="L18" s="22">
        <f t="shared" ref="L18:L25" si="22">IF(K18="","",K18*H18)</f>
        <v>1.4120658641206586E-3</v>
      </c>
      <c r="M18" s="225">
        <f t="shared" ref="M18:M25" si="23">J18</f>
        <v>4.0783157509137963E-3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4.5143212951432128E-3</v>
      </c>
      <c r="J19" s="24">
        <f t="shared" si="17"/>
        <v>4.5143212951432128E-3</v>
      </c>
      <c r="K19" s="22">
        <f t="shared" si="21"/>
        <v>2.2571606475716065E-2</v>
      </c>
      <c r="L19" s="22">
        <f t="shared" si="22"/>
        <v>4.5143212951432128E-3</v>
      </c>
      <c r="M19" s="225">
        <f t="shared" si="23"/>
        <v>4.5143212951432128E-3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1.6837238159433623E-2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1.6837238159433623E-2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6463.2533333333331</v>
      </c>
      <c r="T20" s="222">
        <f>IF($B$81=0,0,(SUMIF($N$6:$N$28,$U20,M$6:M$28)+SUMIF($N$91:$N$118,$U20,M$91:M$118))*$I$83*Poor!$B$81/$B$81)</f>
        <v>6463.2533333333331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33479.85153350819</v>
      </c>
      <c r="T23" s="179">
        <f>SUM(T7:T22)</f>
        <v>34799.780635486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0.74580078338942402</v>
      </c>
      <c r="J30" s="231">
        <f>IF(I$32&lt;=1,I30,1-SUM(J6:J29))</f>
        <v>0.3897556546352845</v>
      </c>
      <c r="K30" s="22">
        <f t="shared" si="4"/>
        <v>0.60560871481942702</v>
      </c>
      <c r="L30" s="22">
        <f>IF(L124=L119,0,IF(K30="",0,(L119-L124)/(B119-B124)*K30))</f>
        <v>9.3710352628348342E-2</v>
      </c>
      <c r="M30" s="175">
        <f t="shared" si="6"/>
        <v>0.3897556546352845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1.559022618541138</v>
      </c>
      <c r="Z30" s="122">
        <f>IF($Y30=0,0,AA30/($Y$30))</f>
        <v>0.12957499525861796</v>
      </c>
      <c r="AA30" s="187">
        <f>IF(AA79*4/$I$83+SUM(AA6:AA29)&lt;1,AA79*4/$I$83,1-SUM(AA6:AA29))</f>
        <v>0.2020103484055461</v>
      </c>
      <c r="AB30" s="122">
        <f>IF($Y30=0,0,AC30/($Y$30))</f>
        <v>0.40641782230916651</v>
      </c>
      <c r="AC30" s="187">
        <f>IF(AC79*4/$I$83+SUM(AC6:AC29)&lt;1,AC79*4/$I$83,1-SUM(AC6:AC29))</f>
        <v>0.6336145775582237</v>
      </c>
      <c r="AD30" s="122">
        <f>IF($Y30=0,0,AE30/($Y$30))</f>
        <v>0.37440058999844478</v>
      </c>
      <c r="AE30" s="187">
        <f>IF(AE79*4/$I$83+SUM(AE6:AE29)&lt;1,AE79*4/$I$83,1-SUM(AE6:AE29))</f>
        <v>0.58369898820272237</v>
      </c>
      <c r="AF30" s="122">
        <f>IF($Y30=0,0,AG30/($Y$30))</f>
        <v>-0.18517775809491413</v>
      </c>
      <c r="AG30" s="187">
        <f>IF(AG79*4/$I$83+SUM(AG6:AG29)&lt;1,AG79*4/$I$83,1-SUM(AG6:AG29))</f>
        <v>-0.28869631332071044</v>
      </c>
      <c r="AH30" s="123">
        <f t="shared" si="12"/>
        <v>0.72521564947131512</v>
      </c>
      <c r="AI30" s="183">
        <f t="shared" si="13"/>
        <v>0.28265690021144541</v>
      </c>
      <c r="AJ30" s="120">
        <f t="shared" si="14"/>
        <v>0.4178124629818849</v>
      </c>
      <c r="AK30" s="119">
        <f t="shared" si="15"/>
        <v>0.14750133744100596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0.32750927420686626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12846.084155307042</v>
      </c>
      <c r="T31" s="234">
        <f>IF(T25&gt;T$23,T25-T$23,0)</f>
        <v>11526.155053329232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9.6009859976488032E-3</v>
      </c>
      <c r="AF31" s="134"/>
      <c r="AG31" s="133">
        <f>1-AG32+IF($Y32&lt;0,$Y32/4,0)</f>
        <v>0.83695659769194086</v>
      </c>
      <c r="AH31" s="123"/>
      <c r="AI31" s="182">
        <f>SUM(AA31,AC31,AE31,AG31)/4</f>
        <v>0.21163939592239742</v>
      </c>
      <c r="AJ31" s="135">
        <f t="shared" si="14"/>
        <v>0</v>
      </c>
      <c r="AK31" s="136">
        <f t="shared" si="15"/>
        <v>0.42327879184479483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1.3526949546694458</v>
      </c>
      <c r="J32" s="17"/>
      <c r="L32" s="22">
        <f>SUM(L6:L30)</f>
        <v>0.67249072579313374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45584.004155307048</v>
      </c>
      <c r="T32" s="234">
        <f t="shared" si="24"/>
        <v>44264.075053329238</v>
      </c>
      <c r="V32" s="56"/>
      <c r="W32" s="110"/>
      <c r="X32" s="118"/>
      <c r="Y32" s="115">
        <f>SUM(Y6:Y31)</f>
        <v>3.5818374340057666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0.9903990140023512</v>
      </c>
      <c r="AF32" s="137"/>
      <c r="AG32" s="139">
        <f>SUM(AG6:AG30)</f>
        <v>0.16304340230805914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1.7533201029894454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12966.924434995401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5900</v>
      </c>
      <c r="J37" s="38">
        <f>J91*I$83</f>
        <v>5900</v>
      </c>
      <c r="K37" s="40">
        <f t="shared" ref="K37:K52" si="28">(B37/B$65)</f>
        <v>0.13853773421535689</v>
      </c>
      <c r="L37" s="22">
        <f t="shared" ref="L37:L52" si="29">(K37*H37)</f>
        <v>8.1737263187060566E-2</v>
      </c>
      <c r="M37" s="24">
        <f t="shared" ref="M37:M52" si="30">J37/B$65</f>
        <v>0.10217157898382571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8.161290033510496E-2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481.51611197711929</v>
      </c>
      <c r="AB37" s="122">
        <f>IF($J37=0,0,AC37/($J37))</f>
        <v>0.47196495317699699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2784.5932237442821</v>
      </c>
      <c r="AD37" s="122">
        <f>IF($J37=0,0,AE37/($J37))</f>
        <v>0.44642214648789807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2633.8906642785987</v>
      </c>
      <c r="AF37" s="122">
        <f t="shared" ref="AF37:AF64" si="31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5900</v>
      </c>
      <c r="AJ37" s="148">
        <f>(AA37+AC37)</f>
        <v>3266.1093357214013</v>
      </c>
      <c r="AK37" s="147">
        <f>(AE37+AG37)</f>
        <v>2633.8906642785987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1770</v>
      </c>
      <c r="J38" s="38">
        <f t="shared" ref="J38:J64" si="33">J92*I$83</f>
        <v>1770</v>
      </c>
      <c r="K38" s="40">
        <f t="shared" si="28"/>
        <v>4.3293041942299035E-2</v>
      </c>
      <c r="L38" s="22">
        <f t="shared" si="29"/>
        <v>2.5542894745956429E-2</v>
      </c>
      <c r="M38" s="24">
        <f t="shared" si="30"/>
        <v>3.0651473695147716E-2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8.161290033510496E-2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144.45483359313579</v>
      </c>
      <c r="AB38" s="122">
        <f>IF($J38=0,0,AC38/($J38))</f>
        <v>0.47196495317699699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835.37796712328463</v>
      </c>
      <c r="AD38" s="122">
        <f>IF($J38=0,0,AE38/($J38))</f>
        <v>0.44642214648789802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790.16719928357952</v>
      </c>
      <c r="AF38" s="122">
        <f t="shared" si="31"/>
        <v>0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1770</v>
      </c>
      <c r="AJ38" s="148">
        <f t="shared" ref="AJ38:AJ64" si="36">(AA38+AC38)</f>
        <v>979.83280071642048</v>
      </c>
      <c r="AK38" s="147">
        <f t="shared" ref="AK38:AK64" si="37">(AE38+AG38)</f>
        <v>790.16719928357952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649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649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1.1342776988882346E-2</v>
      </c>
      <c r="L40" s="22">
        <f t="shared" si="29"/>
        <v>4.763966335330585E-3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650.99999999999989</v>
      </c>
      <c r="J41" s="38">
        <f t="shared" si="33"/>
        <v>650.99999999999989</v>
      </c>
      <c r="K41" s="40">
        <f t="shared" si="28"/>
        <v>2.1646520971149517E-2</v>
      </c>
      <c r="L41" s="22">
        <f t="shared" si="29"/>
        <v>6.061025871921864E-3</v>
      </c>
      <c r="M41" s="24">
        <f t="shared" si="30"/>
        <v>1.1273508121774667E-2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650.99999999999989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650.99999999999989</v>
      </c>
      <c r="AJ41" s="148">
        <f t="shared" si="36"/>
        <v>650.99999999999989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1.7144044609150417E-3</v>
      </c>
      <c r="L42" s="22">
        <f t="shared" si="29"/>
        <v>4.8003324905621162E-4</v>
      </c>
      <c r="M42" s="24">
        <f t="shared" si="30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1.298791258268971E-2</v>
      </c>
      <c r="L43" s="22">
        <f t="shared" si="29"/>
        <v>3.6366155231531182E-3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1.974162712568836E-2</v>
      </c>
      <c r="L44" s="22">
        <f t="shared" si="29"/>
        <v>5.52765559519274E-3</v>
      </c>
      <c r="M44" s="24">
        <f t="shared" si="30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4.8488206975374915E-3</v>
      </c>
      <c r="L45" s="22">
        <f t="shared" si="29"/>
        <v>1.3576697953104975E-3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139.99999999999997</v>
      </c>
      <c r="J46" s="38">
        <f t="shared" si="33"/>
        <v>139.99999999999997</v>
      </c>
      <c r="K46" s="40">
        <f t="shared" si="28"/>
        <v>8.6586083884598059E-3</v>
      </c>
      <c r="L46" s="22">
        <f t="shared" si="29"/>
        <v>2.4244103487687453E-3</v>
      </c>
      <c r="M46" s="24">
        <f t="shared" si="30"/>
        <v>2.4244103487687453E-3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34.999999999999993</v>
      </c>
      <c r="AB46" s="156">
        <f>Poor!AB46</f>
        <v>0.25</v>
      </c>
      <c r="AC46" s="147">
        <f t="shared" si="39"/>
        <v>34.999999999999993</v>
      </c>
      <c r="AD46" s="156">
        <f>Poor!AD46</f>
        <v>0.25</v>
      </c>
      <c r="AE46" s="147">
        <f t="shared" si="40"/>
        <v>34.999999999999993</v>
      </c>
      <c r="AF46" s="122">
        <f t="shared" si="31"/>
        <v>0.25</v>
      </c>
      <c r="AG46" s="147">
        <f t="shared" si="34"/>
        <v>34.999999999999993</v>
      </c>
      <c r="AH46" s="123">
        <f t="shared" si="35"/>
        <v>1</v>
      </c>
      <c r="AI46" s="112">
        <f t="shared" si="35"/>
        <v>139.99999999999997</v>
      </c>
      <c r="AJ46" s="148">
        <f t="shared" si="36"/>
        <v>69.999999999999986</v>
      </c>
      <c r="AK46" s="147">
        <f t="shared" si="37"/>
        <v>69.999999999999986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83.999999999999986</v>
      </c>
      <c r="J47" s="38">
        <f t="shared" si="33"/>
        <v>83.999999999999986</v>
      </c>
      <c r="K47" s="40">
        <f t="shared" si="28"/>
        <v>5.1951650330758839E-3</v>
      </c>
      <c r="L47" s="22">
        <f t="shared" si="29"/>
        <v>1.4546462092612474E-3</v>
      </c>
      <c r="M47" s="24">
        <f t="shared" si="30"/>
        <v>1.4546462092612472E-3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20.999999999999996</v>
      </c>
      <c r="AB47" s="156">
        <f>Poor!AB47</f>
        <v>0.25</v>
      </c>
      <c r="AC47" s="147">
        <f t="shared" si="39"/>
        <v>20.999999999999996</v>
      </c>
      <c r="AD47" s="156">
        <f>Poor!AD47</f>
        <v>0.25</v>
      </c>
      <c r="AE47" s="147">
        <f t="shared" si="40"/>
        <v>20.999999999999996</v>
      </c>
      <c r="AF47" s="122">
        <f t="shared" si="31"/>
        <v>0.25</v>
      </c>
      <c r="AG47" s="147">
        <f t="shared" si="34"/>
        <v>20.999999999999996</v>
      </c>
      <c r="AH47" s="123">
        <f t="shared" si="35"/>
        <v>1</v>
      </c>
      <c r="AI47" s="112">
        <f t="shared" si="35"/>
        <v>83.999999999999986</v>
      </c>
      <c r="AJ47" s="148">
        <f t="shared" si="36"/>
        <v>41.999999999999993</v>
      </c>
      <c r="AK47" s="147">
        <f t="shared" si="37"/>
        <v>41.999999999999993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139.99999999999997</v>
      </c>
      <c r="J48" s="38">
        <f t="shared" si="33"/>
        <v>139.99999999999997</v>
      </c>
      <c r="K48" s="40">
        <f t="shared" si="28"/>
        <v>8.6586083884598059E-3</v>
      </c>
      <c r="L48" s="22">
        <f t="shared" si="29"/>
        <v>2.4244103487687453E-3</v>
      </c>
      <c r="M48" s="24">
        <f t="shared" si="30"/>
        <v>2.4244103487687453E-3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34.999999999999993</v>
      </c>
      <c r="AB48" s="156">
        <f>Poor!AB48</f>
        <v>0.25</v>
      </c>
      <c r="AC48" s="147">
        <f t="shared" si="39"/>
        <v>34.999999999999993</v>
      </c>
      <c r="AD48" s="156">
        <f>Poor!AD48</f>
        <v>0.25</v>
      </c>
      <c r="AE48" s="147">
        <f t="shared" si="40"/>
        <v>34.999999999999993</v>
      </c>
      <c r="AF48" s="122">
        <f t="shared" si="31"/>
        <v>0.25</v>
      </c>
      <c r="AG48" s="147">
        <f t="shared" si="34"/>
        <v>34.999999999999993</v>
      </c>
      <c r="AH48" s="123">
        <f t="shared" si="35"/>
        <v>1</v>
      </c>
      <c r="AI48" s="112">
        <f t="shared" si="35"/>
        <v>139.99999999999997</v>
      </c>
      <c r="AJ48" s="148">
        <f t="shared" si="36"/>
        <v>69.999999999999986</v>
      </c>
      <c r="AK48" s="147">
        <f t="shared" si="37"/>
        <v>69.999999999999986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83.999999999999986</v>
      </c>
      <c r="J49" s="38">
        <f t="shared" si="33"/>
        <v>83.999999999999986</v>
      </c>
      <c r="K49" s="40">
        <f t="shared" si="28"/>
        <v>5.1951650330758839E-3</v>
      </c>
      <c r="L49" s="22">
        <f t="shared" si="29"/>
        <v>1.4546462092612474E-3</v>
      </c>
      <c r="M49" s="24">
        <f t="shared" si="30"/>
        <v>1.4546462092612472E-3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20.999999999999996</v>
      </c>
      <c r="AB49" s="156">
        <f>Poor!AB49</f>
        <v>0.25</v>
      </c>
      <c r="AC49" s="147">
        <f t="shared" si="39"/>
        <v>20.999999999999996</v>
      </c>
      <c r="AD49" s="156">
        <f>Poor!AD49</f>
        <v>0.25</v>
      </c>
      <c r="AE49" s="147">
        <f t="shared" si="40"/>
        <v>20.999999999999996</v>
      </c>
      <c r="AF49" s="122">
        <f t="shared" si="31"/>
        <v>0.25</v>
      </c>
      <c r="AG49" s="147">
        <f t="shared" si="34"/>
        <v>20.999999999999996</v>
      </c>
      <c r="AH49" s="123">
        <f t="shared" si="35"/>
        <v>1</v>
      </c>
      <c r="AI49" s="112">
        <f t="shared" si="35"/>
        <v>83.999999999999986</v>
      </c>
      <c r="AJ49" s="148">
        <f t="shared" si="36"/>
        <v>41.999999999999993</v>
      </c>
      <c r="AK49" s="147">
        <f t="shared" si="37"/>
        <v>41.999999999999993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0.4</v>
      </c>
      <c r="F51" s="75">
        <f>Middle!F51</f>
        <v>1.18</v>
      </c>
      <c r="G51" s="22">
        <f t="shared" si="32"/>
        <v>1.65</v>
      </c>
      <c r="H51" s="24">
        <f t="shared" si="26"/>
        <v>0.47199999999999998</v>
      </c>
      <c r="I51" s="39">
        <f t="shared" si="27"/>
        <v>5192</v>
      </c>
      <c r="J51" s="38">
        <f t="shared" si="33"/>
        <v>5191.9999999999991</v>
      </c>
      <c r="K51" s="40">
        <f t="shared" si="28"/>
        <v>0.19048938454611575</v>
      </c>
      <c r="L51" s="22">
        <f t="shared" si="29"/>
        <v>8.9910989505766634E-2</v>
      </c>
      <c r="M51" s="24">
        <f t="shared" si="30"/>
        <v>8.991098950576662E-2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1297.9999999999998</v>
      </c>
      <c r="AB51" s="156">
        <f>Poor!AB56</f>
        <v>0.25</v>
      </c>
      <c r="AC51" s="147">
        <f t="shared" si="39"/>
        <v>1297.9999999999998</v>
      </c>
      <c r="AD51" s="156">
        <f>Poor!AD56</f>
        <v>0.25</v>
      </c>
      <c r="AE51" s="147">
        <f t="shared" si="40"/>
        <v>1297.9999999999998</v>
      </c>
      <c r="AF51" s="122">
        <f t="shared" si="31"/>
        <v>0.25</v>
      </c>
      <c r="AG51" s="147">
        <f t="shared" si="34"/>
        <v>1297.9999999999998</v>
      </c>
      <c r="AH51" s="123">
        <f t="shared" si="35"/>
        <v>1</v>
      </c>
      <c r="AI51" s="112">
        <f t="shared" si="35"/>
        <v>5191.9999999999991</v>
      </c>
      <c r="AJ51" s="148">
        <f t="shared" si="36"/>
        <v>2595.9999999999995</v>
      </c>
      <c r="AK51" s="147">
        <f t="shared" si="37"/>
        <v>2595.9999999999995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0.4</v>
      </c>
      <c r="F52" s="75">
        <f>Middle!F52</f>
        <v>1.18</v>
      </c>
      <c r="G52" s="22">
        <f t="shared" si="32"/>
        <v>1.65</v>
      </c>
      <c r="H52" s="24">
        <f t="shared" si="26"/>
        <v>0.47199999999999998</v>
      </c>
      <c r="I52" s="39">
        <f t="shared" si="27"/>
        <v>11214.72</v>
      </c>
      <c r="J52" s="38">
        <f t="shared" si="33"/>
        <v>11214.720000000001</v>
      </c>
      <c r="K52" s="40">
        <f t="shared" si="28"/>
        <v>0.41145707061961001</v>
      </c>
      <c r="L52" s="22">
        <f t="shared" si="29"/>
        <v>0.19420773733245592</v>
      </c>
      <c r="M52" s="24">
        <f t="shared" si="30"/>
        <v>0.19420773733245594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2803.6800000000003</v>
      </c>
      <c r="AB52" s="156">
        <f>Poor!AB57</f>
        <v>0.25</v>
      </c>
      <c r="AC52" s="147">
        <f t="shared" si="39"/>
        <v>2803.6800000000003</v>
      </c>
      <c r="AD52" s="156">
        <f>Poor!AD57</f>
        <v>0.25</v>
      </c>
      <c r="AE52" s="147">
        <f t="shared" si="40"/>
        <v>2803.6800000000003</v>
      </c>
      <c r="AF52" s="122">
        <f t="shared" si="31"/>
        <v>0.25</v>
      </c>
      <c r="AG52" s="147">
        <f t="shared" si="34"/>
        <v>2803.6800000000003</v>
      </c>
      <c r="AH52" s="123">
        <f t="shared" si="35"/>
        <v>1</v>
      </c>
      <c r="AI52" s="112">
        <f t="shared" si="35"/>
        <v>11214.720000000001</v>
      </c>
      <c r="AJ52" s="148">
        <f t="shared" si="36"/>
        <v>5607.3600000000006</v>
      </c>
      <c r="AK52" s="147">
        <f t="shared" si="37"/>
        <v>5607.3600000000006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1.18</v>
      </c>
      <c r="G55" s="22">
        <f t="shared" si="32"/>
        <v>1.65</v>
      </c>
      <c r="H55" s="24">
        <f t="shared" si="41"/>
        <v>1.18</v>
      </c>
      <c r="I55" s="39">
        <f t="shared" si="42"/>
        <v>7271.16</v>
      </c>
      <c r="J55" s="38">
        <f t="shared" si="33"/>
        <v>7271.16</v>
      </c>
      <c r="K55" s="40">
        <f t="shared" si="43"/>
        <v>0.10670868977937865</v>
      </c>
      <c r="L55" s="22">
        <f t="shared" si="44"/>
        <v>0.12591625393966679</v>
      </c>
      <c r="M55" s="24">
        <f t="shared" si="45"/>
        <v>0.12591625393966682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33095.880000000005</v>
      </c>
      <c r="J65" s="39">
        <f>SUM(J37:J64)</f>
        <v>33095.880000000005</v>
      </c>
      <c r="K65" s="40">
        <f>SUM(K37:K64)</f>
        <v>1</v>
      </c>
      <c r="L65" s="22">
        <f>SUM(L37:L64)</f>
        <v>0.55813909188515221</v>
      </c>
      <c r="M65" s="24">
        <f>SUM(M37:M64)</f>
        <v>0.57312852838291828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6139.6509455702553</v>
      </c>
      <c r="AB65" s="137"/>
      <c r="AC65" s="153">
        <f>SUM(AC37:AC64)</f>
        <v>7833.6511908675666</v>
      </c>
      <c r="AD65" s="137"/>
      <c r="AE65" s="153">
        <f>SUM(AE37:AE64)</f>
        <v>7637.7378635621781</v>
      </c>
      <c r="AF65" s="137"/>
      <c r="AG65" s="153">
        <f>SUM(AG37:AG64)</f>
        <v>4213.68</v>
      </c>
      <c r="AH65" s="137"/>
      <c r="AI65" s="153">
        <f>SUM(AI37:AI64)</f>
        <v>25824.720000000001</v>
      </c>
      <c r="AJ65" s="153">
        <f>SUM(AJ37:AJ64)</f>
        <v>13973.302136437822</v>
      </c>
      <c r="AK65" s="153">
        <f>SUM(AK37:AK64)</f>
        <v>11851.417863562179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11708.751904353518</v>
      </c>
      <c r="J71" s="51">
        <f t="shared" ref="J71:J72" si="49">J125*I$83</f>
        <v>11708.751904353518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11708.751904353518</v>
      </c>
      <c r="J74" s="51">
        <f>J128*I$83</f>
        <v>6118.9963393489161</v>
      </c>
      <c r="K74" s="40">
        <f>B74/B$76</f>
        <v>9.9787015593890305E-2</v>
      </c>
      <c r="L74" s="22">
        <f>(L128*G$37*F$9/F$7)/B$130</f>
        <v>2.5477301950660568E-2</v>
      </c>
      <c r="M74" s="24">
        <f>J74/B$76</f>
        <v>0.10596398606568275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792.8689216586364</v>
      </c>
      <c r="AB74" s="156"/>
      <c r="AC74" s="147">
        <f>AC30*$I$83/4</f>
        <v>2486.869166955948</v>
      </c>
      <c r="AD74" s="156"/>
      <c r="AE74" s="147">
        <f>AE30*$I$83/4</f>
        <v>2290.9558396505581</v>
      </c>
      <c r="AF74" s="156"/>
      <c r="AG74" s="147">
        <f>AG30*$I$83/4</f>
        <v>-1133.1020239116187</v>
      </c>
      <c r="AH74" s="155"/>
      <c r="AI74" s="147">
        <f>SUM(AA74,AC74,AE74,AG74)</f>
        <v>4437.5919043535232</v>
      </c>
      <c r="AJ74" s="148">
        <f>(AA74+AC74)</f>
        <v>3279.7380886145843</v>
      </c>
      <c r="AK74" s="147">
        <f>(AE74+AG74)</f>
        <v>1157.8538157389394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33095.879999999997</v>
      </c>
      <c r="J76" s="51">
        <f>J130*I$83</f>
        <v>33095.879999999997</v>
      </c>
      <c r="K76" s="40">
        <f>SUM(K70:K75)</f>
        <v>0.56365499031627642</v>
      </c>
      <c r="L76" s="22">
        <f>SUM(L70:L75)</f>
        <v>0.39584283541871856</v>
      </c>
      <c r="M76" s="24">
        <f>SUM(M70:M75)</f>
        <v>0.47632951953374075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6139.6509455702553</v>
      </c>
      <c r="AB76" s="137"/>
      <c r="AC76" s="153">
        <f>AC65</f>
        <v>7833.6511908675666</v>
      </c>
      <c r="AD76" s="137"/>
      <c r="AE76" s="153">
        <f>AE65</f>
        <v>7637.7378635621781</v>
      </c>
      <c r="AF76" s="137"/>
      <c r="AG76" s="153">
        <f>AG65</f>
        <v>4213.68</v>
      </c>
      <c r="AH76" s="137"/>
      <c r="AI76" s="153">
        <f>SUM(AA76,AC76,AE76,AG76)</f>
        <v>25824.720000000001</v>
      </c>
      <c r="AJ76" s="154">
        <f>SUM(AA76,AC76)</f>
        <v>13973.302136437822</v>
      </c>
      <c r="AK76" s="154">
        <f>SUM(AE76,AG76)</f>
        <v>11851.417863562179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</v>
      </c>
      <c r="J77" s="100">
        <f>J131*I$83</f>
        <v>12966.924434995401</v>
      </c>
      <c r="K77" s="40"/>
      <c r="L77" s="22">
        <f>-(L131*G$37*F$9/F$7)/B$130</f>
        <v>-0.32135005021992868</v>
      </c>
      <c r="M77" s="24">
        <f>-J77/B$76</f>
        <v>-0.22455104137075124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37.682838898596152</v>
      </c>
      <c r="AF77" s="112"/>
      <c r="AG77" s="111">
        <f>AG31*$I$83/4</f>
        <v>3284.9647571266282</v>
      </c>
      <c r="AH77" s="110"/>
      <c r="AI77" s="154">
        <f>SUM(AA77,AC77,AE77,AG77)</f>
        <v>3322.6475960252242</v>
      </c>
      <c r="AJ77" s="153">
        <f>SUM(AA77,AC77)</f>
        <v>0</v>
      </c>
      <c r="AK77" s="160">
        <f>SUM(AE77,AG77)</f>
        <v>3322.6475960252242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792.86892165863628</v>
      </c>
      <c r="AB79" s="112"/>
      <c r="AC79" s="112">
        <f>AA79-AA74+AC65-AC70</f>
        <v>2486.8691669559475</v>
      </c>
      <c r="AD79" s="112"/>
      <c r="AE79" s="112">
        <f>AC79-AC74+AE65-AE70</f>
        <v>2290.9558396505581</v>
      </c>
      <c r="AF79" s="112"/>
      <c r="AG79" s="112">
        <f>AE79-AE74+AG65-AG70</f>
        <v>-1133.1020239116187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0.3575757575757576</v>
      </c>
      <c r="I91" s="22">
        <f t="shared" ref="I91" si="52">(D91*H91)</f>
        <v>0.3758064615205931</v>
      </c>
      <c r="J91" s="24">
        <f>IF(I$32&lt;=1+I$131,I91,L91+J$33*(I91-L91))</f>
        <v>0.3758064615205931</v>
      </c>
      <c r="K91" s="22">
        <f t="shared" ref="K91" si="53">(B91)</f>
        <v>0.84078733763929303</v>
      </c>
      <c r="L91" s="22">
        <f t="shared" ref="L91" si="54">(K91*H91)</f>
        <v>0.30064516921647449</v>
      </c>
      <c r="M91" s="227">
        <f t="shared" si="50"/>
        <v>0.3758064615205931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0.3575757575757576</v>
      </c>
      <c r="I92" s="22">
        <f t="shared" ref="I92:I118" si="59">(D92*H92)</f>
        <v>0.11274193845617793</v>
      </c>
      <c r="J92" s="24">
        <f t="shared" ref="J92:J118" si="60">IF(I$32&lt;=1+I$131,I92,L92+J$33*(I92-L92))</f>
        <v>0.11274193845617793</v>
      </c>
      <c r="K92" s="22">
        <f t="shared" ref="K92:K118" si="61">(B92)</f>
        <v>0.26274604301227905</v>
      </c>
      <c r="L92" s="22">
        <f t="shared" ref="L92:L118" si="62">(K92*H92)</f>
        <v>9.3951615380148276E-2</v>
      </c>
      <c r="M92" s="227">
        <f t="shared" ref="M92:M118" si="63">(J92)</f>
        <v>0.11274193845617793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6.883946326921711E-2</v>
      </c>
      <c r="L94" s="22">
        <f t="shared" si="62"/>
        <v>1.7522772468527993E-2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0.16969696969696968</v>
      </c>
      <c r="I95" s="22">
        <f t="shared" si="59"/>
        <v>4.1466102788119671E-2</v>
      </c>
      <c r="J95" s="24">
        <f t="shared" si="60"/>
        <v>4.1466102788119671E-2</v>
      </c>
      <c r="K95" s="22">
        <f t="shared" si="61"/>
        <v>0.13137302150613953</v>
      </c>
      <c r="L95" s="22">
        <f t="shared" si="62"/>
        <v>2.2293603649526705E-2</v>
      </c>
      <c r="M95" s="227">
        <f t="shared" si="63"/>
        <v>4.1466102788119671E-2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1.0404743303286251E-2</v>
      </c>
      <c r="L96" s="22">
        <f t="shared" si="62"/>
        <v>1.7656534090425152E-3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7.8823812903683718E-2</v>
      </c>
      <c r="L97" s="22">
        <f t="shared" si="62"/>
        <v>1.3376162189716023E-2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0.11981219561359925</v>
      </c>
      <c r="L98" s="22">
        <f t="shared" si="62"/>
        <v>2.0331766528368357E-2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2.9427556817375255E-2</v>
      </c>
      <c r="L99" s="22">
        <f t="shared" si="62"/>
        <v>4.9937672174939825E-3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0.16969696969696968</v>
      </c>
      <c r="I100" s="22">
        <f t="shared" si="59"/>
        <v>8.9174414598106825E-3</v>
      </c>
      <c r="J100" s="24">
        <f t="shared" si="60"/>
        <v>8.9174414598106825E-3</v>
      </c>
      <c r="K100" s="22">
        <f t="shared" si="61"/>
        <v>5.2549208602455814E-2</v>
      </c>
      <c r="L100" s="22">
        <f t="shared" si="62"/>
        <v>8.9174414598106825E-3</v>
      </c>
      <c r="M100" s="227">
        <f t="shared" si="63"/>
        <v>8.9174414598106825E-3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0.16969696969696968</v>
      </c>
      <c r="I101" s="22">
        <f t="shared" si="59"/>
        <v>5.3504648758864095E-3</v>
      </c>
      <c r="J101" s="24">
        <f t="shared" si="60"/>
        <v>5.3504648758864095E-3</v>
      </c>
      <c r="K101" s="22">
        <f t="shared" si="61"/>
        <v>3.152952516147349E-2</v>
      </c>
      <c r="L101" s="22">
        <f t="shared" si="62"/>
        <v>5.3504648758864095E-3</v>
      </c>
      <c r="M101" s="227">
        <f t="shared" si="63"/>
        <v>5.3504648758864095E-3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0.16969696969696968</v>
      </c>
      <c r="I102" s="22">
        <f t="shared" si="59"/>
        <v>8.9174414598106825E-3</v>
      </c>
      <c r="J102" s="24">
        <f t="shared" si="60"/>
        <v>8.9174414598106825E-3</v>
      </c>
      <c r="K102" s="22">
        <f t="shared" si="61"/>
        <v>5.2549208602455814E-2</v>
      </c>
      <c r="L102" s="22">
        <f t="shared" si="62"/>
        <v>8.9174414598106825E-3</v>
      </c>
      <c r="M102" s="227">
        <f t="shared" si="63"/>
        <v>8.9174414598106825E-3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0.16969696969696968</v>
      </c>
      <c r="I103" s="22">
        <f t="shared" si="59"/>
        <v>5.3504648758864095E-3</v>
      </c>
      <c r="J103" s="24">
        <f t="shared" si="60"/>
        <v>5.3504648758864095E-3</v>
      </c>
      <c r="K103" s="22">
        <f t="shared" si="61"/>
        <v>3.152952516147349E-2</v>
      </c>
      <c r="L103" s="22">
        <f t="shared" si="62"/>
        <v>5.3504648758864095E-3</v>
      </c>
      <c r="M103" s="227">
        <f t="shared" si="63"/>
        <v>5.3504648758864095E-3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0.28606060606060607</v>
      </c>
      <c r="I105" s="22">
        <f t="shared" si="59"/>
        <v>0.33070968613812191</v>
      </c>
      <c r="J105" s="24">
        <f t="shared" si="60"/>
        <v>0.33070968613812191</v>
      </c>
      <c r="K105" s="22">
        <f t="shared" si="61"/>
        <v>1.1560825892540278</v>
      </c>
      <c r="L105" s="22">
        <f t="shared" si="62"/>
        <v>0.33070968613812191</v>
      </c>
      <c r="M105" s="227">
        <f t="shared" si="63"/>
        <v>0.33070968613812191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0.28606060606060607</v>
      </c>
      <c r="I106" s="22">
        <f t="shared" si="59"/>
        <v>0.71433292205834342</v>
      </c>
      <c r="J106" s="24">
        <f t="shared" si="60"/>
        <v>0.71433292205834342</v>
      </c>
      <c r="K106" s="22">
        <f t="shared" si="61"/>
        <v>2.4971383927887003</v>
      </c>
      <c r="L106" s="22">
        <f t="shared" si="62"/>
        <v>0.71433292205834342</v>
      </c>
      <c r="M106" s="227">
        <f t="shared" si="63"/>
        <v>0.71433292205834342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0.7151515151515152</v>
      </c>
      <c r="I109" s="22">
        <f t="shared" si="59"/>
        <v>0.46314388317797894</v>
      </c>
      <c r="J109" s="24">
        <f t="shared" si="60"/>
        <v>0.46314388317797894</v>
      </c>
      <c r="K109" s="22">
        <f t="shared" si="61"/>
        <v>0.64761644681666541</v>
      </c>
      <c r="L109" s="22">
        <f t="shared" si="62"/>
        <v>0.46314388317797894</v>
      </c>
      <c r="M109" s="227">
        <f t="shared" si="63"/>
        <v>0.46314388317797894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2.1080755175779942</v>
      </c>
      <c r="J119" s="24">
        <f>SUM(J91:J118)</f>
        <v>2.1080755175779942</v>
      </c>
      <c r="K119" s="22">
        <f>SUM(K91:K118)</f>
        <v>6.0690131999148269</v>
      </c>
      <c r="L119" s="22">
        <f>SUM(L91:L118)</f>
        <v>2.0529415248724021</v>
      </c>
      <c r="M119" s="57">
        <f t="shared" si="50"/>
        <v>2.1080755175779942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0.74580078338942402</v>
      </c>
      <c r="J125" s="237">
        <f>IF(SUMPRODUCT($B$124:$B125,$H$124:$H125)&lt;J$119,($B125*$H125),IF(SUMPRODUCT($B$124:$B124,$H$124:$H124)&lt;J$119,J$119-SUMPRODUCT($B$124:$B124,$H$124:$H124),0))</f>
        <v>0.74580078338942402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0.69066679068383197</v>
      </c>
      <c r="M125" s="57">
        <f t="shared" ref="M125:M126" si="92">(J125)</f>
        <v>0.74580078338942402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0.74580078338942402</v>
      </c>
      <c r="J128" s="228">
        <f>(J30)</f>
        <v>0.3897556546352845</v>
      </c>
      <c r="K128" s="22">
        <f>(B128)</f>
        <v>0.60560871481942702</v>
      </c>
      <c r="L128" s="22">
        <f>IF(L124=L119,0,(L119-L124)/(B119-B124)*K128)</f>
        <v>9.3710352628348342E-2</v>
      </c>
      <c r="M128" s="57">
        <f t="shared" si="90"/>
        <v>0.3897556546352845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2.1080755175779942</v>
      </c>
      <c r="J130" s="228">
        <f>(J119)</f>
        <v>2.1080755175779942</v>
      </c>
      <c r="K130" s="22">
        <f>(B130)</f>
        <v>6.0690131999148269</v>
      </c>
      <c r="L130" s="22">
        <f>(L119)</f>
        <v>2.0529415248724021</v>
      </c>
      <c r="M130" s="57">
        <f t="shared" si="90"/>
        <v>2.1080755175779942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0.82594135402043012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1039.9379662728882</v>
      </c>
      <c r="G72" s="109">
        <f>Poor!T7</f>
        <v>1242.8631944117926</v>
      </c>
      <c r="H72" s="109">
        <f>Middle!T7</f>
        <v>1967.1972368731397</v>
      </c>
      <c r="I72" s="109">
        <f>Rich!T7</f>
        <v>2133.1650710014669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42</v>
      </c>
      <c r="H73" s="109">
        <f>Middle!T8</f>
        <v>997.49999999999989</v>
      </c>
      <c r="I73" s="109">
        <f>Rich!T8</f>
        <v>976.88888888888869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62.332475547898078</v>
      </c>
      <c r="G74" s="109">
        <f>Poor!T9</f>
        <v>96.333357977682553</v>
      </c>
      <c r="H74" s="109">
        <f>Middle!T9</f>
        <v>165.9933587333901</v>
      </c>
      <c r="I74" s="109">
        <f>Rich!T9</f>
        <v>432.34654047339143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295</v>
      </c>
      <c r="H76" s="109">
        <f>Middle!T11</f>
        <v>2655</v>
      </c>
      <c r="I76" s="109">
        <f>Rich!T11</f>
        <v>7394.666666666667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234.96658297928434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1143.7438218661641</v>
      </c>
      <c r="H78" s="109">
        <f>Middle!T13</f>
        <v>417.36000000000007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14583.751111111109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411.84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25983.600000000002</v>
      </c>
      <c r="G85" s="109">
        <f>Poor!T20</f>
        <v>25983.600000000002</v>
      </c>
      <c r="H85" s="109">
        <f>Middle!T20</f>
        <v>25983.600000000002</v>
      </c>
      <c r="I85" s="109">
        <f>Rich!T20</f>
        <v>6463.2533333333331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28747.200643043027</v>
      </c>
      <c r="G88" s="109">
        <f>Poor!T23</f>
        <v>30464.870575477878</v>
      </c>
      <c r="H88" s="109">
        <f>Middle!T23</f>
        <v>38905.517500074653</v>
      </c>
      <c r="I88" s="109">
        <f>Rich!T23</f>
        <v>34799.780635486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1083.9083791055382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17578.735045772206</v>
      </c>
      <c r="G99" s="239">
        <f t="shared" si="0"/>
        <v>15861.065113337354</v>
      </c>
      <c r="H99" s="239">
        <f t="shared" si="0"/>
        <v>7420.4181887405794</v>
      </c>
      <c r="I99" s="239">
        <f t="shared" si="0"/>
        <v>11526.155053329232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50316.655045772197</v>
      </c>
      <c r="G100" s="239">
        <f t="shared" si="0"/>
        <v>48598.985113337345</v>
      </c>
      <c r="H100" s="239">
        <f t="shared" si="0"/>
        <v>40158.33818874057</v>
      </c>
      <c r="I100" s="239">
        <f t="shared" si="0"/>
        <v>44264.075053329238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2016-06-02T07:01:39Z</dcterms:modified>
  <cp:category/>
</cp:coreProperties>
</file>