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<sst xmlns="http://schemas.openxmlformats.org/spreadsheetml/2006/main" count="790" uniqueCount="145">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</sst>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0.00355448230705284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0.026048694548083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0.0156292167288498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0.006107148351031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0.0047671778962214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0.153500893180598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0.123564869843923</c:v>
                </c:pt>
                <c:pt idx="2" formatCode="0.0%">
                  <c:v>0.566735948740719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115576"/>
        <c:axId val="-2062112280"/>
      </c:barChart>
      <c:catAx>
        <c:axId val="-206211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11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0.0394930354395136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0.00296197765796352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0.00755831669665392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0.00115322759724137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03448"/>
        <c:axId val="2094877400"/>
      </c:barChart>
      <c:catAx>
        <c:axId val="209500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7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7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0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0.00385278373446136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0.0107434525683176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0.290653177919507</c:v>
                </c:pt>
                <c:pt idx="2">
                  <c:v>0.290653177919507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42920"/>
        <c:axId val="-2056246056"/>
      </c:barChart>
      <c:catAx>
        <c:axId val="-20562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4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899992"/>
        <c:axId val="-2037896968"/>
      </c:barChart>
      <c:catAx>
        <c:axId val="-20378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89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1171.839585376672</c:v>
                </c:pt>
                <c:pt idx="6">
                  <c:v>1437.078396594501</c:v>
                </c:pt>
                <c:pt idx="7">
                  <c:v>2014.482943244184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62.06242871167509</c:v>
                </c:pt>
                <c:pt idx="6">
                  <c:v>1277.71174773247</c:v>
                </c:pt>
                <c:pt idx="7">
                  <c:v>3853.234475626105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6226.825824991256</c:v>
                </c:pt>
                <c:pt idx="7">
                  <c:v>6925.339750122896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7335.825569375693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95155.2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5480.724747719377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776984"/>
        <c:axId val="-2037773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776984"/>
        <c:axId val="-2037773608"/>
      </c:lineChart>
      <c:catAx>
        <c:axId val="-203777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658088"/>
        <c:axId val="-20376548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58088"/>
        <c:axId val="-2037654856"/>
      </c:lineChart>
      <c:catAx>
        <c:axId val="-20376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65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565384"/>
        <c:axId val="-20375621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565384"/>
        <c:axId val="-2037562104"/>
      </c:lineChart>
      <c:catAx>
        <c:axId val="-203756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56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0.106070323849281</c:v>
                </c:pt>
                <c:pt idx="2">
                  <c:v>0.0283492329906909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0.0236757840792445</c:v>
                </c:pt>
                <c:pt idx="2">
                  <c:v>0.10859007069954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-0.142617344690298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97656"/>
        <c:axId val="-2037494280"/>
      </c:barChart>
      <c:catAx>
        <c:axId val="-20374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9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0.193999414754994</c:v>
                </c:pt>
                <c:pt idx="2">
                  <c:v>0.173352280051127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35800"/>
        <c:axId val="-2037432392"/>
      </c:barChart>
      <c:catAx>
        <c:axId val="-20374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3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0.00617993661478554</c:v>
                </c:pt>
                <c:pt idx="2">
                  <c:v>0.0152849267233161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0.191420417558001</c:v>
                </c:pt>
                <c:pt idx="2">
                  <c:v>0.181934755900919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0.00617993661478554</c:v>
                </c:pt>
                <c:pt idx="2">
                  <c:v>0.0152849267233161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048040"/>
        <c:axId val="-2038051560"/>
      </c:barChart>
      <c:catAx>
        <c:axId val="-20380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5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5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4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0.110403682262701</c:v>
                </c:pt>
                <c:pt idx="2">
                  <c:v>0.124246351747829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0.0523107931414721</c:v>
                </c:pt>
                <c:pt idx="2">
                  <c:v>0.124246351747829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-0.520425788917409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753976"/>
        <c:axId val="-2056750632"/>
      </c:barChart>
      <c:catAx>
        <c:axId val="-20567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75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0.123856839312111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0.0114288321157268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0.0126257964682241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0.00985556832516558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0.261257586688962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0.277850218143398</c:v>
                </c:pt>
                <c:pt idx="2" formatCode="0.0%">
                  <c:v>0.57107669738869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669032"/>
        <c:axId val="-2061551576"/>
      </c:barChart>
      <c:catAx>
        <c:axId val="-20616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5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6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22552"/>
        <c:axId val="-20627314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22552"/>
        <c:axId val="-20627314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22552"/>
        <c:axId val="-2062731416"/>
      </c:scatterChart>
      <c:catAx>
        <c:axId val="-2062722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31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731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22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122200"/>
        <c:axId val="-2038125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22200"/>
        <c:axId val="-2038125592"/>
      </c:lineChart>
      <c:catAx>
        <c:axId val="-2038122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5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125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2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16792"/>
        <c:axId val="-2038320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23752"/>
        <c:axId val="-2038326648"/>
      </c:scatterChart>
      <c:valAx>
        <c:axId val="-20383167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0136"/>
        <c:crosses val="autoZero"/>
        <c:crossBetween val="midCat"/>
      </c:valAx>
      <c:valAx>
        <c:axId val="-203832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16792"/>
        <c:crosses val="autoZero"/>
        <c:crossBetween val="midCat"/>
      </c:valAx>
      <c:valAx>
        <c:axId val="-2038323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326648"/>
        <c:crosses val="autoZero"/>
        <c:crossBetween val="midCat"/>
      </c:valAx>
      <c:valAx>
        <c:axId val="-2038326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3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07096"/>
        <c:axId val="-20384128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07096"/>
        <c:axId val="-2038412856"/>
      </c:lineChart>
      <c:catAx>
        <c:axId val="-203840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12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41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07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0.180804536981948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0.0128187967037017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0.0200124446925301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0.292210016099505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0.190463961039722</c:v>
                </c:pt>
                <c:pt idx="2">
                  <c:v>0.471077273019202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37720"/>
        <c:axId val="-2062534440"/>
      </c:barChart>
      <c:catAx>
        <c:axId val="-20625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0.130460005330514</c:v>
                </c:pt>
                <c:pt idx="2" formatCode="0.0%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942584"/>
        <c:axId val="-2061804216"/>
      </c:barChart>
      <c:catAx>
        <c:axId val="-20619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0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0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94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0.0142179292282114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0.104194778192332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0.0625168669153992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0.0095343557924428</c:v>
                </c:pt>
                <c:pt idx="3">
                  <c:v>0.0095343557924428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0.153500893180598</c:v>
                </c:pt>
                <c:pt idx="1">
                  <c:v>0.153500893180598</c:v>
                </c:pt>
                <c:pt idx="2">
                  <c:v>0.153500893180598</c:v>
                </c:pt>
                <c:pt idx="3">
                  <c:v>0.153500893180598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0.178571406598639</c:v>
                </c:pt>
                <c:pt idx="1">
                  <c:v>0.125623118494057</c:v>
                </c:pt>
                <c:pt idx="2">
                  <c:v>-0.254539335690699</c:v>
                </c:pt>
                <c:pt idx="3">
                  <c:v>-0.260381854344238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69336"/>
        <c:axId val="-2055566024"/>
      </c:barChart>
      <c:catAx>
        <c:axId val="-2055569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5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0.309863007954815</c:v>
                </c:pt>
                <c:pt idx="1">
                  <c:v>0.309863007954815</c:v>
                </c:pt>
                <c:pt idx="2">
                  <c:v>0.309863007954815</c:v>
                </c:pt>
                <c:pt idx="3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62520"/>
        <c:axId val="-2055459128"/>
      </c:barChart>
      <c:catAx>
        <c:axId val="-2055462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5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45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6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0.495427357248443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0.0457153284629073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0.0197111366503312</c:v>
                </c:pt>
                <c:pt idx="3">
                  <c:v>0.0197111366503312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0.261257586688962</c:v>
                </c:pt>
                <c:pt idx="1">
                  <c:v>0.261257586688962</c:v>
                </c:pt>
                <c:pt idx="2">
                  <c:v>0.261257586688962</c:v>
                </c:pt>
                <c:pt idx="3">
                  <c:v>0.261257586688962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0.1795280670418</c:v>
                </c:pt>
                <c:pt idx="1">
                  <c:v>0.72067075275315</c:v>
                </c:pt>
                <c:pt idx="2">
                  <c:v>0.695834096959606</c:v>
                </c:pt>
                <c:pt idx="3">
                  <c:v>0.688273872800203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52168"/>
        <c:axId val="-2055348792"/>
      </c:barChart>
      <c:catAx>
        <c:axId val="-2055352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4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34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0.65739229469727</c:v>
                </c:pt>
                <c:pt idx="1">
                  <c:v>0.0658258532305201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0.0321330284098592</c:v>
                </c:pt>
                <c:pt idx="1">
                  <c:v>0.00321753696996642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0.0400248893850603</c:v>
                </c:pt>
                <c:pt idx="3">
                  <c:v>0.0400248893850603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0.292210016099505</c:v>
                </c:pt>
                <c:pt idx="1">
                  <c:v>0.292210016099505</c:v>
                </c:pt>
                <c:pt idx="2">
                  <c:v>0.292210016099505</c:v>
                </c:pt>
                <c:pt idx="3">
                  <c:v>0.292210016099505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0.620481932906643</c:v>
                </c:pt>
                <c:pt idx="2">
                  <c:v>0.644374914578856</c:v>
                </c:pt>
                <c:pt idx="3">
                  <c:v>0.61945224459131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6296"/>
        <c:axId val="-2055242920"/>
      </c:barChart>
      <c:catAx>
        <c:axId val="-205524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2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24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0.00111946227349949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0.0988595630862359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17928"/>
        <c:axId val="-2056021064"/>
      </c:barChart>
      <c:catAx>
        <c:axId val="-20560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2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2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1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27605.059985076969</v>
      </c>
      <c r="T23" s="179">
        <f>SUM(T7:T22)</f>
        <v>27971.779985076966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0.30986300795481503</v>
      </c>
      <c r="J30" s="230">
        <f>IF(I$32&lt;=1,I30,1-SUM(J6:J29))</f>
        <v>0.30986300795481503</v>
      </c>
      <c r="K30" s="22">
        <f t="shared" si="4"/>
        <v>0.75497962640099636</v>
      </c>
      <c r="L30" s="22">
        <f>IF(L124=L119,0,IF(K30="",0,(L119-L124)/(B119-B124)*K30))</f>
        <v>0.13046000533051391</v>
      </c>
      <c r="M30" s="175">
        <f t="shared" si="6"/>
        <v>0.30986300795481503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3358.5579376132337</v>
      </c>
      <c r="T30" s="233">
        <f t="shared" si="24"/>
        <v>2991.8379376132361</v>
      </c>
      <c r="V30" s="56"/>
      <c r="W30" s="110"/>
      <c r="X30" s="118"/>
      <c r="Y30" s="183">
        <f>M30*4</f>
        <v>1.2394520318192601</v>
      </c>
      <c r="Z30" s="122">
        <f>IF($Y30=0,0,AA30/($Y$30))</f>
        <v>0.24999999999999978</v>
      </c>
      <c r="AA30" s="187">
        <f>IF(AA79*4/$I$83+SUM(AA6:AA29)&lt;1,AA79*4/$I$83,1-SUM(AA6:AA29))</f>
        <v>0.30986300795481475</v>
      </c>
      <c r="AB30" s="122">
        <f>IF($Y30=0,0,AC30/($Y$30))</f>
        <v>0.24999999999999978</v>
      </c>
      <c r="AC30" s="187">
        <f>IF(AC79*4/$I$83+SUM(AC6:AC29)&lt;1,AC79*4/$I$83,1-SUM(AC6:AC29))</f>
        <v>0.30986300795481475</v>
      </c>
      <c r="AD30" s="122">
        <f>IF($Y30=0,0,AE30/($Y$30))</f>
        <v>0.24999999999999978</v>
      </c>
      <c r="AE30" s="187">
        <f>IF(AE79*4/$I$83+SUM(AE6:AE29)&lt;1,AE79*4/$I$83,1-SUM(AE6:AE29))</f>
        <v>0.30986300795481475</v>
      </c>
      <c r="AF30" s="122">
        <f>IF($Y30=0,0,AG30/($Y$30))</f>
        <v>0.24999999999999978</v>
      </c>
      <c r="AG30" s="187">
        <f>IF(AG79*4/$I$83+SUM(AG6:AG29)&lt;1,AG79*4/$I$83,1-SUM(AG6:AG29))</f>
        <v>0.30986300795481475</v>
      </c>
      <c r="AH30" s="123">
        <f t="shared" si="12"/>
        <v>0.99999999999999911</v>
      </c>
      <c r="AI30" s="183">
        <f t="shared" si="13"/>
        <v>0.30986300795481475</v>
      </c>
      <c r="AJ30" s="120">
        <f t="shared" si="14"/>
        <v>0.30986300795481475</v>
      </c>
      <c r="AK30" s="119">
        <f t="shared" si="15"/>
        <v>0.30986300795481475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0.28164977300642768</v>
      </c>
      <c r="K31" s="22" t="str">
        <f t="shared" si="4"/>
        <v/>
      </c>
      <c r="L31" s="22">
        <f>(1-SUM(L6:L30))</f>
        <v>0.6451250364967609</v>
      </c>
      <c r="M31" s="240">
        <f t="shared" si="6"/>
        <v>0.28164977300642768</v>
      </c>
      <c r="N31" s="167">
        <f>M31*I83</f>
        <v>2991.8379376132284</v>
      </c>
      <c r="P31" s="22"/>
      <c r="Q31" s="237" t="s">
        <v>142</v>
      </c>
      <c r="R31" s="233">
        <f t="shared" si="24"/>
        <v>3107.5149048317398</v>
      </c>
      <c r="S31" s="233">
        <f t="shared" si="24"/>
        <v>17145.677937613229</v>
      </c>
      <c r="T31" s="233">
        <f>IF(T25&gt;T$23,T25-T$23,0)</f>
        <v>16778.957937613231</v>
      </c>
      <c r="V31" s="56"/>
      <c r="W31" s="129" t="s">
        <v>84</v>
      </c>
      <c r="X31" s="130"/>
      <c r="Y31" s="121">
        <f>M31*4</f>
        <v>1.1265990920257107</v>
      </c>
      <c r="Z31" s="131"/>
      <c r="AA31" s="132">
        <f>1-AA32+IF($Y32&lt;0,$Y32/4,0)</f>
        <v>0.18503532219696339</v>
      </c>
      <c r="AB31" s="131"/>
      <c r="AC31" s="133">
        <f>1-AC32+IF($Y32&lt;0,$Y32/4,0)</f>
        <v>0.33644836329285388</v>
      </c>
      <c r="AD31" s="134"/>
      <c r="AE31" s="133">
        <f>1-AE32+IF($Y32&lt;0,$Y32/4,0)</f>
        <v>0.30500825868513282</v>
      </c>
      <c r="AF31" s="134"/>
      <c r="AG31" s="133">
        <f>1-AG32+IF($Y32&lt;0,$Y32/4,0)</f>
        <v>0.32096293863531966</v>
      </c>
      <c r="AH31" s="123"/>
      <c r="AI31" s="182">
        <f>SUM(AA31,AC31,AE31,AG31)/4</f>
        <v>0.28686372070256744</v>
      </c>
      <c r="AJ31" s="135">
        <f t="shared" si="14"/>
        <v>0.26074184274490864</v>
      </c>
      <c r="AK31" s="136">
        <f t="shared" si="15"/>
        <v>0.31298559866022624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0.71835022699357232</v>
      </c>
      <c r="J32" s="17"/>
      <c r="L32" s="22">
        <f>SUM(L6:L30)</f>
        <v>0.35487496350323916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41699.117937613235</v>
      </c>
      <c r="T32" s="233">
        <f t="shared" si="24"/>
        <v>41332.397937613234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0.81496467780303661</v>
      </c>
      <c r="AB32" s="137"/>
      <c r="AC32" s="139">
        <f>SUM(AC6:AC30)</f>
        <v>0.66355163670714612</v>
      </c>
      <c r="AD32" s="137"/>
      <c r="AE32" s="139">
        <f>SUM(AE6:AE30)</f>
        <v>0.69499174131486718</v>
      </c>
      <c r="AF32" s="137"/>
      <c r="AG32" s="139">
        <f>SUM(AG6:AG30)</f>
        <v>0.67903706136468034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2.0545203531470673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26018.82</v>
      </c>
      <c r="J65" s="39">
        <f>SUM(J37:J64)</f>
        <v>26018.82</v>
      </c>
      <c r="K65" s="40">
        <f>SUM(K37:K64)</f>
        <v>1</v>
      </c>
      <c r="L65" s="22">
        <f>SUM(L37:L64)</f>
        <v>0.96829608938547485</v>
      </c>
      <c r="M65" s="24">
        <f>SUM(M37:M64)</f>
        <v>0.98213875887060242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6504.7049999999999</v>
      </c>
      <c r="AB65" s="137"/>
      <c r="AC65" s="153">
        <f>SUM(AC37:AC64)</f>
        <v>6504.7049999999999</v>
      </c>
      <c r="AD65" s="137"/>
      <c r="AE65" s="153">
        <f>SUM(AE37:AE64)</f>
        <v>6504.7049999999999</v>
      </c>
      <c r="AF65" s="137"/>
      <c r="AG65" s="153">
        <f>SUM(AG37:AG64)</f>
        <v>6504.7049999999999</v>
      </c>
      <c r="AH65" s="137"/>
      <c r="AI65" s="153">
        <f>SUM(AI37:AI64)</f>
        <v>26018.82</v>
      </c>
      <c r="AJ65" s="153">
        <f>SUM(AJ37:AJ64)</f>
        <v>13009.41</v>
      </c>
      <c r="AK65" s="153">
        <f>SUM(AK37:AK64)</f>
        <v>13009.41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3291.5343505034825</v>
      </c>
      <c r="J71" s="51">
        <f t="shared" si="44"/>
        <v>3291.5343505034825</v>
      </c>
      <c r="K71" s="40">
        <f t="shared" ref="K71:K72" si="47">B71/B$76</f>
        <v>0.44103880416729579</v>
      </c>
      <c r="L71" s="22">
        <f t="shared" si="45"/>
        <v>0.11040368226270111</v>
      </c>
      <c r="M71" s="24">
        <f t="shared" ref="M71:M72" si="48">J71/B$76</f>
        <v>0.12424635174782887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3291.5343505034825</v>
      </c>
      <c r="J74" s="51">
        <f t="shared" si="44"/>
        <v>3291.5343505034825</v>
      </c>
      <c r="K74" s="40">
        <f>B74/B$76</f>
        <v>0.18347005908698555</v>
      </c>
      <c r="L74" s="22">
        <f t="shared" si="45"/>
        <v>5.2310793141472134E-2</v>
      </c>
      <c r="M74" s="24">
        <f>J74/B$76</f>
        <v>0.12424635174782887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822.88358762586984</v>
      </c>
      <c r="AB74" s="156"/>
      <c r="AC74" s="147">
        <f>AC30*$I$83/4</f>
        <v>822.88358762586984</v>
      </c>
      <c r="AD74" s="156"/>
      <c r="AE74" s="147">
        <f>AE30*$I$83/4</f>
        <v>822.88358762586984</v>
      </c>
      <c r="AF74" s="156"/>
      <c r="AG74" s="147">
        <f>AG30*$I$83/4</f>
        <v>822.88358762586984</v>
      </c>
      <c r="AH74" s="155"/>
      <c r="AI74" s="147">
        <f>SUM(AA74,AC74,AE74,AG74)</f>
        <v>3291.5343505034793</v>
      </c>
      <c r="AJ74" s="148">
        <f>(AA74+AC74)</f>
        <v>1645.7671752517397</v>
      </c>
      <c r="AK74" s="147">
        <f>(AE74+AG74)</f>
        <v>1645.7671752517397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26018.82</v>
      </c>
      <c r="J76" s="51">
        <f t="shared" si="44"/>
        <v>26018.82</v>
      </c>
      <c r="K76" s="40">
        <f>SUM(K70:K75)</f>
        <v>2.0572725452687042</v>
      </c>
      <c r="L76" s="22">
        <f>SUM(L70:L75)</f>
        <v>1.020606882526947</v>
      </c>
      <c r="M76" s="24">
        <f>SUM(M70:M75)</f>
        <v>1.1063851106184315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6504.7049999999999</v>
      </c>
      <c r="AB76" s="137"/>
      <c r="AC76" s="153">
        <f>AC65</f>
        <v>6504.7049999999999</v>
      </c>
      <c r="AD76" s="137"/>
      <c r="AE76" s="153">
        <f>AE65</f>
        <v>6504.7049999999999</v>
      </c>
      <c r="AF76" s="137"/>
      <c r="AG76" s="153">
        <f>AG65</f>
        <v>6504.7049999999999</v>
      </c>
      <c r="AH76" s="137"/>
      <c r="AI76" s="153">
        <f>SUM(AA76,AC76,AE76,AG76)</f>
        <v>26018.82</v>
      </c>
      <c r="AJ76" s="154">
        <f>SUM(AA76,AC76)</f>
        <v>13009.41</v>
      </c>
      <c r="AK76" s="154">
        <f>SUM(AE76,AG76)</f>
        <v>13009.41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13787.119999999999</v>
      </c>
      <c r="K77" s="40"/>
      <c r="L77" s="22">
        <f>-(L131*G$37*F$9/F$7)/B$130</f>
        <v>-0.52042578891740909</v>
      </c>
      <c r="M77" s="24">
        <f>-J77/B$76</f>
        <v>-0.52042578891740898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491.38659942638077</v>
      </c>
      <c r="AB77" s="112"/>
      <c r="AC77" s="111">
        <f>AC31*$I$83/4</f>
        <v>893.4846339503938</v>
      </c>
      <c r="AD77" s="112"/>
      <c r="AE77" s="111">
        <f>AE31*$I$83/4</f>
        <v>809.99113711224652</v>
      </c>
      <c r="AF77" s="112"/>
      <c r="AG77" s="111">
        <f>AG31*$I$83/4</f>
        <v>852.36097132861983</v>
      </c>
      <c r="AH77" s="110"/>
      <c r="AI77" s="154">
        <f>SUM(AA77,AC77,AE77,AG77)</f>
        <v>3047.2233418176411</v>
      </c>
      <c r="AJ77" s="153">
        <f>SUM(AA77,AC77)</f>
        <v>1384.8712333767746</v>
      </c>
      <c r="AK77" s="160">
        <f>SUM(AE77,AG77)</f>
        <v>1662.3521084408662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822.88358762586995</v>
      </c>
      <c r="AB79" s="112"/>
      <c r="AC79" s="112">
        <f>AA79-AA74+AC65-AC70</f>
        <v>822.88358762586995</v>
      </c>
      <c r="AD79" s="112"/>
      <c r="AE79" s="112">
        <f>AC79-AC74+AE65-AE70</f>
        <v>822.88358762586995</v>
      </c>
      <c r="AF79" s="112"/>
      <c r="AG79" s="112">
        <f>AE79-AE74+AG65-AG70</f>
        <v>822.88358762586995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2.4493956222579518</v>
      </c>
      <c r="J119" s="24">
        <f>SUM(J91:J118)</f>
        <v>2.4493956222579518</v>
      </c>
      <c r="K119" s="22">
        <f>SUM(K91:K118)</f>
        <v>4.1150018164165445</v>
      </c>
      <c r="L119" s="22">
        <f>SUM(L91:L118)</f>
        <v>2.4148728282728884</v>
      </c>
      <c r="M119" s="57">
        <f t="shared" si="49"/>
        <v>2.4493956222579518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0.30986300795481503</v>
      </c>
      <c r="J125" s="236">
        <f>IF(SUMPRODUCT($B$124:$B125,$H$124:$H125)&lt;J$119,($B125*$H125),IF(SUMPRODUCT($B$124:$B124,$H$124:$H124)&lt;J$119,J$119-SUMPRODUCT($B$124:$B124,$H$124:$H124),0))</f>
        <v>0.30986300795481503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0.27534021396975161</v>
      </c>
      <c r="M125" s="239">
        <f t="shared" si="66"/>
        <v>0.30986300795481503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0.30986300795481503</v>
      </c>
      <c r="J128" s="227">
        <f>(J30)</f>
        <v>0.30986300795481503</v>
      </c>
      <c r="K128" s="29">
        <f>(B128)</f>
        <v>0.75497962640099636</v>
      </c>
      <c r="L128" s="29">
        <f>IF(L124=L119,0,(L119-L124)/(B119-B124)*K128)</f>
        <v>0.13046000533051391</v>
      </c>
      <c r="M128" s="239">
        <f t="shared" si="66"/>
        <v>0.30986300795481503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2.4493956222579518</v>
      </c>
      <c r="J130" s="227">
        <f>(J119)</f>
        <v>2.4493956222579518</v>
      </c>
      <c r="K130" s="29">
        <f>(B130)</f>
        <v>4.1150018164165445</v>
      </c>
      <c r="L130" s="29">
        <f>(L119)</f>
        <v>2.4148728282728884</v>
      </c>
      <c r="M130" s="239">
        <f t="shared" si="66"/>
        <v>2.4493956222579518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1171.8395853766719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62.062428711675089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3.5544823070528448E-3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3.5544823070528448E-3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1.4217929228211379E-2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1.4217929228211379E-2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3.5544823070528448E-3</v>
      </c>
      <c r="AJ10" s="120">
        <f t="shared" si="14"/>
        <v>7.1089646141056896E-3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2.6048694548083017E-2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2.6048694548083017E-2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7335.8255693756937</v>
      </c>
      <c r="U13" s="222">
        <v>7</v>
      </c>
      <c r="V13" s="56"/>
      <c r="W13" s="110"/>
      <c r="X13" s="118"/>
      <c r="Y13" s="183">
        <f t="shared" si="9"/>
        <v>0.10419477819233207</v>
      </c>
      <c r="Z13" s="116">
        <v>1</v>
      </c>
      <c r="AA13" s="121">
        <f>$M13*Z13*4</f>
        <v>0.10419477819233207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2.6048694548083017E-2</v>
      </c>
      <c r="AJ13" s="120">
        <f t="shared" si="14"/>
        <v>5.2097389096166034E-2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1.5629216728849808E-2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1.5629216728849808E-2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6.2516866915399233E-2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6.2516866915399233E-2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1.5629216728849808E-2</v>
      </c>
      <c r="AJ14" s="120">
        <f t="shared" si="14"/>
        <v>3.1258433457699616E-2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5480.7247477193769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46738.400391662813</v>
      </c>
      <c r="T23" s="179">
        <f>SUM(T7:T22)</f>
        <v>46913.536417268755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6.1071483510310061E-3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6.1071483510310061E-3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2.4428593404124024E-2</v>
      </c>
      <c r="Z27" s="116">
        <v>0.25</v>
      </c>
      <c r="AA27" s="121">
        <f t="shared" si="16"/>
        <v>6.1071483510310061E-3</v>
      </c>
      <c r="AB27" s="116">
        <v>0.25</v>
      </c>
      <c r="AC27" s="121">
        <f t="shared" si="7"/>
        <v>6.1071483510310061E-3</v>
      </c>
      <c r="AD27" s="116">
        <v>0.25</v>
      </c>
      <c r="AE27" s="121">
        <f t="shared" si="8"/>
        <v>6.1071483510310061E-3</v>
      </c>
      <c r="AF27" s="122">
        <f t="shared" si="10"/>
        <v>0.25</v>
      </c>
      <c r="AG27" s="121">
        <f t="shared" si="11"/>
        <v>6.1071483510310061E-3</v>
      </c>
      <c r="AH27" s="123">
        <f t="shared" si="12"/>
        <v>1</v>
      </c>
      <c r="AI27" s="183">
        <f t="shared" si="13"/>
        <v>6.1071483510310061E-3</v>
      </c>
      <c r="AJ27" s="120">
        <f t="shared" si="14"/>
        <v>6.1071483510310061E-3</v>
      </c>
      <c r="AK27" s="119">
        <f t="shared" si="15"/>
        <v>6.1071483510310061E-3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4.7671778962214018E-3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4.7671778962214018E-3</v>
      </c>
      <c r="N28" s="228"/>
      <c r="O28" s="2"/>
      <c r="P28" s="22"/>
      <c r="V28" s="56"/>
      <c r="W28" s="110"/>
      <c r="X28" s="118"/>
      <c r="Y28" s="183">
        <f t="shared" si="9"/>
        <v>1.9068711584885607E-2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9.5343557924428037E-3</v>
      </c>
      <c r="AF28" s="122">
        <f t="shared" si="10"/>
        <v>0.5</v>
      </c>
      <c r="AG28" s="121">
        <f t="shared" si="11"/>
        <v>9.5343557924428037E-3</v>
      </c>
      <c r="AH28" s="123">
        <f t="shared" si="12"/>
        <v>1</v>
      </c>
      <c r="AI28" s="183">
        <f t="shared" si="13"/>
        <v>4.7671778962214018E-3</v>
      </c>
      <c r="AJ28" s="120">
        <f t="shared" si="14"/>
        <v>0</v>
      </c>
      <c r="AK28" s="119">
        <f t="shared" si="15"/>
        <v>9.5343557924428037E-3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0.15350089318059792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0.15350089318059792</v>
      </c>
      <c r="N29" s="228"/>
      <c r="P29" s="22"/>
      <c r="V29" s="56"/>
      <c r="W29" s="110"/>
      <c r="X29" s="118"/>
      <c r="Y29" s="183">
        <f t="shared" si="9"/>
        <v>0.6140035727223917</v>
      </c>
      <c r="Z29" s="116">
        <v>0.25</v>
      </c>
      <c r="AA29" s="121">
        <f t="shared" si="16"/>
        <v>0.15350089318059792</v>
      </c>
      <c r="AB29" s="116">
        <v>0.25</v>
      </c>
      <c r="AC29" s="121">
        <f t="shared" si="7"/>
        <v>0.15350089318059792</v>
      </c>
      <c r="AD29" s="116">
        <v>0.25</v>
      </c>
      <c r="AE29" s="121">
        <f t="shared" si="8"/>
        <v>0.15350089318059792</v>
      </c>
      <c r="AF29" s="122">
        <f t="shared" si="10"/>
        <v>0.25</v>
      </c>
      <c r="AG29" s="121">
        <f t="shared" si="11"/>
        <v>0.15350089318059792</v>
      </c>
      <c r="AH29" s="123">
        <f t="shared" si="12"/>
        <v>1</v>
      </c>
      <c r="AI29" s="183">
        <f t="shared" si="13"/>
        <v>0.15350089318059792</v>
      </c>
      <c r="AJ29" s="120">
        <f t="shared" si="14"/>
        <v>0.15350089318059792</v>
      </c>
      <c r="AK29" s="119">
        <f t="shared" si="15"/>
        <v>0.15350089318059792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2.0592593707115627</v>
      </c>
      <c r="J30" s="230">
        <f>IF(I$32&lt;=1,I30,1-SUM(J6:J29))</f>
        <v>0.56673594874071898</v>
      </c>
      <c r="K30" s="22">
        <f t="shared" si="4"/>
        <v>0.38133509962640105</v>
      </c>
      <c r="L30" s="22">
        <f>IF(L124=L119,0,IF(K30="",0,(L119-L124)/(B119-B124)*K30))</f>
        <v>0.1235648698439232</v>
      </c>
      <c r="M30" s="175">
        <f t="shared" si="6"/>
        <v>0.56673594874071898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2.2669437949628759</v>
      </c>
      <c r="Z30" s="122">
        <f>IF($Y30=0,0,AA30/($Y$30))</f>
        <v>7.8771872066445994E-2</v>
      </c>
      <c r="AA30" s="187">
        <f>IF(AA79*4/$I$83+SUM(AA6:AA29)&lt;1,AA79*4/$I$83,1-SUM(AA6:AA29))</f>
        <v>0.17857140659863924</v>
      </c>
      <c r="AB30" s="122">
        <f>IF($Y30=0,0,AC30/($Y$30))</f>
        <v>5.5415188842877237E-2</v>
      </c>
      <c r="AC30" s="187">
        <f>IF(AC79*4/$I$83+SUM(AC6:AC29)&lt;1,AC79*4/$I$83,1-SUM(AC6:AC29))</f>
        <v>0.12562311849405655</v>
      </c>
      <c r="AD30" s="122">
        <f>IF($Y30=0,0,AE30/($Y$30))</f>
        <v>-0.11228303774283377</v>
      </c>
      <c r="AE30" s="187">
        <f>IF(AE79*4/$I$83+SUM(AE6:AE29)&lt;1,AE79*4/$I$83,1-SUM(AE6:AE29))</f>
        <v>-0.25453933569069942</v>
      </c>
      <c r="AF30" s="122">
        <f>IF($Y30=0,0,AG30/($Y$30))</f>
        <v>-0.11486030439872567</v>
      </c>
      <c r="AG30" s="187">
        <f>IF(AG79*4/$I$83+SUM(AG6:AG29)&lt;1,AG79*4/$I$83,1-SUM(AG6:AG29))</f>
        <v>-0.26038185434423827</v>
      </c>
      <c r="AH30" s="123">
        <f t="shared" si="12"/>
        <v>-9.2956281232236218E-2</v>
      </c>
      <c r="AI30" s="183">
        <f t="shared" si="13"/>
        <v>-5.2681666235560476E-2</v>
      </c>
      <c r="AJ30" s="120">
        <f t="shared" si="14"/>
        <v>0.15209726254634789</v>
      </c>
      <c r="AK30" s="119">
        <f t="shared" si="15"/>
        <v>-0.25746059501746887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0.47060522366454705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0.53589121453749755</v>
      </c>
      <c r="AD31" s="134"/>
      <c r="AE31" s="133">
        <f>1-AE32+IF($Y32&lt;0,$Y32/4,0)</f>
        <v>0.96796836335704062</v>
      </c>
      <c r="AF31" s="134"/>
      <c r="AG31" s="133">
        <f>1-AG32+IF($Y32&lt;0,$Y32/4,0)</f>
        <v>0.97381088201057953</v>
      </c>
      <c r="AH31" s="123"/>
      <c r="AI31" s="182">
        <f>SUM(AA31,AC31,AE31,AG31)/4</f>
        <v>0.61941761497627945</v>
      </c>
      <c r="AJ31" s="135">
        <f t="shared" si="14"/>
        <v>0.26794560726874878</v>
      </c>
      <c r="AK31" s="136">
        <f t="shared" si="15"/>
        <v>0.97088962268381007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2.526618585391665</v>
      </c>
      <c r="J32" s="17"/>
      <c r="L32" s="22">
        <f>SUM(L6:L30)</f>
        <v>0.52939477633545295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22516.777531027386</v>
      </c>
      <c r="T32" s="233">
        <f t="shared" si="50"/>
        <v>22341.641505421445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0.46410878546250245</v>
      </c>
      <c r="AD32" s="137"/>
      <c r="AE32" s="139">
        <f>SUM(AE6:AE30)</f>
        <v>3.2031636642959382E-2</v>
      </c>
      <c r="AF32" s="137"/>
      <c r="AG32" s="139">
        <f>SUM(AG6:AG30)</f>
        <v>2.6189117989420529E-2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0.4458711722171867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0.52555841289342398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988.37829024769553</v>
      </c>
      <c r="AB37" s="122">
        <f>IF($J37=0,0,AC37/($J37))</f>
        <v>0.47444158710657597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892.24670975230447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0.52555841289342398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164.34211571177369</v>
      </c>
      <c r="AB38" s="122">
        <f>IF($J38=0,0,AC38/($J38))</f>
        <v>0.47444158710657597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148.3578842882263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62.062428711675082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1.1194622734994918E-3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15.515607177918771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31.031214355837541</v>
      </c>
      <c r="AF42" s="122">
        <f t="shared" si="57"/>
        <v>0.25</v>
      </c>
      <c r="AG42" s="147">
        <f t="shared" si="60"/>
        <v>15.515607177918771</v>
      </c>
      <c r="AH42" s="123">
        <f t="shared" si="61"/>
        <v>1</v>
      </c>
      <c r="AI42" s="112">
        <f t="shared" si="61"/>
        <v>62.062428711675082</v>
      </c>
      <c r="AJ42" s="148">
        <f t="shared" si="62"/>
        <v>15.515607177918771</v>
      </c>
      <c r="AK42" s="147">
        <f t="shared" si="63"/>
        <v>46.546821533756315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5480.7247477193769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9.8859563086235933E-2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1370.1811869298442</v>
      </c>
      <c r="AB48" s="116">
        <v>0.25</v>
      </c>
      <c r="AC48" s="147">
        <f t="shared" si="65"/>
        <v>1370.1811869298442</v>
      </c>
      <c r="AD48" s="116">
        <v>0.25</v>
      </c>
      <c r="AE48" s="147">
        <f t="shared" si="66"/>
        <v>1370.1811869298442</v>
      </c>
      <c r="AF48" s="122">
        <f t="shared" si="57"/>
        <v>0.25</v>
      </c>
      <c r="AG48" s="147">
        <f t="shared" si="60"/>
        <v>1370.1811869298442</v>
      </c>
      <c r="AH48" s="123">
        <f t="shared" si="61"/>
        <v>1</v>
      </c>
      <c r="AI48" s="112">
        <f t="shared" si="61"/>
        <v>5480.7247477193769</v>
      </c>
      <c r="AJ48" s="148">
        <f t="shared" si="62"/>
        <v>2740.3623738596884</v>
      </c>
      <c r="AK48" s="147">
        <f t="shared" si="63"/>
        <v>2740.3623738596884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44552.864999999998</v>
      </c>
      <c r="J65" s="39">
        <f>SUM(J37:J64)</f>
        <v>44057.252176431059</v>
      </c>
      <c r="K65" s="40">
        <f>SUM(K37:K64)</f>
        <v>1</v>
      </c>
      <c r="L65" s="22">
        <f>SUM(L37:L64)</f>
        <v>0.78749745217759903</v>
      </c>
      <c r="M65" s="24">
        <f>SUM(M37:M64)</f>
        <v>0.79469064793930422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6143.7922000672324</v>
      </c>
      <c r="AB65" s="137"/>
      <c r="AC65" s="153">
        <f>SUM(AC37:AC64)</f>
        <v>6003.1807809703751</v>
      </c>
      <c r="AD65" s="137"/>
      <c r="AE65" s="153">
        <f>SUM(AE37:AE64)</f>
        <v>4993.6074012856816</v>
      </c>
      <c r="AF65" s="137"/>
      <c r="AG65" s="153">
        <f>SUM(AG37:AG64)</f>
        <v>4978.0917941077632</v>
      </c>
      <c r="AH65" s="137"/>
      <c r="AI65" s="153">
        <f>SUM(AI37:AI64)</f>
        <v>22118.672176431053</v>
      </c>
      <c r="AJ65" s="153">
        <f>SUM(AJ37:AJ64)</f>
        <v>12146.972981037608</v>
      </c>
      <c r="AK65" s="153">
        <f>SUM(AK37:AK64)</f>
        <v>9971.6991953934448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1571.6673023874096</v>
      </c>
      <c r="K72" s="40">
        <f t="shared" si="78"/>
        <v>0.37532806031800431</v>
      </c>
      <c r="L72" s="22">
        <f t="shared" si="76"/>
        <v>0.1060703238492809</v>
      </c>
      <c r="M72" s="24">
        <f t="shared" si="79"/>
        <v>2.8349232990690927E-2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21874.579350503485</v>
      </c>
      <c r="J74" s="51">
        <f t="shared" si="75"/>
        <v>6020.1792245471233</v>
      </c>
      <c r="K74" s="40">
        <f>B74/B$76</f>
        <v>4.4282506155358545E-2</v>
      </c>
      <c r="L74" s="22">
        <f t="shared" si="76"/>
        <v>2.367578407924447E-2</v>
      </c>
      <c r="M74" s="24">
        <f>J74/B$76</f>
        <v>0.10859007069953956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474.22078769310201</v>
      </c>
      <c r="AB74" s="156"/>
      <c r="AC74" s="147">
        <f>AC30*$I$83/4</f>
        <v>333.60936859624508</v>
      </c>
      <c r="AD74" s="156"/>
      <c r="AE74" s="147">
        <f>AE30*$I$83/4</f>
        <v>-675.96401108844839</v>
      </c>
      <c r="AF74" s="156"/>
      <c r="AG74" s="147">
        <f>AG30*$I$83/4</f>
        <v>-691.47961826636686</v>
      </c>
      <c r="AH74" s="155"/>
      <c r="AI74" s="147">
        <f>SUM(AA74,AC74,AE74,AG74)</f>
        <v>-559.61347306546816</v>
      </c>
      <c r="AJ74" s="148">
        <f>(AA74+AC74)</f>
        <v>807.83015628934709</v>
      </c>
      <c r="AK74" s="147">
        <f>(AE74+AG74)</f>
        <v>-1367.4436293548151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44552.865000000005</v>
      </c>
      <c r="J76" s="51">
        <f t="shared" si="75"/>
        <v>44057.252176431051</v>
      </c>
      <c r="K76" s="40">
        <f>SUM(K70:K75)</f>
        <v>0.99999999999999989</v>
      </c>
      <c r="L76" s="22">
        <f>SUM(L70:L75)</f>
        <v>0.78749745217759914</v>
      </c>
      <c r="M76" s="24">
        <f>SUM(M70:M75)</f>
        <v>0.79469064793930411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6143.7922000672324</v>
      </c>
      <c r="AB76" s="137"/>
      <c r="AC76" s="153">
        <f>AC65</f>
        <v>6003.1807809703751</v>
      </c>
      <c r="AD76" s="137"/>
      <c r="AE76" s="153">
        <f>AE65</f>
        <v>4993.6074012856816</v>
      </c>
      <c r="AF76" s="137"/>
      <c r="AG76" s="153">
        <f>AG65</f>
        <v>4978.0917941077632</v>
      </c>
      <c r="AH76" s="137"/>
      <c r="AI76" s="153">
        <f>SUM(AA76,AC76,AE76,AG76)</f>
        <v>22118.672176431053</v>
      </c>
      <c r="AJ76" s="154">
        <f>SUM(AA76,AC76)</f>
        <v>12146.972981037608</v>
      </c>
      <c r="AK76" s="154">
        <f>SUM(AE76,AG76)</f>
        <v>9971.6991953934448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-0.1426173446902983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1423.132396817452</v>
      </c>
      <c r="AD77" s="112"/>
      <c r="AE77" s="111">
        <f>AE31*$I$83/4</f>
        <v>2570.5723468086103</v>
      </c>
      <c r="AF77" s="112"/>
      <c r="AG77" s="111">
        <f>AG31*$I$83/4</f>
        <v>2586.0879539865286</v>
      </c>
      <c r="AH77" s="110"/>
      <c r="AI77" s="154">
        <f>SUM(AA77,AC77,AE77,AG77)</f>
        <v>6579.7926976125909</v>
      </c>
      <c r="AJ77" s="153">
        <f>SUM(AA77,AC77)</f>
        <v>1423.132396817452</v>
      </c>
      <c r="AK77" s="160">
        <f>SUM(AE77,AG77)</f>
        <v>5156.6603007951389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474.22078769310247</v>
      </c>
      <c r="AB79" s="112"/>
      <c r="AC79" s="112">
        <f>AA79-AA74+AC65-AC70</f>
        <v>333.60936859624508</v>
      </c>
      <c r="AD79" s="112"/>
      <c r="AE79" s="112">
        <f>AC79-AC74+AE65-AE70</f>
        <v>-675.96401108844839</v>
      </c>
      <c r="AF79" s="112"/>
      <c r="AG79" s="112">
        <f>AE79-AE74+AG65-AG70</f>
        <v>-691.47961826636674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5.842518653538983E-3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5.842518653538983E-3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0.51595203794271449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0.51595203794271449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4.1941791553210148</v>
      </c>
      <c r="J119" s="24">
        <f>SUM(J91:J118)</f>
        <v>4.1475224706448959</v>
      </c>
      <c r="K119" s="22">
        <f>SUM(K91:K118)</f>
        <v>8.611416397449231</v>
      </c>
      <c r="L119" s="22">
        <f>SUM(L91:L118)</f>
        <v>4.1099808925040415</v>
      </c>
      <c r="M119" s="57">
        <f t="shared" si="80"/>
        <v>4.1475224706448959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0.14795578777645124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0.55358528853239264</v>
      </c>
      <c r="M126" s="239">
        <f t="shared" si="93"/>
        <v>0.14795578777645124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2.0592593707115627</v>
      </c>
      <c r="J128" s="227">
        <f>(J30)</f>
        <v>0.56673594874071898</v>
      </c>
      <c r="K128" s="29">
        <f>(B128)</f>
        <v>0.38133509962640105</v>
      </c>
      <c r="L128" s="29">
        <f>IF(L124=L119,0,(L119-L124)/(B119-B124)*K128)</f>
        <v>0.1235648698439232</v>
      </c>
      <c r="M128" s="239">
        <f t="shared" si="93"/>
        <v>0.56673594874071898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4.1941791553210148</v>
      </c>
      <c r="J130" s="227">
        <f>(J119)</f>
        <v>4.1475224706448959</v>
      </c>
      <c r="K130" s="29">
        <f>(B130)</f>
        <v>8.611416397449231</v>
      </c>
      <c r="L130" s="29">
        <f>(L119)</f>
        <v>4.1099808925040415</v>
      </c>
      <c r="M130" s="239">
        <f t="shared" si="93"/>
        <v>4.1475224706448959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0.74432566098588104</v>
      </c>
      <c r="M131" s="236">
        <f>IF(I131&lt;SUM(M126:M127),0,I131-(SUM(M126:M127)))</f>
        <v>1.1499551617418224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1437.0783965945006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0.12385683931211067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0.12385683931211067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1277.7117477324696</v>
      </c>
      <c r="U8" s="222">
        <v>2</v>
      </c>
      <c r="V8" s="56"/>
      <c r="W8" s="115"/>
      <c r="X8" s="118">
        <f>Poor!X8</f>
        <v>1</v>
      </c>
      <c r="Y8" s="183">
        <f t="shared" si="9"/>
        <v>0.49542735724844267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0.49542735724844267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0.12385683931211067</v>
      </c>
      <c r="AJ8" s="120">
        <f t="shared" si="14"/>
        <v>0.24771367862422133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1.1428832115726822E-2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1.1428832115726822E-2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4.5715328462907288E-2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4.5715328462907288E-2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1.1428832115726822E-2</v>
      </c>
      <c r="AJ9" s="120">
        <f t="shared" si="14"/>
        <v>2.2857664231453644E-2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6226.825824991256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136546.38103161851</v>
      </c>
      <c r="T23" s="179">
        <f>SUM(T7:T22)</f>
        <v>136741.6451592003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1.262579646822414E-2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1.262579646822414E-2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5.050318587289656E-2</v>
      </c>
      <c r="Z27" s="156">
        <f>Poor!Z27</f>
        <v>0.25</v>
      </c>
      <c r="AA27" s="121">
        <f t="shared" si="16"/>
        <v>1.262579646822414E-2</v>
      </c>
      <c r="AB27" s="156">
        <f>Poor!AB27</f>
        <v>0.25</v>
      </c>
      <c r="AC27" s="121">
        <f t="shared" si="7"/>
        <v>1.262579646822414E-2</v>
      </c>
      <c r="AD27" s="156">
        <f>Poor!AD27</f>
        <v>0.25</v>
      </c>
      <c r="AE27" s="121">
        <f t="shared" si="8"/>
        <v>1.262579646822414E-2</v>
      </c>
      <c r="AF27" s="122">
        <f t="shared" si="10"/>
        <v>0.25</v>
      </c>
      <c r="AG27" s="121">
        <f t="shared" si="11"/>
        <v>1.262579646822414E-2</v>
      </c>
      <c r="AH27" s="123">
        <f t="shared" si="12"/>
        <v>1</v>
      </c>
      <c r="AI27" s="183">
        <f t="shared" si="13"/>
        <v>1.262579646822414E-2</v>
      </c>
      <c r="AJ27" s="120">
        <f t="shared" si="14"/>
        <v>1.262579646822414E-2</v>
      </c>
      <c r="AK27" s="119">
        <f t="shared" si="15"/>
        <v>1.262579646822414E-2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9.8555683251655788E-3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9.8555683251655788E-3</v>
      </c>
      <c r="N28" s="228"/>
      <c r="O28" s="2"/>
      <c r="P28" s="22"/>
      <c r="V28" s="56"/>
      <c r="W28" s="110"/>
      <c r="X28" s="118"/>
      <c r="Y28" s="183">
        <f t="shared" si="9"/>
        <v>3.9422273300662315E-2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1.9711136650331158E-2</v>
      </c>
      <c r="AF28" s="122">
        <f t="shared" si="10"/>
        <v>0.5</v>
      </c>
      <c r="AG28" s="121">
        <f t="shared" si="11"/>
        <v>1.9711136650331158E-2</v>
      </c>
      <c r="AH28" s="123">
        <f t="shared" si="12"/>
        <v>1</v>
      </c>
      <c r="AI28" s="183">
        <f t="shared" si="13"/>
        <v>9.8555683251655788E-3</v>
      </c>
      <c r="AJ28" s="120">
        <f t="shared" si="14"/>
        <v>0</v>
      </c>
      <c r="AK28" s="119">
        <f t="shared" si="15"/>
        <v>1.9711136650331158E-2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0.26125758668896221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0.26125758668896221</v>
      </c>
      <c r="N29" s="228"/>
      <c r="P29" s="22"/>
      <c r="V29" s="56"/>
      <c r="W29" s="110"/>
      <c r="X29" s="118"/>
      <c r="Y29" s="183">
        <f t="shared" si="9"/>
        <v>1.0450303467558488</v>
      </c>
      <c r="Z29" s="156">
        <f>Poor!Z29</f>
        <v>0.25</v>
      </c>
      <c r="AA29" s="121">
        <f t="shared" si="16"/>
        <v>0.26125758668896221</v>
      </c>
      <c r="AB29" s="156">
        <f>Poor!AB29</f>
        <v>0.25</v>
      </c>
      <c r="AC29" s="121">
        <f t="shared" si="7"/>
        <v>0.26125758668896221</v>
      </c>
      <c r="AD29" s="156">
        <f>Poor!AD29</f>
        <v>0.25</v>
      </c>
      <c r="AE29" s="121">
        <f t="shared" si="8"/>
        <v>0.26125758668896221</v>
      </c>
      <c r="AF29" s="122">
        <f t="shared" si="10"/>
        <v>0.25</v>
      </c>
      <c r="AG29" s="121">
        <f t="shared" si="11"/>
        <v>0.26125758668896221</v>
      </c>
      <c r="AH29" s="123">
        <f t="shared" si="12"/>
        <v>1</v>
      </c>
      <c r="AI29" s="183">
        <f t="shared" si="13"/>
        <v>0.26125758668896221</v>
      </c>
      <c r="AJ29" s="120">
        <f t="shared" si="14"/>
        <v>0.26125758668896221</v>
      </c>
      <c r="AK29" s="119">
        <f t="shared" si="15"/>
        <v>0.26125758668896221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10.768106262441936</v>
      </c>
      <c r="J30" s="230">
        <f>IF(I$32&lt;=1,I30,1-SUM(J6:J29))</f>
        <v>0.57107669738868982</v>
      </c>
      <c r="K30" s="22">
        <f t="shared" si="4"/>
        <v>0.53191651606475721</v>
      </c>
      <c r="L30" s="22">
        <f>IF(L124=L119,0,IF(K30="",0,(L119-L124)/(B119-B124)*K30))</f>
        <v>0.27785021814339833</v>
      </c>
      <c r="M30" s="175">
        <f t="shared" si="6"/>
        <v>0.57107669738868982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2.2843067895547593</v>
      </c>
      <c r="Z30" s="122">
        <f>IF($Y30=0,0,AA30/($Y$30))</f>
        <v>7.8591924632326796E-2</v>
      </c>
      <c r="AA30" s="187">
        <f>IF(AA79*4/$I$84+SUM(AA6:AA29)&lt;1,AA79*4/$I$84,1-SUM(AA6:AA29))</f>
        <v>0.17952806704180002</v>
      </c>
      <c r="AB30" s="122">
        <f>IF($Y30=0,0,AC30/($Y$30))</f>
        <v>0.31548772522521717</v>
      </c>
      <c r="AC30" s="187">
        <f>IF(AC79*4/$I$84+SUM(AC6:AC29)&lt;1,AC79*4/$I$84,1-SUM(AC6:AC29))</f>
        <v>0.72067075275314996</v>
      </c>
      <c r="AD30" s="122">
        <f>IF($Y30=0,0,AE30/($Y$30))</f>
        <v>0.30461499310923673</v>
      </c>
      <c r="AE30" s="187">
        <f>IF(AE79*4/$I$84+SUM(AE6:AE29)&lt;1,AE79*4/$I$84,1-SUM(AE6:AE29))</f>
        <v>0.69583409695960574</v>
      </c>
      <c r="AF30" s="122">
        <f>IF($Y30=0,0,AG30/($Y$30))</f>
        <v>0.30130535703321926</v>
      </c>
      <c r="AG30" s="187">
        <f>IF(AG79*4/$I$84+SUM(AG6:AG29)&lt;1,AG79*4/$I$84,1-SUM(AG6:AG29))</f>
        <v>0.68827387280020358</v>
      </c>
      <c r="AH30" s="123">
        <f t="shared" si="12"/>
        <v>0.99999999999999989</v>
      </c>
      <c r="AI30" s="183">
        <f t="shared" si="13"/>
        <v>0.57107669738868982</v>
      </c>
      <c r="AJ30" s="120">
        <f t="shared" si="14"/>
        <v>0.45009940989747499</v>
      </c>
      <c r="AK30" s="119">
        <f t="shared" si="15"/>
        <v>0.69205398487990466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0.30065663067353821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11.353484346097508</v>
      </c>
      <c r="J32" s="17"/>
      <c r="L32" s="22">
        <f>SUM(L6:L30)</f>
        <v>0.69934336932646179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4.5337611677590865E-2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4826.9967635591138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3.949303543951363E-2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4826.9967635591138</v>
      </c>
      <c r="AH37" s="123">
        <f>SUM(Z37,AB37,AD37,AF37)</f>
        <v>1</v>
      </c>
      <c r="AI37" s="112">
        <f>SUM(AA37,AC37,AE37,AG37)</f>
        <v>4826.9967635591138</v>
      </c>
      <c r="AJ37" s="148">
        <f>(AA37+AC37)</f>
        <v>0</v>
      </c>
      <c r="AK37" s="147">
        <f>(AE37+AG37)</f>
        <v>4826.9967635591138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362.02475726693353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2.961977657963522E-3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362.02475726693353</v>
      </c>
      <c r="AH38" s="123">
        <f t="shared" ref="AH38:AI58" si="37">SUM(Z38,AB38,AD38,AF38)</f>
        <v>1</v>
      </c>
      <c r="AI38" s="112">
        <f t="shared" si="37"/>
        <v>362.02475726693353</v>
      </c>
      <c r="AJ38" s="148">
        <f t="shared" ref="AJ38:AJ64" si="38">(AA38+AC38)</f>
        <v>0</v>
      </c>
      <c r="AK38" s="147">
        <f t="shared" ref="AK38:AK64" si="39">(AE38+AG38)</f>
        <v>362.02475726693353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923.80769993182878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7.5583166966539201E-3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923.80769993182878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923.80769993182878</v>
      </c>
      <c r="AJ40" s="148">
        <f t="shared" si="38"/>
        <v>923.80769993182878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140.95208984522935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1.1532275972413711E-3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140.95208984522935</v>
      </c>
      <c r="AH41" s="123">
        <f t="shared" si="37"/>
        <v>1</v>
      </c>
      <c r="AI41" s="112">
        <f t="shared" si="37"/>
        <v>140.95208984522935</v>
      </c>
      <c r="AJ41" s="148">
        <f t="shared" si="38"/>
        <v>0</v>
      </c>
      <c r="AK41" s="147">
        <f t="shared" si="39"/>
        <v>140.95208984522935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114184.4</v>
      </c>
      <c r="J65" s="39">
        <f>SUM(J37:J64)</f>
        <v>112666.1813106031</v>
      </c>
      <c r="K65" s="40">
        <f>SUM(K37:K64)</f>
        <v>0.99999999999999989</v>
      </c>
      <c r="L65" s="22">
        <f>SUM(L37:L64)</f>
        <v>0.921210891477942</v>
      </c>
      <c r="M65" s="24">
        <f>SUM(M37:M64)</f>
        <v>0.92180080271144038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27526.907699931828</v>
      </c>
      <c r="AB65" s="137"/>
      <c r="AC65" s="153">
        <f>SUM(AC37:AC64)</f>
        <v>26603.1</v>
      </c>
      <c r="AD65" s="137"/>
      <c r="AE65" s="153">
        <f>SUM(AE37:AE64)</f>
        <v>26603.1</v>
      </c>
      <c r="AF65" s="137"/>
      <c r="AG65" s="153">
        <f>SUM(AG37:AG64)</f>
        <v>31933.073610671276</v>
      </c>
      <c r="AH65" s="137"/>
      <c r="AI65" s="153">
        <f>SUM(AI37:AI64)</f>
        <v>112666.1813106031</v>
      </c>
      <c r="AJ65" s="153">
        <f>SUM(AJ37:AJ64)</f>
        <v>54130.007699931826</v>
      </c>
      <c r="AK65" s="153">
        <f>SUM(AK37:AK64)</f>
        <v>58536.173610671271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95320.595292086233</v>
      </c>
      <c r="J74" s="51">
        <f t="shared" si="44"/>
        <v>5055.2408590537007</v>
      </c>
      <c r="K74" s="40">
        <f>B74/B$76</f>
        <v>2.3348041243885415E-2</v>
      </c>
      <c r="L74" s="22">
        <f t="shared" si="45"/>
        <v>2.012341403002044E-2</v>
      </c>
      <c r="M74" s="24">
        <f>J74/B$76</f>
        <v>4.1360459967385299E-2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1154.6982683415363</v>
      </c>
      <c r="AB74" s="156"/>
      <c r="AC74" s="147">
        <f>AC30*$I$84/4</f>
        <v>4635.2488720033971</v>
      </c>
      <c r="AD74" s="156"/>
      <c r="AE74" s="147">
        <f>AE30*$I$84/4</f>
        <v>4475.503134700255</v>
      </c>
      <c r="AF74" s="156"/>
      <c r="AG74" s="147">
        <f>AG30*$I$84/4</f>
        <v>4426.8768787115296</v>
      </c>
      <c r="AH74" s="155"/>
      <c r="AI74" s="147">
        <f>SUM(AA74,AC74,AE74,AG74)</f>
        <v>14692.327153756718</v>
      </c>
      <c r="AJ74" s="148">
        <f>(AA74+AC74)</f>
        <v>5789.9471403449334</v>
      </c>
      <c r="AK74" s="147">
        <f>(AE74+AG74)</f>
        <v>8902.3800134117846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21187.809076968955</v>
      </c>
      <c r="K75" s="40">
        <f>B75/B$76</f>
        <v>0.39797827039208566</v>
      </c>
      <c r="L75" s="22">
        <f t="shared" si="45"/>
        <v>0.19399941475499358</v>
      </c>
      <c r="M75" s="24">
        <f>J75/B$76</f>
        <v>0.17335228005112707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26162.400459409637</v>
      </c>
      <c r="AB75" s="158"/>
      <c r="AC75" s="149">
        <f>AA75+AC65-SUM(AC70,AC74)</f>
        <v>43414.300410427801</v>
      </c>
      <c r="AD75" s="158"/>
      <c r="AE75" s="149">
        <f>AC75+AE65-SUM(AE70,AE74)</f>
        <v>60825.946098749104</v>
      </c>
      <c r="AF75" s="158"/>
      <c r="AG75" s="149">
        <f>IF(SUM(AG6:AG29)+((AG65-AG70-$J$75)*4/I$83)&lt;1,0,AG65-AG70-$J$75-(1-SUM(AG6:AG29))*I$83/4)</f>
        <v>4506.1422047977867</v>
      </c>
      <c r="AH75" s="134"/>
      <c r="AI75" s="149">
        <f>AI76-SUM(AI70,AI74)</f>
        <v>79110.049448932623</v>
      </c>
      <c r="AJ75" s="151">
        <f>AJ76-SUM(AJ70,AJ74)</f>
        <v>38908.15820563001</v>
      </c>
      <c r="AK75" s="149">
        <f>AJ75+AK76-SUM(AK70,AK74)</f>
        <v>79110.049448932623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114184.4</v>
      </c>
      <c r="J76" s="51">
        <f t="shared" si="44"/>
        <v>112666.1813106031</v>
      </c>
      <c r="K76" s="40">
        <f>SUM(K70:K75)</f>
        <v>1</v>
      </c>
      <c r="L76" s="22">
        <f>SUM(L70:L75)</f>
        <v>0.92121089147794222</v>
      </c>
      <c r="M76" s="24">
        <f>SUM(M70:M75)</f>
        <v>0.92180080271144038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27526.907699931828</v>
      </c>
      <c r="AB76" s="137"/>
      <c r="AC76" s="153">
        <f>AC65</f>
        <v>26603.1</v>
      </c>
      <c r="AD76" s="137"/>
      <c r="AE76" s="153">
        <f>AE65</f>
        <v>26603.1</v>
      </c>
      <c r="AF76" s="137"/>
      <c r="AG76" s="153">
        <f>AG65</f>
        <v>31933.073610671276</v>
      </c>
      <c r="AH76" s="137"/>
      <c r="AI76" s="153">
        <f>SUM(AA76,AC76,AE76,AG76)</f>
        <v>112666.1813106031</v>
      </c>
      <c r="AJ76" s="154">
        <f>SUM(AA76,AC76)</f>
        <v>54130.007699931826</v>
      </c>
      <c r="AK76" s="154">
        <f>SUM(AE76,AG76)</f>
        <v>58536.173610671278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4506.1422047977867</v>
      </c>
      <c r="AB78" s="112"/>
      <c r="AC78" s="112">
        <f>IF(AA75&lt;0,0,AA75)</f>
        <v>26162.400459409637</v>
      </c>
      <c r="AD78" s="112"/>
      <c r="AE78" s="112">
        <f>AC75</f>
        <v>43414.300410427801</v>
      </c>
      <c r="AF78" s="112"/>
      <c r="AG78" s="112">
        <f>AE75</f>
        <v>60825.946098749104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27317.098727751174</v>
      </c>
      <c r="AB79" s="112"/>
      <c r="AC79" s="112">
        <f>AA79-AA74+AC65-AC70</f>
        <v>48049.549282431195</v>
      </c>
      <c r="AD79" s="112"/>
      <c r="AE79" s="112">
        <f>AC79-AC74+AE65-AE70</f>
        <v>65301.449233449355</v>
      </c>
      <c r="AF79" s="112"/>
      <c r="AG79" s="112">
        <f>AE79-AE74+AG65-AG70</f>
        <v>88043.068532441932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0.5452925878105922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0.5452925878105922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4.0896944085794411E-2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4.0896944085794411E-2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0.10436002260000454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0.10436002260000454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1.5922971071632652E-2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1.5922971071632652E-2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0.28606060606060607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12.899098552055049</v>
      </c>
      <c r="J119" s="24">
        <f>SUM(J91:J118)</f>
        <v>12.727589549966302</v>
      </c>
      <c r="K119" s="22">
        <f>SUM(K91:K118)</f>
        <v>22.782061694535514</v>
      </c>
      <c r="L119" s="22">
        <f>SUM(L91:L118)</f>
        <v>12.719444462623356</v>
      </c>
      <c r="M119" s="57">
        <f t="shared" si="49"/>
        <v>12.727589549966302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10.768106262441936</v>
      </c>
      <c r="J128" s="227">
        <f>(J30)</f>
        <v>0.57107669738868982</v>
      </c>
      <c r="K128" s="22">
        <f>(B128)</f>
        <v>0.53191651606475721</v>
      </c>
      <c r="L128" s="22">
        <f>IF(L124=L119,0,(L119-L124)/(B119-B124)*K128)</f>
        <v>0.27785021814339833</v>
      </c>
      <c r="M128" s="57">
        <f t="shared" si="63"/>
        <v>0.57107669738868982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2.3935286903110153</v>
      </c>
      <c r="K129" s="29">
        <f>(B129)</f>
        <v>9.0667655091570314</v>
      </c>
      <c r="L129" s="60">
        <f>IF(SUM(L124:L128)&gt;L130,0,L130-SUM(L124:L128))</f>
        <v>2.6786100822133623</v>
      </c>
      <c r="M129" s="57">
        <f t="shared" si="63"/>
        <v>2.3935286903110153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12.899098552055049</v>
      </c>
      <c r="J130" s="227">
        <f>(J119)</f>
        <v>12.727589549966302</v>
      </c>
      <c r="K130" s="22">
        <f>(B130)</f>
        <v>22.782061694535514</v>
      </c>
      <c r="L130" s="22">
        <f>(L119)</f>
        <v>12.719444462623356</v>
      </c>
      <c r="M130" s="57">
        <f t="shared" si="63"/>
        <v>12.727589549966302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2014.4829432441843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0.18080453698194765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0.18080453698194765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3853.2344756261054</v>
      </c>
      <c r="U8" s="222">
        <v>2</v>
      </c>
      <c r="V8" s="56"/>
      <c r="W8" s="115"/>
      <c r="X8" s="118">
        <f>Poor!X8</f>
        <v>1</v>
      </c>
      <c r="Y8" s="183">
        <f t="shared" si="9"/>
        <v>0.7232181479277906</v>
      </c>
      <c r="Z8" s="125">
        <f>IF($Y8=0,0,AA8/$Y8)</f>
        <v>0.90898202234121417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0.65739229469727045</v>
      </c>
      <c r="AB8" s="125">
        <f>IF($Y8=0,0,AC8/$Y8)</f>
        <v>9.1017977658785887E-2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6.5825853230520148E-2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0.18080453698194765</v>
      </c>
      <c r="AJ8" s="120">
        <f t="shared" si="14"/>
        <v>0.3616090739638953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0.90898202234121417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3.2133028409859231E-2</v>
      </c>
      <c r="AB9" s="125">
        <f>IF($Y9=0,0,AC9/$Y9)</f>
        <v>9.1017977658785859E-2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3.2175369699664197E-3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6925.3397501228956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95155.199999999997</v>
      </c>
      <c r="T14" s="221">
        <f>IF($B$81=0,0,(SUMIF($N$6:$N$28,$U14,M$6:M$28)+SUMIF($N$91:$N$118,$U14,M$91:M$118))*$I$83*Poor!$B$81/$B$81)</f>
        <v>95155.199999999997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208500.02754400956</v>
      </c>
      <c r="T23" s="179">
        <f>SUM(T7:T22)</f>
        <v>208607.1947078754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1.2818796703701658E-2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1.2818796703701658E-2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5.1275186814806632E-2</v>
      </c>
      <c r="Z27" s="156">
        <f>Poor!Z27</f>
        <v>0.25</v>
      </c>
      <c r="AA27" s="121">
        <f t="shared" si="16"/>
        <v>1.2818796703701658E-2</v>
      </c>
      <c r="AB27" s="156">
        <f>Poor!AB27</f>
        <v>0.25</v>
      </c>
      <c r="AC27" s="121">
        <f t="shared" si="7"/>
        <v>1.2818796703701658E-2</v>
      </c>
      <c r="AD27" s="156">
        <f>Poor!AD27</f>
        <v>0.25</v>
      </c>
      <c r="AE27" s="121">
        <f t="shared" si="8"/>
        <v>1.2818796703701658E-2</v>
      </c>
      <c r="AF27" s="122">
        <f t="shared" si="10"/>
        <v>0.25</v>
      </c>
      <c r="AG27" s="121">
        <f t="shared" si="11"/>
        <v>1.2818796703701658E-2</v>
      </c>
      <c r="AH27" s="123">
        <f t="shared" si="12"/>
        <v>1</v>
      </c>
      <c r="AI27" s="183">
        <f t="shared" si="13"/>
        <v>1.2818796703701658E-2</v>
      </c>
      <c r="AJ27" s="120">
        <f t="shared" si="14"/>
        <v>1.2818796703701658E-2</v>
      </c>
      <c r="AK27" s="119">
        <f t="shared" si="15"/>
        <v>1.2818796703701658E-2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2.0012444692530142E-2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2.0012444692530142E-2</v>
      </c>
      <c r="N28" s="228"/>
      <c r="O28" s="2"/>
      <c r="P28" s="22"/>
      <c r="V28" s="56"/>
      <c r="W28" s="110"/>
      <c r="X28" s="118"/>
      <c r="Y28" s="183">
        <f t="shared" si="9"/>
        <v>8.0049778770120567E-2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4.0024889385060283E-2</v>
      </c>
      <c r="AF28" s="122">
        <f t="shared" si="10"/>
        <v>0.5</v>
      </c>
      <c r="AG28" s="121">
        <f t="shared" si="11"/>
        <v>4.0024889385060283E-2</v>
      </c>
      <c r="AH28" s="123">
        <f t="shared" si="12"/>
        <v>1</v>
      </c>
      <c r="AI28" s="183">
        <f t="shared" si="13"/>
        <v>2.0012444692530142E-2</v>
      </c>
      <c r="AJ28" s="120">
        <f t="shared" si="14"/>
        <v>0</v>
      </c>
      <c r="AK28" s="119">
        <f t="shared" si="15"/>
        <v>4.0024889385060283E-2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0.29221001609950498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0.29221001609950498</v>
      </c>
      <c r="N29" s="228"/>
      <c r="P29" s="22"/>
      <c r="V29" s="56"/>
      <c r="W29" s="110"/>
      <c r="X29" s="118"/>
      <c r="Y29" s="183">
        <f t="shared" si="9"/>
        <v>1.1688400643980199</v>
      </c>
      <c r="Z29" s="156">
        <f>Poor!Z29</f>
        <v>0.25</v>
      </c>
      <c r="AA29" s="121">
        <f t="shared" si="16"/>
        <v>0.29221001609950498</v>
      </c>
      <c r="AB29" s="156">
        <f>Poor!AB29</f>
        <v>0.25</v>
      </c>
      <c r="AC29" s="121">
        <f t="shared" si="7"/>
        <v>0.29221001609950498</v>
      </c>
      <c r="AD29" s="156">
        <f>Poor!AD29</f>
        <v>0.25</v>
      </c>
      <c r="AE29" s="121">
        <f t="shared" si="8"/>
        <v>0.29221001609950498</v>
      </c>
      <c r="AF29" s="122">
        <f t="shared" si="10"/>
        <v>0.25</v>
      </c>
      <c r="AG29" s="121">
        <f t="shared" si="11"/>
        <v>0.29221001609950498</v>
      </c>
      <c r="AH29" s="123">
        <f t="shared" si="12"/>
        <v>1</v>
      </c>
      <c r="AI29" s="183">
        <f t="shared" si="13"/>
        <v>0.29221001609950498</v>
      </c>
      <c r="AJ29" s="120">
        <f t="shared" si="14"/>
        <v>0.29221001609950498</v>
      </c>
      <c r="AK29" s="119">
        <f t="shared" si="15"/>
        <v>0.29221001609950498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16.923918074726135</v>
      </c>
      <c r="J30" s="230">
        <f>IF(I$32&lt;=1,I30,1-SUM(J6:J29))</f>
        <v>0.47107727301920232</v>
      </c>
      <c r="K30" s="22">
        <f t="shared" si="4"/>
        <v>0.53191651606475721</v>
      </c>
      <c r="L30" s="22">
        <f>IF(L124=L119,0,IF(K30="",0,(L119-L124)/(B119-B124)*K30))</f>
        <v>0.19046396103972235</v>
      </c>
      <c r="M30" s="23">
        <f t="shared" si="6"/>
        <v>0.47107727301920232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1.8843090920768093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0.32928882820534128</v>
      </c>
      <c r="AC30" s="187">
        <f>IF(AC79*4/$I$83+SUM(AC6:AC29)&lt;1,AC79*4/$I$83,1-SUM(AC6:AC29))</f>
        <v>0.62048193290664311</v>
      </c>
      <c r="AD30" s="122">
        <f>IF($Y30=0,0,AE30/($Y$30))</f>
        <v>0.34196879762897736</v>
      </c>
      <c r="AE30" s="187">
        <f>IF(AE79*4/$I$83+SUM(AE6:AE29)&lt;1,AE79*4/$I$83,1-SUM(AE6:AE29))</f>
        <v>0.64437491457885643</v>
      </c>
      <c r="AF30" s="122">
        <f>IF($Y30=0,0,AG30/($Y$30))</f>
        <v>0.32874237416568131</v>
      </c>
      <c r="AG30" s="187">
        <f>IF(AG79*4/$I$83+SUM(AG6:AG29)&lt;1,AG79*4/$I$83,1-SUM(AG6:AG29))</f>
        <v>0.61945224459130965</v>
      </c>
      <c r="AH30" s="123">
        <f t="shared" si="12"/>
        <v>0.99999999999999989</v>
      </c>
      <c r="AI30" s="183">
        <f t="shared" si="13"/>
        <v>0.47107727301920232</v>
      </c>
      <c r="AJ30" s="120">
        <f t="shared" si="14"/>
        <v>0.31024096645332155</v>
      </c>
      <c r="AK30" s="119">
        <f t="shared" si="15"/>
        <v>0.63191357958508299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0.29924935851195889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18.040364104458916</v>
      </c>
      <c r="J32" s="17"/>
      <c r="L32" s="22">
        <f>SUM(L6:L30)</f>
        <v>0.70075064148804111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3.0744467695627897E-2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1051.1164584357475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3.8527837344613574E-3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1051.1164584357475</v>
      </c>
      <c r="AH38" s="123">
        <f t="shared" ref="AH38:AI58" si="35">SUM(Z38,AB38,AD38,AF38)</f>
        <v>1</v>
      </c>
      <c r="AI38" s="112">
        <f t="shared" si="35"/>
        <v>1051.1164584357475</v>
      </c>
      <c r="AJ38" s="148">
        <f t="shared" ref="AJ38:AJ64" si="36">(AA38+AC38)</f>
        <v>0</v>
      </c>
      <c r="AK38" s="147">
        <f t="shared" ref="AK38:AK64" si="37">(AE38+AG38)</f>
        <v>1051.1164584357475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0.90898202234121417</v>
      </c>
      <c r="AA39" s="147">
        <f>$J39*Z39</f>
        <v>0</v>
      </c>
      <c r="AB39" s="122">
        <f>AB8</f>
        <v>9.1017977658785887E-2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2931.0287296884212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1.074345256831765E-2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0.90898202234121417</v>
      </c>
      <c r="AA40" s="147">
        <f>$J40*Z40</f>
        <v>2664.2524222523812</v>
      </c>
      <c r="AB40" s="122">
        <f>AB9</f>
        <v>9.1017977658785859E-2</v>
      </c>
      <c r="AC40" s="147">
        <f>$J40*AB40</f>
        <v>266.77630743604021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2931.0287296884212</v>
      </c>
      <c r="AJ40" s="148">
        <f t="shared" si="36"/>
        <v>2931.0287296884212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79296</v>
      </c>
      <c r="J47" s="38">
        <f t="shared" si="33"/>
        <v>79296</v>
      </c>
      <c r="K47" s="40">
        <f t="shared" si="28"/>
        <v>0.61579063118539701</v>
      </c>
      <c r="L47" s="22">
        <f t="shared" si="29"/>
        <v>0.2906531779195074</v>
      </c>
      <c r="M47" s="24">
        <f t="shared" si="30"/>
        <v>0.29065317791950734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19824</v>
      </c>
      <c r="AB47" s="156">
        <f>Poor!AB47</f>
        <v>0.25</v>
      </c>
      <c r="AC47" s="147">
        <f t="shared" si="39"/>
        <v>19824</v>
      </c>
      <c r="AD47" s="156">
        <f>Poor!AD47</f>
        <v>0.25</v>
      </c>
      <c r="AE47" s="147">
        <f t="shared" si="40"/>
        <v>19824</v>
      </c>
      <c r="AF47" s="122">
        <f t="shared" si="31"/>
        <v>0.25</v>
      </c>
      <c r="AG47" s="147">
        <f t="shared" si="34"/>
        <v>19824</v>
      </c>
      <c r="AH47" s="123">
        <f t="shared" si="35"/>
        <v>1</v>
      </c>
      <c r="AI47" s="112">
        <f t="shared" si="35"/>
        <v>79296</v>
      </c>
      <c r="AJ47" s="148">
        <f t="shared" si="36"/>
        <v>39648</v>
      </c>
      <c r="AK47" s="147">
        <f t="shared" si="37"/>
        <v>39648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168760.4</v>
      </c>
      <c r="J65" s="39">
        <f>SUM(J37:J64)</f>
        <v>172034.54518812415</v>
      </c>
      <c r="K65" s="40">
        <f>SUM(K37:K64)</f>
        <v>1</v>
      </c>
      <c r="L65" s="22">
        <f>SUM(L37:L64)</f>
        <v>0.63095960706693055</v>
      </c>
      <c r="M65" s="24">
        <f>SUM(M37:M64)</f>
        <v>0.63057893551837896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43427.352422252377</v>
      </c>
      <c r="AB65" s="137"/>
      <c r="AC65" s="153">
        <f>SUM(AC37:AC64)</f>
        <v>41029.876307436039</v>
      </c>
      <c r="AD65" s="137"/>
      <c r="AE65" s="153">
        <f>SUM(AE37:AE64)</f>
        <v>40763.1</v>
      </c>
      <c r="AF65" s="137"/>
      <c r="AG65" s="153">
        <f>SUM(AG37:AG64)</f>
        <v>46814.216458435745</v>
      </c>
      <c r="AH65" s="137"/>
      <c r="AI65" s="153">
        <f>SUM(AI37:AI64)</f>
        <v>172034.54518812415</v>
      </c>
      <c r="AJ65" s="153">
        <f>SUM(AJ37:AJ64)</f>
        <v>84457.228729688417</v>
      </c>
      <c r="AK65" s="153">
        <f>SUM(AK37:AK64)</f>
        <v>87577.316458435744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149812.59529208625</v>
      </c>
      <c r="J74" s="51">
        <f>J128*I$83</f>
        <v>4170.0337086551044</v>
      </c>
      <c r="K74" s="40">
        <f>B74/B$76</f>
        <v>1.0459977248708494E-2</v>
      </c>
      <c r="L74" s="22">
        <f>(L128*G$37*F$9/F$7)/B$130</f>
        <v>6.1799366147855415E-3</v>
      </c>
      <c r="M74" s="24">
        <f>J74/B$76</f>
        <v>1.5284926723316121E-2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1373.145513499813</v>
      </c>
      <c r="AD74" s="156"/>
      <c r="AE74" s="147">
        <f>AE30*$I$83/4</f>
        <v>1426.0214134210912</v>
      </c>
      <c r="AF74" s="156"/>
      <c r="AG74" s="147">
        <f>AG30*$I$83/4</f>
        <v>1370.8667817341998</v>
      </c>
      <c r="AH74" s="155"/>
      <c r="AI74" s="147">
        <f>SUM(AA74,AC74,AE74,AG74)</f>
        <v>4170.0337086551044</v>
      </c>
      <c r="AJ74" s="148">
        <f>(AA74+AC74)</f>
        <v>1373.145513499813</v>
      </c>
      <c r="AK74" s="147">
        <f>(AE74+AG74)</f>
        <v>2796.8881951552912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49635.440104888628</v>
      </c>
      <c r="K75" s="40">
        <f>B75/B$76</f>
        <v>0.63153543039514071</v>
      </c>
      <c r="L75" s="22">
        <f>(L129*G$37*F$9/F$7)/B$130</f>
        <v>0.19142041755800082</v>
      </c>
      <c r="M75" s="24">
        <f>J75/B$76</f>
        <v>0.18193475590091865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38690.401245273933</v>
      </c>
      <c r="AB75" s="158"/>
      <c r="AC75" s="149">
        <f>AA75+AC65-SUM(AC70,AC74)</f>
        <v>73610.180862231718</v>
      </c>
      <c r="AD75" s="158"/>
      <c r="AE75" s="149">
        <f>AC75+AE65-SUM(AE70,AE74)</f>
        <v>108210.30827183218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148916.7067715553</v>
      </c>
      <c r="AJ75" s="151">
        <f>AJ76-SUM(AJ70,AJ74)</f>
        <v>73610.180862231718</v>
      </c>
      <c r="AK75" s="149">
        <f>AJ75+AK76-SUM(AK70,AK74)</f>
        <v>148916.7067715553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168760.40000000002</v>
      </c>
      <c r="J76" s="51">
        <f>J130*I$83</f>
        <v>172034.54518812418</v>
      </c>
      <c r="K76" s="40">
        <f>SUM(K70:K75)</f>
        <v>0.90075263299367103</v>
      </c>
      <c r="L76" s="22">
        <f>SUM(L70:L75)</f>
        <v>0.5138477139994625</v>
      </c>
      <c r="M76" s="24">
        <f>SUM(M70:M75)</f>
        <v>0.51346704245091079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43427.352422252377</v>
      </c>
      <c r="AB76" s="137"/>
      <c r="AC76" s="153">
        <f>AC65</f>
        <v>41029.876307436039</v>
      </c>
      <c r="AD76" s="137"/>
      <c r="AE76" s="153">
        <f>AE65</f>
        <v>40763.1</v>
      </c>
      <c r="AF76" s="137"/>
      <c r="AG76" s="153">
        <f>AG65</f>
        <v>46814.216458435745</v>
      </c>
      <c r="AH76" s="137"/>
      <c r="AI76" s="153">
        <f>SUM(AA76,AC76,AE76,AG76)</f>
        <v>172034.54518812418</v>
      </c>
      <c r="AJ76" s="154">
        <f>SUM(AA76,AC76)</f>
        <v>84457.228729688417</v>
      </c>
      <c r="AK76" s="154">
        <f>SUM(AE76,AG76)</f>
        <v>87577.316458435744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38690.401245273933</v>
      </c>
      <c r="AD78" s="112"/>
      <c r="AE78" s="112">
        <f>AC75</f>
        <v>73610.180862231718</v>
      </c>
      <c r="AF78" s="112"/>
      <c r="AG78" s="112">
        <f>AE75</f>
        <v>108210.30827183218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38690.401245273933</v>
      </c>
      <c r="AB79" s="112"/>
      <c r="AC79" s="112">
        <f>AA79-AA74+AC65-AC70</f>
        <v>74983.326375731529</v>
      </c>
      <c r="AD79" s="112"/>
      <c r="AE79" s="112">
        <f>AC79-AC74+AE65-AE70</f>
        <v>109636.32968525327</v>
      </c>
      <c r="AF79" s="112"/>
      <c r="AG79" s="112">
        <f>AE79-AE74+AG65-AG70</f>
        <v>150287.57355328946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0.11874174394269081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0.11874174394269081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0.33111027813918248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0.33111027813918248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0.28606060606060607</v>
      </c>
      <c r="I101" s="22">
        <f t="shared" si="59"/>
        <v>8.957851674867646</v>
      </c>
      <c r="J101" s="24">
        <f t="shared" si="60"/>
        <v>8.957851674867646</v>
      </c>
      <c r="K101" s="22">
        <f t="shared" si="61"/>
        <v>31.314523863414436</v>
      </c>
      <c r="L101" s="22">
        <f t="shared" si="62"/>
        <v>8.957851674867646</v>
      </c>
      <c r="M101" s="226">
        <f t="shared" si="63"/>
        <v>8.957851674867646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19.06439961399483</v>
      </c>
      <c r="J119" s="24">
        <f>SUM(J91:J118)</f>
        <v>19.434270817551099</v>
      </c>
      <c r="K119" s="22">
        <f>SUM(K91:K118)</f>
        <v>50.852550002480513</v>
      </c>
      <c r="L119" s="22">
        <f>SUM(L91:L118)</f>
        <v>19.446003010858515</v>
      </c>
      <c r="M119" s="57">
        <f t="shared" si="50"/>
        <v>19.434270817551099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16.923918074726135</v>
      </c>
      <c r="J128" s="227">
        <f>(J30)</f>
        <v>0.47107727301920232</v>
      </c>
      <c r="K128" s="22">
        <f>(B128)</f>
        <v>0.53191651606475721</v>
      </c>
      <c r="L128" s="22">
        <f>IF(L124=L119,0,(L119-L124)/(B119-B124)*K128)</f>
        <v>0.19046396103972235</v>
      </c>
      <c r="M128" s="57">
        <f t="shared" si="90"/>
        <v>0.47107727301920232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5.6071795585700333</v>
      </c>
      <c r="K129" s="29">
        <f>(B129)</f>
        <v>32.115187052506947</v>
      </c>
      <c r="L129" s="60">
        <f>IF(SUM(L124:L128)&gt;L130,0,L130-SUM(L124:L128))</f>
        <v>5.899525063856931</v>
      </c>
      <c r="M129" s="57">
        <f t="shared" si="90"/>
        <v>5.6071795585700333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19.06439961399483</v>
      </c>
      <c r="J130" s="227">
        <f>(J119)</f>
        <v>19.434270817551099</v>
      </c>
      <c r="K130" s="22">
        <f>(B130)</f>
        <v>50.852550002480513</v>
      </c>
      <c r="L130" s="22">
        <f>(L119)</f>
        <v>19.446003010858515</v>
      </c>
      <c r="M130" s="57">
        <f t="shared" si="90"/>
        <v>19.434270817551099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1171.8395853766719</v>
      </c>
      <c r="H72" s="109">
        <f>Middle!T7</f>
        <v>1437.0783965945006</v>
      </c>
      <c r="I72" s="109">
        <f>Rich!T7</f>
        <v>2014.4829432441843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62.062428711675089</v>
      </c>
      <c r="H73" s="109">
        <f>Middle!T8</f>
        <v>1277.7117477324696</v>
      </c>
      <c r="I73" s="109">
        <f>Rich!T8</f>
        <v>3853.2344756261054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6226.825824991256</v>
      </c>
      <c r="I76" s="109">
        <f>Rich!T11</f>
        <v>6925.3397501228956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7335.8255693756937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95155.199999999997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5480.7247477193769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27971.779985076966</v>
      </c>
      <c r="G88" s="109">
        <f>Poor!T23</f>
        <v>46913.536417268755</v>
      </c>
      <c r="H88" s="109">
        <f>Middle!T23</f>
        <v>136741.6451592003</v>
      </c>
      <c r="I88" s="109">
        <f>Rich!T23</f>
        <v>208607.1947078754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2991.8379376132361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16778.957937613231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41332.397937613234</v>
      </c>
      <c r="G100" s="238">
        <f t="shared" si="0"/>
        <v>22341.641505421445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2016-06-02T06:57:07Z</dcterms:modified>
  <cp:category/>
</cp:coreProperties>
</file>