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<sst xmlns="http://schemas.openxmlformats.org/spreadsheetml/2006/main" count="790" uniqueCount="145">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</sst>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0.28479865908319</c:v>
                </c:pt>
                <c:pt idx="2" formatCode="0.0%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511336"/>
        <c:axId val="-2021101688"/>
      </c:barChart>
      <c:catAx>
        <c:axId val="-202451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0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10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51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053896"/>
        <c:axId val="-2019050872"/>
      </c:barChart>
      <c:catAx>
        <c:axId val="-20190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05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0.0111055081621563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0.00282686101000682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0.00441539068944469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0.000255103080429268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0.219745259996974</c:v>
                </c:pt>
                <c:pt idx="2">
                  <c:v>0.219745259996974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0.179545400375947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11368"/>
        <c:axId val="-2018908312"/>
      </c:barChart>
      <c:catAx>
        <c:axId val="-20189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0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0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1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67768"/>
        <c:axId val="-2018764744"/>
      </c:barChart>
      <c:catAx>
        <c:axId val="-201876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6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1305.228817712797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966.2328432893051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13526.23902266014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22.2</c:v>
                </c:pt>
                <c:pt idx="4">
                  <c:v>243.7644587246663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164.5410096391498</c:v>
                </c:pt>
                <c:pt idx="5">
                  <c:v>28320.0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23139.18279155073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640488"/>
        <c:axId val="-20186371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640488"/>
        <c:axId val="-2018637112"/>
      </c:lineChart>
      <c:catAx>
        <c:axId val="-201864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3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3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4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157160"/>
        <c:axId val="-20191604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57160"/>
        <c:axId val="-2019160408"/>
      </c:lineChart>
      <c:catAx>
        <c:axId val="-20191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6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5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246984"/>
        <c:axId val="-201925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46984"/>
        <c:axId val="-2019250280"/>
      </c:lineChart>
      <c:catAx>
        <c:axId val="-2019246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5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5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4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0.163050968390803</c:v>
                </c:pt>
                <c:pt idx="2">
                  <c:v>0.163050968390803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0.217258529126973</c:v>
                </c:pt>
                <c:pt idx="2">
                  <c:v>0.163050968390803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16632"/>
        <c:axId val="-2019319992"/>
      </c:barChart>
      <c:catAx>
        <c:axId val="-201931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1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-0.386822288311543</c:v>
                </c:pt>
                <c:pt idx="2">
                  <c:v>-0.128239022647744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78488"/>
        <c:axId val="-2019381912"/>
      </c:barChart>
      <c:catAx>
        <c:axId val="-201937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8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8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7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0.0283771488095387</c:v>
                </c:pt>
                <c:pt idx="2">
                  <c:v>0.0383594897532586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0.124919865150319</c:v>
                </c:pt>
                <c:pt idx="2">
                  <c:v>0.115827714873635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0.0283771488095387</c:v>
                </c:pt>
                <c:pt idx="2">
                  <c:v>0.0383594897532586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33736"/>
        <c:axId val="-2019437256"/>
      </c:barChart>
      <c:catAx>
        <c:axId val="-20194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3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94696"/>
        <c:axId val="-2019498056"/>
      </c:barChart>
      <c:catAx>
        <c:axId val="-201949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9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0.303756504223755</c:v>
                </c:pt>
                <c:pt idx="2" formatCode="0.0%">
                  <c:v>0.556105033639691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722024"/>
        <c:axId val="-2020718728"/>
      </c:barChart>
      <c:catAx>
        <c:axId val="-20207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1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1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2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828968"/>
        <c:axId val="-2019825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28968"/>
        <c:axId val="-2019825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28968"/>
        <c:axId val="-2019825544"/>
      </c:scatterChart>
      <c:catAx>
        <c:axId val="-2019828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5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825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8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065272"/>
        <c:axId val="-201806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65272"/>
        <c:axId val="-2018061896"/>
      </c:lineChart>
      <c:catAx>
        <c:axId val="-2018065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806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52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81272"/>
        <c:axId val="-2017877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74312"/>
        <c:axId val="-2017871416"/>
      </c:scatterChart>
      <c:valAx>
        <c:axId val="-2017881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7928"/>
        <c:crosses val="autoZero"/>
        <c:crossBetween val="midCat"/>
      </c:valAx>
      <c:valAx>
        <c:axId val="-201787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81272"/>
        <c:crosses val="autoZero"/>
        <c:crossBetween val="midCat"/>
      </c:valAx>
      <c:valAx>
        <c:axId val="-20178743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871416"/>
        <c:crosses val="autoZero"/>
        <c:crossBetween val="midCat"/>
      </c:valAx>
      <c:valAx>
        <c:axId val="-2017871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43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91064"/>
        <c:axId val="-20177853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91064"/>
        <c:axId val="-2017785320"/>
      </c:lineChart>
      <c:catAx>
        <c:axId val="-201779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85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785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910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0.0362512645193959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0.0365857283852033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0.0116146918837648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0.229820484685915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0.000563315188306716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0.345257301104263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0.236626922203362</c:v>
                </c:pt>
                <c:pt idx="2" formatCode="0.0%">
                  <c:v>0.319866102776115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7064"/>
        <c:axId val="-2021440424"/>
      </c:barChart>
      <c:catAx>
        <c:axId val="-20214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4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44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3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97000"/>
        <c:axId val="-2062275832"/>
      </c:barChart>
      <c:catAx>
        <c:axId val="-20556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7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27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69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0.213739351667879</c:v>
                </c:pt>
                <c:pt idx="1">
                  <c:v>0.213739351667879</c:v>
                </c:pt>
                <c:pt idx="2">
                  <c:v>0.213739351667879</c:v>
                </c:pt>
                <c:pt idx="3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02504"/>
        <c:axId val="-2022596504"/>
      </c:barChart>
      <c:catAx>
        <c:axId val="-2023602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596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259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0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700312"/>
        <c:axId val="-2020202696"/>
      </c:barChart>
      <c:catAx>
        <c:axId val="-202270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02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20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0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0.648966113237034</c:v>
                </c:pt>
                <c:pt idx="2">
                  <c:v>0.642048942626822</c:v>
                </c:pt>
                <c:pt idx="3">
                  <c:v>0.471709271393945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95704"/>
        <c:axId val="-2020092328"/>
      </c:barChart>
      <c:catAx>
        <c:axId val="-202009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2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9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0.145005058077584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0.146342913540813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0.046458767535059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0.00112663037661343</c:v>
                </c:pt>
                <c:pt idx="3">
                  <c:v>0.00112663037661343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0.345257301104263</c:v>
                </c:pt>
                <c:pt idx="1">
                  <c:v>0.345257301104263</c:v>
                </c:pt>
                <c:pt idx="2">
                  <c:v>0.345257301104263</c:v>
                </c:pt>
                <c:pt idx="3">
                  <c:v>0.345257301104263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0.218492577343165</c:v>
                </c:pt>
                <c:pt idx="1">
                  <c:v>0.411294258419037</c:v>
                </c:pt>
                <c:pt idx="2">
                  <c:v>0.397341316709921</c:v>
                </c:pt>
                <c:pt idx="3">
                  <c:v>0.252336258632337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0136"/>
        <c:axId val="-2019986760"/>
      </c:barChart>
      <c:catAx>
        <c:axId val="-201999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86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98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9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609592"/>
        <c:axId val="-2021612728"/>
      </c:barChart>
      <c:catAx>
        <c:axId val="-202160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1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61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0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0.28606060606060607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22.200000000000003</v>
      </c>
      <c r="T12" s="221">
        <f>IF($B$81=0,0,(SUMIF($N$6:$N$28,$U12,M$6:M$28)+SUMIF($N$91:$N$118,$U12,M$91:M$118))*$I$83*Poor!$B$81/$B$81)</f>
        <v>22.200000000000003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26121.510312338145</v>
      </c>
      <c r="T23" s="179">
        <f>SUM(T7:T22)</f>
        <v>26121.510312338145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0.21373935166787894</v>
      </c>
      <c r="J30" s="230">
        <f>IF(I$32&lt;=1,I30,1-SUM(J6:J29))</f>
        <v>0.21373935166787894</v>
      </c>
      <c r="K30" s="22">
        <f t="shared" si="4"/>
        <v>0.79108621419676206</v>
      </c>
      <c r="L30" s="22">
        <f>IF(L124=L119,0,IF(K30="",0,(L119-L124)/(B119-B124)*K30))</f>
        <v>0.28479865908319002</v>
      </c>
      <c r="M30" s="175">
        <f t="shared" si="6"/>
        <v>0.21373935166787894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6440.3730679581749</v>
      </c>
      <c r="T30" s="233">
        <f t="shared" si="50"/>
        <v>6440.3730679581749</v>
      </c>
      <c r="V30" s="56"/>
      <c r="W30" s="110"/>
      <c r="X30" s="118"/>
      <c r="Y30" s="183">
        <f>M30*4</f>
        <v>0.85495740667151576</v>
      </c>
      <c r="Z30" s="122">
        <f>IF($Y30=0,0,AA30/($Y$30))</f>
        <v>0.25</v>
      </c>
      <c r="AA30" s="187">
        <f>IF(AA79*4/$I$83+SUM(AA6:AA29)&lt;1,AA79*4/$I$83,1-SUM(AA6:AA29))</f>
        <v>0.21373935166787894</v>
      </c>
      <c r="AB30" s="122">
        <f>IF($Y30=0,0,AC30/($Y$30))</f>
        <v>0.25</v>
      </c>
      <c r="AC30" s="187">
        <f>IF(AC79*4/$I$83+SUM(AC6:AC29)&lt;1,AC79*4/$I$83,1-SUM(AC6:AC29))</f>
        <v>0.21373935166787894</v>
      </c>
      <c r="AD30" s="122">
        <f>IF($Y30=0,0,AE30/($Y$30))</f>
        <v>0.25</v>
      </c>
      <c r="AE30" s="187">
        <f>IF(AE79*4/$I$83+SUM(AE6:AE29)&lt;1,AE79*4/$I$83,1-SUM(AE6:AE29))</f>
        <v>0.21373935166787894</v>
      </c>
      <c r="AF30" s="122">
        <f>IF($Y30=0,0,AG30/($Y$30))</f>
        <v>0.25</v>
      </c>
      <c r="AG30" s="187">
        <f>IF(AG79*4/$I$83+SUM(AG6:AG29)&lt;1,AG79*4/$I$83,1-SUM(AG6:AG29))</f>
        <v>0.21373935166787894</v>
      </c>
      <c r="AH30" s="123">
        <f t="shared" si="12"/>
        <v>1</v>
      </c>
      <c r="AI30" s="183">
        <f t="shared" si="13"/>
        <v>0.21373935166787894</v>
      </c>
      <c r="AJ30" s="120">
        <f t="shared" si="14"/>
        <v>0.21373935166787894</v>
      </c>
      <c r="AK30" s="119">
        <f t="shared" si="15"/>
        <v>0.21373935166787894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0.41670881677878557</v>
      </c>
      <c r="K31" s="22" t="str">
        <f t="shared" si="4"/>
        <v/>
      </c>
      <c r="L31" s="22">
        <f>(1-SUM(L6:L30))</f>
        <v>0.31571528704146157</v>
      </c>
      <c r="M31" s="178">
        <f t="shared" si="6"/>
        <v>0.41670881677878557</v>
      </c>
      <c r="N31" s="167">
        <f>M31*I83</f>
        <v>6440.3730679581786</v>
      </c>
      <c r="P31" s="22"/>
      <c r="Q31" s="237" t="s">
        <v>142</v>
      </c>
      <c r="R31" s="233">
        <f t="shared" si="50"/>
        <v>13134.231789828766</v>
      </c>
      <c r="S31" s="233">
        <f t="shared" si="50"/>
        <v>20227.493067958178</v>
      </c>
      <c r="T31" s="233">
        <f>IF(T25&gt;T$23,T25-T$23,0)</f>
        <v>20227.493067958178</v>
      </c>
      <c r="V31" s="56"/>
      <c r="W31" s="129" t="s">
        <v>84</v>
      </c>
      <c r="X31" s="130"/>
      <c r="Y31" s="121">
        <f>M31*4</f>
        <v>1.6668352671151423</v>
      </c>
      <c r="Z31" s="131"/>
      <c r="AA31" s="132">
        <f>1-AA32+IF($Y32&lt;0,$Y32/4,0)</f>
        <v>0.38642307643009322</v>
      </c>
      <c r="AB31" s="131"/>
      <c r="AC31" s="133">
        <f>1-AC32+IF($Y32&lt;0,$Y32/4,0)</f>
        <v>0.442576255342505</v>
      </c>
      <c r="AD31" s="134"/>
      <c r="AE31" s="133">
        <f>1-AE32+IF($Y32&lt;0,$Y32/4,0)</f>
        <v>0.442576255342505</v>
      </c>
      <c r="AF31" s="134"/>
      <c r="AG31" s="133">
        <f>1-AG32+IF($Y32&lt;0,$Y32/4,0)</f>
        <v>0.39525968000003919</v>
      </c>
      <c r="AH31" s="123"/>
      <c r="AI31" s="182">
        <f>SUM(AA31,AC31,AE31,AG31)/4</f>
        <v>0.41670881677878557</v>
      </c>
      <c r="AJ31" s="135">
        <f t="shared" si="14"/>
        <v>0.41449966588629911</v>
      </c>
      <c r="AK31" s="136">
        <f t="shared" si="15"/>
        <v>0.4189179676712721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0.58329118322121443</v>
      </c>
      <c r="J32" s="17"/>
      <c r="L32" s="22">
        <f>SUM(L6:L30)</f>
        <v>0.68428471295853843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44780.933067958191</v>
      </c>
      <c r="T32" s="233">
        <f t="shared" si="50"/>
        <v>44780.933067958191</v>
      </c>
      <c r="V32" s="56"/>
      <c r="W32" s="110"/>
      <c r="X32" s="118"/>
      <c r="Y32" s="115">
        <f>SUM(Y6:Y31)</f>
        <v>4</v>
      </c>
      <c r="Z32" s="137"/>
      <c r="AA32" s="138">
        <f>SUM(AA6:AA30)</f>
        <v>0.61357692356990678</v>
      </c>
      <c r="AB32" s="137"/>
      <c r="AC32" s="139">
        <f>SUM(AC6:AC30)</f>
        <v>0.557423744657495</v>
      </c>
      <c r="AD32" s="137"/>
      <c r="AE32" s="139">
        <f>SUM(AE6:AE30)</f>
        <v>0.557423744657495</v>
      </c>
      <c r="AF32" s="137"/>
      <c r="AG32" s="139">
        <f>SUM(AG6:AG30)</f>
        <v>0.60474031999996081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-3.3717875899146277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0.4</v>
      </c>
      <c r="F45" s="26">
        <v>1.18</v>
      </c>
      <c r="G45" s="22">
        <f t="shared" si="59"/>
        <v>1.65</v>
      </c>
      <c r="H45" s="24">
        <f t="shared" si="51"/>
        <v>0.47199999999999998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23859.599999999999</v>
      </c>
      <c r="J48" s="38">
        <f t="shared" si="53"/>
        <v>23859.600000000002</v>
      </c>
      <c r="K48" s="40">
        <f t="shared" si="54"/>
        <v>0.99802566633761103</v>
      </c>
      <c r="L48" s="22">
        <f t="shared" si="55"/>
        <v>1.177670286278381</v>
      </c>
      <c r="M48" s="24">
        <f t="shared" si="56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5964.9000000000005</v>
      </c>
      <c r="AB48" s="116">
        <v>0.25</v>
      </c>
      <c r="AC48" s="147">
        <f t="shared" si="65"/>
        <v>5964.9000000000005</v>
      </c>
      <c r="AD48" s="116">
        <v>0.25</v>
      </c>
      <c r="AE48" s="147">
        <f t="shared" si="66"/>
        <v>5964.9000000000005</v>
      </c>
      <c r="AF48" s="122">
        <f t="shared" si="57"/>
        <v>0.25</v>
      </c>
      <c r="AG48" s="147">
        <f t="shared" si="60"/>
        <v>5964.9000000000005</v>
      </c>
      <c r="AH48" s="123">
        <f t="shared" si="61"/>
        <v>1</v>
      </c>
      <c r="AI48" s="112">
        <f t="shared" si="61"/>
        <v>23859.600000000002</v>
      </c>
      <c r="AJ48" s="148">
        <f t="shared" si="62"/>
        <v>11929.800000000001</v>
      </c>
      <c r="AK48" s="147">
        <f t="shared" si="63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23881.8</v>
      </c>
      <c r="J65" s="39">
        <f>SUM(J37:J64)</f>
        <v>23881.800000000003</v>
      </c>
      <c r="K65" s="40">
        <f>SUM(K37:K64)</f>
        <v>1</v>
      </c>
      <c r="L65" s="22">
        <f>SUM(L37:L64)</f>
        <v>1.1787660414610068</v>
      </c>
      <c r="M65" s="24">
        <f>SUM(M37:M64)</f>
        <v>1.1787660414610071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5970.4500000000007</v>
      </c>
      <c r="AB65" s="137"/>
      <c r="AC65" s="153">
        <f>SUM(AC37:AC64)</f>
        <v>5970.4500000000007</v>
      </c>
      <c r="AD65" s="137"/>
      <c r="AE65" s="153">
        <f>SUM(AE37:AE64)</f>
        <v>5970.4500000000007</v>
      </c>
      <c r="AF65" s="137"/>
      <c r="AG65" s="153">
        <f>SUM(AG37:AG64)</f>
        <v>5970.4500000000007</v>
      </c>
      <c r="AH65" s="137"/>
      <c r="AI65" s="153">
        <f>SUM(AI37:AI64)</f>
        <v>23881.800000000003</v>
      </c>
      <c r="AJ65" s="153">
        <f>SUM(AJ37:AJ64)</f>
        <v>11940.900000000001</v>
      </c>
      <c r="AK65" s="153">
        <f>SUM(AK37:AK64)</f>
        <v>11940.900000000001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75">J124*I$83</f>
        <v>20578.387380402342</v>
      </c>
      <c r="K70" s="40">
        <f>B70/B$76</f>
        <v>0.72551076647871748</v>
      </c>
      <c r="L70" s="22">
        <f t="shared" ref="L70:L75" si="76">(L124*G$37*F$9/F$7)/B$130</f>
        <v>1.0157150730702043</v>
      </c>
      <c r="M70" s="24">
        <f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3303.4126195976605</v>
      </c>
      <c r="J71" s="51">
        <f t="shared" si="75"/>
        <v>3303.4126195976605</v>
      </c>
      <c r="K71" s="40">
        <f t="shared" ref="K71:K72" si="78">B71/B$76</f>
        <v>0.57670286278381044</v>
      </c>
      <c r="L71" s="22">
        <f t="shared" si="76"/>
        <v>0.16305096839080258</v>
      </c>
      <c r="M71" s="24">
        <f t="shared" ref="M71:M72" si="79">J71/B$76</f>
        <v>0.1630509683908026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3303.4126195976605</v>
      </c>
      <c r="J74" s="51">
        <f t="shared" si="75"/>
        <v>3303.4126195976605</v>
      </c>
      <c r="K74" s="40">
        <f>B74/B$76</f>
        <v>0.36574531095755181</v>
      </c>
      <c r="L74" s="22">
        <f t="shared" si="76"/>
        <v>0.21725852912697285</v>
      </c>
      <c r="M74" s="24">
        <f>J74/B$76</f>
        <v>0.1630509683908026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825.85315489941513</v>
      </c>
      <c r="AB74" s="156"/>
      <c r="AC74" s="147">
        <f>AC30*$I$83/4</f>
        <v>825.85315489941513</v>
      </c>
      <c r="AD74" s="156"/>
      <c r="AE74" s="147">
        <f>AE30*$I$83/4</f>
        <v>825.85315489941513</v>
      </c>
      <c r="AF74" s="156"/>
      <c r="AG74" s="147">
        <f>AG30*$I$83/4</f>
        <v>825.85315489941513</v>
      </c>
      <c r="AH74" s="155"/>
      <c r="AI74" s="147">
        <f>SUM(AA74,AC74,AE74,AG74)</f>
        <v>3303.4126195976605</v>
      </c>
      <c r="AJ74" s="148">
        <f>(AA74+AC74)</f>
        <v>1651.7063097988303</v>
      </c>
      <c r="AK74" s="147">
        <f>(AE74+AG74)</f>
        <v>1651.7063097988303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23881.800000000003</v>
      </c>
      <c r="J76" s="51">
        <f t="shared" si="75"/>
        <v>23881.800000000003</v>
      </c>
      <c r="K76" s="40">
        <f>SUM(K70:K75)</f>
        <v>2.711048772401718</v>
      </c>
      <c r="L76" s="22">
        <f>SUM(L70:L75)</f>
        <v>1.3960245705879797</v>
      </c>
      <c r="M76" s="24">
        <f>SUM(M70:M75)</f>
        <v>1.3418170098518096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5970.4500000000007</v>
      </c>
      <c r="AB76" s="137"/>
      <c r="AC76" s="153">
        <f>AC65</f>
        <v>5970.4500000000007</v>
      </c>
      <c r="AD76" s="137"/>
      <c r="AE76" s="153">
        <f>AE65</f>
        <v>5970.4500000000007</v>
      </c>
      <c r="AF76" s="137"/>
      <c r="AG76" s="153">
        <f>AG65</f>
        <v>5970.4500000000007</v>
      </c>
      <c r="AH76" s="137"/>
      <c r="AI76" s="153">
        <f>SUM(AA76,AC76,AE76,AG76)</f>
        <v>23881.800000000003</v>
      </c>
      <c r="AJ76" s="154">
        <f>SUM(AA76,AC76)</f>
        <v>11940.900000000001</v>
      </c>
      <c r="AK76" s="154">
        <f>SUM(AE76,AG76)</f>
        <v>11940.900000000001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13787.119999999995</v>
      </c>
      <c r="J77" s="100">
        <f t="shared" si="75"/>
        <v>13787.119999999995</v>
      </c>
      <c r="K77" s="40"/>
      <c r="L77" s="22">
        <f>-(L131*G$37*F$9/F$7)/B$130</f>
        <v>-0.68050937808489609</v>
      </c>
      <c r="M77" s="24">
        <f>-J77/B$76</f>
        <v>-0.68050937808489609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1493.0742247764076</v>
      </c>
      <c r="AB77" s="112"/>
      <c r="AC77" s="111">
        <f>AC31*$I$83/4</f>
        <v>1710.0407290750907</v>
      </c>
      <c r="AD77" s="112"/>
      <c r="AE77" s="111">
        <f>AE31*$I$83/4</f>
        <v>1710.0407290750907</v>
      </c>
      <c r="AF77" s="112"/>
      <c r="AG77" s="111">
        <f>AG31*$I$83/4</f>
        <v>1527.2173850315905</v>
      </c>
      <c r="AH77" s="110"/>
      <c r="AI77" s="154">
        <f>SUM(AA77,AC77,AE77,AG77)</f>
        <v>6440.3730679581795</v>
      </c>
      <c r="AJ77" s="153">
        <f>SUM(AA77,AC77)</f>
        <v>3203.1149538514983</v>
      </c>
      <c r="AK77" s="160">
        <f>SUM(AE77,AG77)</f>
        <v>3237.2581141066812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825.85315489941513</v>
      </c>
      <c r="AB79" s="112"/>
      <c r="AC79" s="112">
        <f>AA79-AA74+AC65-AC70</f>
        <v>825.85315489941513</v>
      </c>
      <c r="AD79" s="112"/>
      <c r="AE79" s="112">
        <f>AC79-AC74+AE65-AE70</f>
        <v>825.85315489941513</v>
      </c>
      <c r="AF79" s="112"/>
      <c r="AG79" s="112">
        <f>AE79-AE74+AG65-AG70</f>
        <v>825.85315489941513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0.28606060606060607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0.7151515151515152</v>
      </c>
      <c r="I102" s="22">
        <f t="shared" si="88"/>
        <v>1.5437779116058616</v>
      </c>
      <c r="J102" s="24">
        <f t="shared" si="89"/>
        <v>1.5437779116058616</v>
      </c>
      <c r="K102" s="22">
        <f t="shared" si="90"/>
        <v>2.1586725035166707</v>
      </c>
      <c r="L102" s="22">
        <f t="shared" si="91"/>
        <v>1.5437779116058616</v>
      </c>
      <c r="M102" s="226">
        <f t="shared" si="9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1.5452143090994344</v>
      </c>
      <c r="J119" s="24">
        <f>SUM(J91:J118)</f>
        <v>1.5452143090994344</v>
      </c>
      <c r="K119" s="22">
        <f>SUM(K91:K118)</f>
        <v>2.1629428744435089</v>
      </c>
      <c r="L119" s="22">
        <f>SUM(L91:L118)</f>
        <v>1.5452143090994344</v>
      </c>
      <c r="M119" s="57">
        <f t="shared" si="80"/>
        <v>1.5452143090994344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>(B124)</f>
        <v>1.5692383426871903</v>
      </c>
      <c r="L124" s="29">
        <f>IF(SUMPRODUCT($B$124:$B124,$H$124:$H124)&lt;L$119,($B124*$H124),L$119)</f>
        <v>1.3314749574315554</v>
      </c>
      <c r="M124" s="239">
        <f t="shared" si="93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0.21373935166787894</v>
      </c>
      <c r="J125" s="236">
        <f>IF(SUMPRODUCT($B$124:$B125,$H$124:$H125)&lt;J$119,($B125*$H125),IF(SUMPRODUCT($B$124:$B124,$H$124:$H124)&lt;J$119,J$119-SUMPRODUCT($B$124:$B124,$H$124:$H124),0))</f>
        <v>0.21373935166787894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0.21373935166787894</v>
      </c>
      <c r="M125" s="239">
        <f t="shared" si="93"/>
        <v>0.21373935166787894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0.21373935166787894</v>
      </c>
      <c r="J128" s="227">
        <f>(J30)</f>
        <v>0.21373935166787894</v>
      </c>
      <c r="K128" s="29">
        <f>(B128)</f>
        <v>0.79108621419676206</v>
      </c>
      <c r="L128" s="29">
        <f>IF(L124=L119,0,(L119-L124)/(B119-B124)*K128)</f>
        <v>0.28479865908319002</v>
      </c>
      <c r="M128" s="239">
        <f t="shared" si="93"/>
        <v>0.21373935166787894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1.5452143090994344</v>
      </c>
      <c r="J130" s="227">
        <f>(J119)</f>
        <v>1.5452143090994344</v>
      </c>
      <c r="K130" s="29">
        <f>(B130)</f>
        <v>2.1629428744435089</v>
      </c>
      <c r="L130" s="29">
        <f>(L119)</f>
        <v>1.5452143090994344</v>
      </c>
      <c r="M130" s="239">
        <f t="shared" si="93"/>
        <v>1.5452143090994344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0.89206236989133925</v>
      </c>
      <c r="J131" s="236">
        <f>IF(SUMPRODUCT($B124:$B125,$H124:$H125)&gt;(J119-J128),SUMPRODUCT($B124:$B125,$H124:$H125)+J128-J119,0)</f>
        <v>0.89206236989133925</v>
      </c>
      <c r="K131" s="29"/>
      <c r="L131" s="29">
        <f>IF(I131&lt;SUM(L126:L127),0,I131-(SUM(L126:L127)))</f>
        <v>0.89206236989133925</v>
      </c>
      <c r="M131" s="236">
        <f>IF(I131&lt;SUM(M126:M127),0,I131-(SUM(M126:M127)))</f>
        <v>0.89206236989133925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243.7644587246663</v>
      </c>
      <c r="T12" s="221">
        <f>IF($B$81=0,0,(SUMIF($N$6:$N$28,$U12,M$6:M$28)+SUMIF($N$91:$N$118,$U12,M$91:M$118))*$I$83*Poor!$B$81/$B$81)</f>
        <v>243.7644587246663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164.54100963914979</v>
      </c>
      <c r="T13" s="221">
        <f>IF($B$81=0,0,(SUMIF($N$6:$N$28,$U13,M$6:M$28)+SUMIF($N$91:$N$118,$U13,M$91:M$118))*$I$83*Poor!$B$81/$B$81)</f>
        <v>164.54100963914979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40593.706661764692</v>
      </c>
      <c r="T23" s="179">
        <f>SUM(T7:T22)</f>
        <v>41778.308135085419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1.1524315839766988</v>
      </c>
      <c r="J30" s="230">
        <f>IF(I$32&lt;=1,I30,1-SUM(J6:J29))</f>
        <v>0.55610503363969066</v>
      </c>
      <c r="K30" s="22">
        <f t="shared" si="4"/>
        <v>0.62129400747198005</v>
      </c>
      <c r="L30" s="22">
        <f>IF(L124=L119,0,IF(K30="",0,(L119-L124)/(B119-B124)*K30))</f>
        <v>0.30375650422375483</v>
      </c>
      <c r="M30" s="175">
        <f t="shared" si="6"/>
        <v>0.55610503363969066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2.2244201345587626</v>
      </c>
      <c r="Z30" s="122">
        <f>IF($Y30=0,0,AA30/($Y$30))</f>
        <v>0.2075578260275652</v>
      </c>
      <c r="AA30" s="187">
        <f>IF(AA79*4/$I$84+SUM(AA6:AA29)&lt;1,AA79*4/$I$84,1-SUM(AA6:AA29))</f>
        <v>0.46169580730096083</v>
      </c>
      <c r="AB30" s="122">
        <f>IF($Y30=0,0,AC30/($Y$30))</f>
        <v>0.29174619630286847</v>
      </c>
      <c r="AC30" s="187">
        <f>IF(AC79*4/$I$84+SUM(AC6:AC29)&lt;1,AC79*4/$I$84,1-SUM(AC6:AC29))</f>
        <v>0.6489661132370339</v>
      </c>
      <c r="AD30" s="122">
        <f>IF($Y30=0,0,AE30/($Y$30))</f>
        <v>0.28863654516154585</v>
      </c>
      <c r="AE30" s="187">
        <f>IF(AE79*4/$I$84+SUM(AE6:AE29)&lt;1,AE79*4/$I$84,1-SUM(AE6:AE29))</f>
        <v>0.64204894262682222</v>
      </c>
      <c r="AF30" s="122">
        <f>IF($Y30=0,0,AG30/($Y$30))</f>
        <v>0.21205943250802034</v>
      </c>
      <c r="AG30" s="187">
        <f>IF(AG79*4/$I$84+SUM(AG6:AG29)&lt;1,AG79*4/$I$84,1-SUM(AG6:AG29))</f>
        <v>0.47170927139394547</v>
      </c>
      <c r="AH30" s="123">
        <f t="shared" si="12"/>
        <v>0.99999999999999978</v>
      </c>
      <c r="AI30" s="183">
        <f t="shared" si="13"/>
        <v>0.55610503363969066</v>
      </c>
      <c r="AJ30" s="120">
        <f t="shared" si="14"/>
        <v>0.55533096026899731</v>
      </c>
      <c r="AK30" s="119">
        <f t="shared" si="15"/>
        <v>0.55687910701038379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0.17308847093784152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5755.2967185316302</v>
      </c>
      <c r="T31" s="233">
        <f>IF(T25&gt;T$23,T25-T$23,0)</f>
        <v>4570.6952452109035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1.5963265503370081</v>
      </c>
      <c r="J32" s="17"/>
      <c r="L32" s="22">
        <f>SUM(L6:L30)</f>
        <v>0.82691152906215848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30308.736718531625</v>
      </c>
      <c r="T32" s="233">
        <f t="shared" si="24"/>
        <v>29124.135245210899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0.30831433152308302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4570.6952452109035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0.46631835879316141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825.38349506389568</v>
      </c>
      <c r="AD37" s="122">
        <f>IF($J37=0,0,AE37/($J37))</f>
        <v>0.4299656118972825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761.03913305819003</v>
      </c>
      <c r="AF37" s="122">
        <f t="shared" ref="AF37:AF64" si="29">1-SUM(Z37,AB37,AD37)</f>
        <v>0.10371602930955603</v>
      </c>
      <c r="AG37" s="147">
        <f>$J37*AF37</f>
        <v>183.57737187791417</v>
      </c>
      <c r="AH37" s="123">
        <f>SUM(Z37,AB37,AD37,AF37)</f>
        <v>1</v>
      </c>
      <c r="AI37" s="112">
        <f>SUM(AA37,AC37,AE37,AG37)</f>
        <v>1770</v>
      </c>
      <c r="AJ37" s="148">
        <f>(AA37+AC37)</f>
        <v>825.38349506389568</v>
      </c>
      <c r="AK37" s="147">
        <f>(AE37+AG37)</f>
        <v>944.61650493610421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0.46631835879316141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1513.2030742838087</v>
      </c>
      <c r="AD38" s="122">
        <f>IF($J38=0,0,AE38/($J38))</f>
        <v>0.4299656118972825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1395.2384106066818</v>
      </c>
      <c r="AF38" s="122">
        <f t="shared" si="29"/>
        <v>0.10371602930955603</v>
      </c>
      <c r="AG38" s="147">
        <f t="shared" ref="AG38:AG64" si="36">$J38*AF38</f>
        <v>336.55851510950936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1513.2030742838087</v>
      </c>
      <c r="AK38" s="147">
        <f t="shared" ref="AK38:AK64" si="39">(AE38+AG38)</f>
        <v>1731.7969257161913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23859.599999999999</v>
      </c>
      <c r="J48" s="38">
        <f t="shared" si="32"/>
        <v>23859.600000000002</v>
      </c>
      <c r="K48" s="40">
        <f t="shared" si="33"/>
        <v>0.5673082318612872</v>
      </c>
      <c r="L48" s="22">
        <f t="shared" si="34"/>
        <v>0.66942371359631891</v>
      </c>
      <c r="M48" s="24">
        <f t="shared" si="35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5964.9000000000005</v>
      </c>
      <c r="AB48" s="156">
        <f>Poor!AB48</f>
        <v>0.25</v>
      </c>
      <c r="AC48" s="147">
        <f t="shared" si="41"/>
        <v>5964.9000000000005</v>
      </c>
      <c r="AD48" s="156">
        <f>Poor!AD48</f>
        <v>0.25</v>
      </c>
      <c r="AE48" s="147">
        <f t="shared" si="42"/>
        <v>5964.9000000000005</v>
      </c>
      <c r="AF48" s="122">
        <f t="shared" si="29"/>
        <v>0.25</v>
      </c>
      <c r="AG48" s="147">
        <f t="shared" si="36"/>
        <v>5964.9000000000005</v>
      </c>
      <c r="AH48" s="123">
        <f t="shared" si="37"/>
        <v>1</v>
      </c>
      <c r="AI48" s="112">
        <f t="shared" si="37"/>
        <v>23859.600000000002</v>
      </c>
      <c r="AJ48" s="148">
        <f t="shared" si="38"/>
        <v>11929.800000000001</v>
      </c>
      <c r="AK48" s="147">
        <f t="shared" si="39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38389.599999999999</v>
      </c>
      <c r="J65" s="39">
        <f>SUM(J37:J64)</f>
        <v>38389.600000000006</v>
      </c>
      <c r="K65" s="40">
        <f>SUM(K37:K64)</f>
        <v>1</v>
      </c>
      <c r="L65" s="22">
        <f>SUM(L37:L64)</f>
        <v>1.0513787105100723</v>
      </c>
      <c r="M65" s="24">
        <f>SUM(M37:M64)</f>
        <v>1.0770888277874417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8918.9000000000015</v>
      </c>
      <c r="AB65" s="137"/>
      <c r="AC65" s="153">
        <f>SUM(AC37:AC64)</f>
        <v>10427.486569347704</v>
      </c>
      <c r="AD65" s="137"/>
      <c r="AE65" s="153">
        <f>SUM(AE37:AE64)</f>
        <v>10371.177543664871</v>
      </c>
      <c r="AF65" s="137"/>
      <c r="AG65" s="153">
        <f>SUM(AG37:AG64)</f>
        <v>8672.0358869874253</v>
      </c>
      <c r="AH65" s="137"/>
      <c r="AI65" s="153">
        <f>SUM(AI37:AI64)</f>
        <v>38389.600000000006</v>
      </c>
      <c r="AJ65" s="153">
        <f>SUM(AJ37:AJ64)</f>
        <v>19346.386569347706</v>
      </c>
      <c r="AK65" s="153">
        <f>SUM(AK37:AK64)</f>
        <v>19043.213430652297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4">J124*I$83</f>
        <v>20578.387380402342</v>
      </c>
      <c r="K70" s="40">
        <f>B70/B$76</f>
        <v>0.41240245016718524</v>
      </c>
      <c r="L70" s="22">
        <f t="shared" ref="L70:L75" si="45">(L124*G$37*F$9/F$7)/B$130</f>
        <v>0.57736343023405934</v>
      </c>
      <c r="M70" s="24">
        <f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</v>
      </c>
      <c r="J71" s="51">
        <f t="shared" si="44"/>
        <v>13787.12</v>
      </c>
      <c r="K71" s="40">
        <f t="shared" ref="K71:K72" si="47">B71/B$76</f>
        <v>0.32781549856910386</v>
      </c>
      <c r="L71" s="22">
        <f t="shared" si="45"/>
        <v>0.38682228831154253</v>
      </c>
      <c r="M71" s="24">
        <f t="shared" ref="M71:M72" si="48">J71/B$76</f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17811.21261959766</v>
      </c>
      <c r="J74" s="51">
        <f t="shared" si="44"/>
        <v>8594.7878648085625</v>
      </c>
      <c r="K74" s="40">
        <f>B74/B$76</f>
        <v>0.1632786836682012</v>
      </c>
      <c r="L74" s="22">
        <f t="shared" si="45"/>
        <v>0.13171700771063799</v>
      </c>
      <c r="M74" s="24">
        <f>J74/B$76</f>
        <v>0.24114213188958428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5282.8897242471194</v>
      </c>
      <c r="AD74" s="156"/>
      <c r="AE74" s="147">
        <f>AE30*$I$84/4</f>
        <v>5226.5806985642876</v>
      </c>
      <c r="AF74" s="156"/>
      <c r="AG74" s="147">
        <f>AG30*$I$84/4</f>
        <v>3839.9355711335502</v>
      </c>
      <c r="AH74" s="155"/>
      <c r="AI74" s="147">
        <f>SUM(AA74,AC74,AE74,AG74)</f>
        <v>18107.827252571369</v>
      </c>
      <c r="AJ74" s="148">
        <f>(AA74+AC74)</f>
        <v>9041.3109828735323</v>
      </c>
      <c r="AK74" s="147">
        <f>(AE74+AG74)</f>
        <v>9066.5162696978368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1720.715101021719</v>
      </c>
      <c r="AB75" s="158"/>
      <c r="AC75" s="149">
        <f>AA75+AC65-SUM(AC70,AC74)</f>
        <v>1720.7151010217185</v>
      </c>
      <c r="AD75" s="158"/>
      <c r="AE75" s="149">
        <f>AC75+AE65-SUM(AE70,AE74)</f>
        <v>1720.7151010217167</v>
      </c>
      <c r="AF75" s="158"/>
      <c r="AG75" s="149">
        <f>IF(SUM(AG6:AG29)+((AG65-AG70-$J$75)*4/I$83)&lt;1,0,AG65-AG70-$J$75-(1-SUM(AG6:AG29))*I$83/4)</f>
        <v>1704.8332047487161</v>
      </c>
      <c r="AH75" s="134"/>
      <c r="AI75" s="149">
        <f>AI76-SUM(AI70,AI74)</f>
        <v>-296.61463297370938</v>
      </c>
      <c r="AJ75" s="151">
        <f>AJ76-SUM(AJ70,AJ74)</f>
        <v>15.881896273000166</v>
      </c>
      <c r="AK75" s="149">
        <f>AJ75+AK76-SUM(AK70,AK74)</f>
        <v>-296.61463297371301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38389.600000000006</v>
      </c>
      <c r="J76" s="51">
        <f t="shared" si="44"/>
        <v>38389.600000000006</v>
      </c>
      <c r="K76" s="40">
        <f>SUM(K70:K75)</f>
        <v>1.5108699560114709</v>
      </c>
      <c r="L76" s="22">
        <f>SUM(L70:L75)</f>
        <v>1.0959027262562397</v>
      </c>
      <c r="M76" s="24">
        <f>SUM(M70:M75)</f>
        <v>1.2053278504351863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8918.9000000000015</v>
      </c>
      <c r="AB76" s="137"/>
      <c r="AC76" s="153">
        <f>AC65</f>
        <v>10427.486569347704</v>
      </c>
      <c r="AD76" s="137"/>
      <c r="AE76" s="153">
        <f>AE65</f>
        <v>10371.177543664871</v>
      </c>
      <c r="AF76" s="137"/>
      <c r="AG76" s="153">
        <f>AG65</f>
        <v>8672.0358869874253</v>
      </c>
      <c r="AH76" s="137"/>
      <c r="AI76" s="153">
        <f>SUM(AA76,AC76,AE76,AG76)</f>
        <v>38389.600000000006</v>
      </c>
      <c r="AJ76" s="154">
        <f>SUM(AA76,AC76)</f>
        <v>19346.386569347706</v>
      </c>
      <c r="AK76" s="154">
        <f>SUM(AE76,AG76)</f>
        <v>19043.213430652297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4"/>
        <v>4570.6952452109035</v>
      </c>
      <c r="K77" s="40"/>
      <c r="L77" s="22">
        <f>-(L131*G$37*F$9/F$7)/B$130</f>
        <v>-0.38682228831154275</v>
      </c>
      <c r="M77" s="24">
        <f>-J77/B$76</f>
        <v>-0.12823902264774434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1704.8332047487161</v>
      </c>
      <c r="AB78" s="112"/>
      <c r="AC78" s="112">
        <f>IF(AA75&lt;0,0,AA75)</f>
        <v>1720.715101021719</v>
      </c>
      <c r="AD78" s="112"/>
      <c r="AE78" s="112">
        <f>AC75</f>
        <v>1720.7151010217185</v>
      </c>
      <c r="AF78" s="112"/>
      <c r="AG78" s="112">
        <f>AE75</f>
        <v>1720.7151010217167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5479.1363596481315</v>
      </c>
      <c r="AB79" s="112"/>
      <c r="AC79" s="112">
        <f>AA79-AA74+AC65-AC70</f>
        <v>7003.604825268837</v>
      </c>
      <c r="AD79" s="112"/>
      <c r="AE79" s="112">
        <f>AC79-AC74+AE65-AE70</f>
        <v>6947.2957995860024</v>
      </c>
      <c r="AF79" s="112"/>
      <c r="AG79" s="112">
        <f>AE79-AE74+AG65-AG70</f>
        <v>5248.1541429085546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0.28606060606060607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0.7151515151515152</v>
      </c>
      <c r="I102" s="22">
        <f t="shared" si="58"/>
        <v>1.5437779116058616</v>
      </c>
      <c r="J102" s="24">
        <f t="shared" si="59"/>
        <v>1.5437779116058616</v>
      </c>
      <c r="K102" s="22">
        <f t="shared" si="60"/>
        <v>2.1586725035166707</v>
      </c>
      <c r="L102" s="22">
        <f t="shared" si="61"/>
        <v>1.5437779116058616</v>
      </c>
      <c r="M102" s="226">
        <f t="shared" si="6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2.4839065414082544</v>
      </c>
      <c r="J119" s="24">
        <f>SUM(J91:J118)</f>
        <v>2.4839065414082544</v>
      </c>
      <c r="K119" s="22">
        <f>SUM(K91:K118)</f>
        <v>3.8051140143591087</v>
      </c>
      <c r="L119" s="22">
        <f>SUM(L91:L118)</f>
        <v>2.4246156762185969</v>
      </c>
      <c r="M119" s="57">
        <f t="shared" si="49"/>
        <v>2.4839065414082544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63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65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1.1524315839766988</v>
      </c>
      <c r="J128" s="227">
        <f>(J30)</f>
        <v>0.55610503363969066</v>
      </c>
      <c r="K128" s="22">
        <f>(B128)</f>
        <v>0.62129400747198005</v>
      </c>
      <c r="L128" s="22">
        <f>IF(L124=L119,0,(L119-L124)/(B119-B124)*K128)</f>
        <v>0.30375650422375483</v>
      </c>
      <c r="M128" s="57">
        <f t="shared" si="63"/>
        <v>0.55610503363969066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2.4839065414082544</v>
      </c>
      <c r="J130" s="227">
        <f>(J119)</f>
        <v>2.4839065414082544</v>
      </c>
      <c r="K130" s="22">
        <f>(B130)</f>
        <v>3.8051140143591087</v>
      </c>
      <c r="L130" s="22">
        <f>(L119)</f>
        <v>2.4246156762185969</v>
      </c>
      <c r="M130" s="57">
        <f t="shared" si="63"/>
        <v>2.4839065414082544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0.29573581955433159</v>
      </c>
      <c r="K131" s="29"/>
      <c r="L131" s="29">
        <f>IF(I131&lt;SUM(L126:L127),0,I131-(SUM(L126:L127)))</f>
        <v>0.89206236989133991</v>
      </c>
      <c r="M131" s="236">
        <f>IF(I131&lt;SUM(M126:M127),0,I131-(SUM(M126:M127)))</f>
        <v>0.89206236989133991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3.6251264519395941E-2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3.6251264519395941E-2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1305.2288177127973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0.14500505807758376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0.14500505807758376</v>
      </c>
      <c r="AH7" s="123">
        <f t="shared" ref="AH7:AH30" si="12">SUM(Z7,AB7,AD7,AF7)</f>
        <v>1</v>
      </c>
      <c r="AI7" s="183">
        <f t="shared" ref="AI7:AI30" si="13">SUM(AA7,AC7,AE7,AG7)/4</f>
        <v>3.6251264519395941E-2</v>
      </c>
      <c r="AJ7" s="120">
        <f t="shared" ref="AJ7:AJ31" si="14">(AA7+AC7)/2</f>
        <v>0</v>
      </c>
      <c r="AK7" s="119">
        <f t="shared" ref="AK7:AK31" si="15">(AE7+AG7)/2</f>
        <v>7.2502529038791882E-2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3.6585728385203319E-2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3.6585728385203319E-2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966.23284328930515</v>
      </c>
      <c r="U8" s="222">
        <v>2</v>
      </c>
      <c r="V8" s="56"/>
      <c r="W8" s="115"/>
      <c r="X8" s="118">
        <f>Poor!X8</f>
        <v>1</v>
      </c>
      <c r="Y8" s="183">
        <f t="shared" si="9"/>
        <v>0.14634291354081327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0.14634291354081327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3.6585728385203319E-2</v>
      </c>
      <c r="AJ8" s="120">
        <f t="shared" si="14"/>
        <v>7.3171456770406637E-2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1.1614691883764754E-2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1.1614691883764754E-2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4.6458767535059016E-2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4.6458767535059016E-2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1.1614691883764754E-2</v>
      </c>
      <c r="AJ9" s="120">
        <f t="shared" si="14"/>
        <v>2.3229383767529508E-2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13526.23902266014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28320</v>
      </c>
      <c r="T13" s="221">
        <f>IF($B$81=0,0,(SUMIF($N$6:$N$28,$U13,M$6:M$28)+SUMIF($N$91:$N$118,$U13,M$91:M$118))*$I$83*Poor!$B$81/$B$81)</f>
        <v>28320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23139.182791550735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83231.953677108977</v>
      </c>
      <c r="T23" s="179">
        <f>SUM(T7:T22)</f>
        <v>83355.025504377598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0.22982048468591534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0.22982048468591534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0.91928193874366138</v>
      </c>
      <c r="Z27" s="156">
        <f>Poor!Z27</f>
        <v>0.25</v>
      </c>
      <c r="AA27" s="121">
        <f t="shared" si="16"/>
        <v>0.22982048468591534</v>
      </c>
      <c r="AB27" s="156">
        <f>Poor!AB27</f>
        <v>0.25</v>
      </c>
      <c r="AC27" s="121">
        <f t="shared" si="7"/>
        <v>0.22982048468591534</v>
      </c>
      <c r="AD27" s="156">
        <f>Poor!AD27</f>
        <v>0.25</v>
      </c>
      <c r="AE27" s="121">
        <f t="shared" si="8"/>
        <v>0.22982048468591534</v>
      </c>
      <c r="AF27" s="122">
        <f t="shared" si="10"/>
        <v>0.25</v>
      </c>
      <c r="AG27" s="121">
        <f t="shared" si="11"/>
        <v>0.22982048468591534</v>
      </c>
      <c r="AH27" s="123">
        <f t="shared" si="12"/>
        <v>1</v>
      </c>
      <c r="AI27" s="183">
        <f t="shared" si="13"/>
        <v>0.22982048468591534</v>
      </c>
      <c r="AJ27" s="120">
        <f t="shared" si="14"/>
        <v>0.22982048468591534</v>
      </c>
      <c r="AK27" s="119">
        <f t="shared" si="15"/>
        <v>0.22982048468591534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5.6331518830671624E-4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5.6331518830671624E-4</v>
      </c>
      <c r="N28" s="228"/>
      <c r="O28" s="2"/>
      <c r="P28" s="22"/>
      <c r="V28" s="56"/>
      <c r="W28" s="110"/>
      <c r="X28" s="118"/>
      <c r="Y28" s="183">
        <f t="shared" si="9"/>
        <v>2.253260753226865E-3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1.1266303766134325E-3</v>
      </c>
      <c r="AF28" s="122">
        <f t="shared" si="10"/>
        <v>0.5</v>
      </c>
      <c r="AG28" s="121">
        <f t="shared" si="11"/>
        <v>1.1266303766134325E-3</v>
      </c>
      <c r="AH28" s="123">
        <f t="shared" si="12"/>
        <v>1</v>
      </c>
      <c r="AI28" s="183">
        <f t="shared" si="13"/>
        <v>5.6331518830671624E-4</v>
      </c>
      <c r="AJ28" s="120">
        <f t="shared" si="14"/>
        <v>0</v>
      </c>
      <c r="AK28" s="119">
        <f t="shared" si="15"/>
        <v>1.1266303766134325E-3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0.34525730110426267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0.34525730110426267</v>
      </c>
      <c r="N29" s="228"/>
      <c r="P29" s="22"/>
      <c r="V29" s="56"/>
      <c r="W29" s="110"/>
      <c r="X29" s="118"/>
      <c r="Y29" s="183">
        <f t="shared" si="9"/>
        <v>1.3810292044170507</v>
      </c>
      <c r="Z29" s="156">
        <f>Poor!Z29</f>
        <v>0.25</v>
      </c>
      <c r="AA29" s="121">
        <f t="shared" si="16"/>
        <v>0.34525730110426267</v>
      </c>
      <c r="AB29" s="156">
        <f>Poor!AB29</f>
        <v>0.25</v>
      </c>
      <c r="AC29" s="121">
        <f t="shared" si="7"/>
        <v>0.34525730110426267</v>
      </c>
      <c r="AD29" s="156">
        <f>Poor!AD29</f>
        <v>0.25</v>
      </c>
      <c r="AE29" s="121">
        <f t="shared" si="8"/>
        <v>0.34525730110426267</v>
      </c>
      <c r="AF29" s="122">
        <f t="shared" si="10"/>
        <v>0.25</v>
      </c>
      <c r="AG29" s="121">
        <f t="shared" si="11"/>
        <v>0.34525730110426267</v>
      </c>
      <c r="AH29" s="123">
        <f t="shared" si="12"/>
        <v>1</v>
      </c>
      <c r="AI29" s="183">
        <f t="shared" si="13"/>
        <v>0.34525730110426267</v>
      </c>
      <c r="AJ29" s="120">
        <f t="shared" si="14"/>
        <v>0.34525730110426267</v>
      </c>
      <c r="AK29" s="119">
        <f t="shared" si="15"/>
        <v>0.34525730110426267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4.2947646197135905</v>
      </c>
      <c r="J30" s="230">
        <f>IF(I$32&lt;=1,I30,1-SUM(J6:J29))</f>
        <v>0.31986610277611516</v>
      </c>
      <c r="K30" s="22">
        <f t="shared" si="4"/>
        <v>0.73023944458281442</v>
      </c>
      <c r="L30" s="22">
        <f>IF(L124=L119,0,IF(K30="",0,(L119-L124)/(B119-B124)*K30))</f>
        <v>0.2366269222033624</v>
      </c>
      <c r="M30" s="175">
        <f t="shared" si="6"/>
        <v>0.31986610277611516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1.2794644111044606</v>
      </c>
      <c r="Z30" s="122">
        <f>IF($Y30=0,0,AA30/($Y$30))</f>
        <v>0.17076878062951184</v>
      </c>
      <c r="AA30" s="187">
        <f>IF(AA79*4/$I$83+SUM(AA6:AA29)&lt;1,AA79*4/$I$83,1-SUM(AA6:AA29))</f>
        <v>0.21849257734316518</v>
      </c>
      <c r="AB30" s="122">
        <f>IF($Y30=0,0,AC30/($Y$30))</f>
        <v>0.32145814674438628</v>
      </c>
      <c r="AC30" s="187">
        <f>IF(AC79*4/$I$83+SUM(AC6:AC29)&lt;1,AC79*4/$I$83,1-SUM(AC6:AC29))</f>
        <v>0.41129425841903744</v>
      </c>
      <c r="AD30" s="122">
        <f>IF($Y30=0,0,AE30/($Y$30))</f>
        <v>0.31055284794277904</v>
      </c>
      <c r="AE30" s="187">
        <f>IF(AE79*4/$I$83+SUM(AE6:AE29)&lt;1,AE79*4/$I$83,1-SUM(AE6:AE29))</f>
        <v>0.3973413167099209</v>
      </c>
      <c r="AF30" s="122">
        <f>IF($Y30=0,0,AG30/($Y$30))</f>
        <v>0.19722022468332287</v>
      </c>
      <c r="AG30" s="187">
        <f>IF(AG79*4/$I$83+SUM(AG6:AG29)&lt;1,AG79*4/$I$83,1-SUM(AG6:AG29))</f>
        <v>0.25233625863233711</v>
      </c>
      <c r="AH30" s="123">
        <f t="shared" si="12"/>
        <v>1</v>
      </c>
      <c r="AI30" s="183">
        <f t="shared" si="13"/>
        <v>0.31986610277611516</v>
      </c>
      <c r="AJ30" s="120">
        <f t="shared" si="14"/>
        <v>0.31489341788110131</v>
      </c>
      <c r="AK30" s="119">
        <f t="shared" si="15"/>
        <v>0.324838787671129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7.6058039772561425E-2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4.6484462089316354</v>
      </c>
      <c r="J32" s="17"/>
      <c r="L32" s="22">
        <f>SUM(L6:L30)</f>
        <v>0.92394196022743857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2.1524043305281591E-2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1431.2390226601394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1.1105508162156323E-2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1431.2390226601394</v>
      </c>
      <c r="AH38" s="123">
        <f t="shared" ref="AH38:AI58" si="35">SUM(Z38,AB38,AD38,AF38)</f>
        <v>1</v>
      </c>
      <c r="AI38" s="112">
        <f t="shared" si="35"/>
        <v>1431.2390226601394</v>
      </c>
      <c r="AJ38" s="148">
        <f t="shared" ref="AJ38:AJ64" si="36">(AA38+AC38)</f>
        <v>0</v>
      </c>
      <c r="AK38" s="147">
        <f t="shared" ref="AK38:AK64" si="37">(AE38+AG38)</f>
        <v>1431.2390226601394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364.31595295614454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2.8268610100068248E-3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364.31595295614454</v>
      </c>
      <c r="AH41" s="123">
        <f t="shared" si="35"/>
        <v>1</v>
      </c>
      <c r="AI41" s="112">
        <f t="shared" si="35"/>
        <v>364.31595295614454</v>
      </c>
      <c r="AJ41" s="148">
        <f t="shared" si="36"/>
        <v>0</v>
      </c>
      <c r="AK41" s="147">
        <f t="shared" si="37"/>
        <v>364.31595295614454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569.04009818821817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4.415390689444687E-3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142.26002454705454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284.52004909410908</v>
      </c>
      <c r="AF42" s="122">
        <f t="shared" si="31"/>
        <v>0.25</v>
      </c>
      <c r="AG42" s="147">
        <f t="shared" si="34"/>
        <v>142.26002454705454</v>
      </c>
      <c r="AH42" s="123">
        <f t="shared" si="35"/>
        <v>1</v>
      </c>
      <c r="AI42" s="112">
        <f t="shared" si="35"/>
        <v>569.04009818821817</v>
      </c>
      <c r="AJ42" s="148">
        <f t="shared" si="36"/>
        <v>142.26002454705454</v>
      </c>
      <c r="AK42" s="147">
        <f t="shared" si="37"/>
        <v>426.78007364116365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32.876792144942534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2.5510308042926781E-4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8.2191980362356336</v>
      </c>
      <c r="AB43" s="156">
        <f>Poor!AB43</f>
        <v>0.25</v>
      </c>
      <c r="AC43" s="147">
        <f t="shared" si="39"/>
        <v>8.2191980362356336</v>
      </c>
      <c r="AD43" s="156">
        <f>Poor!AD43</f>
        <v>0.25</v>
      </c>
      <c r="AE43" s="147">
        <f t="shared" si="40"/>
        <v>8.2191980362356336</v>
      </c>
      <c r="AF43" s="122">
        <f t="shared" si="31"/>
        <v>0.25</v>
      </c>
      <c r="AG43" s="147">
        <f t="shared" si="34"/>
        <v>8.2191980362356336</v>
      </c>
      <c r="AH43" s="123">
        <f t="shared" si="35"/>
        <v>1</v>
      </c>
      <c r="AI43" s="112">
        <f t="shared" si="35"/>
        <v>32.876792144942534</v>
      </c>
      <c r="AJ43" s="148">
        <f t="shared" si="36"/>
        <v>16.438396072471267</v>
      </c>
      <c r="AK43" s="147">
        <f t="shared" si="37"/>
        <v>16.438396072471267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0.4</v>
      </c>
      <c r="F45" s="75">
        <f>Middle!F45</f>
        <v>1.18</v>
      </c>
      <c r="G45" s="22">
        <f t="shared" si="32"/>
        <v>1.65</v>
      </c>
      <c r="H45" s="24">
        <f t="shared" si="26"/>
        <v>0.47199999999999998</v>
      </c>
      <c r="I45" s="39">
        <f t="shared" si="27"/>
        <v>28320</v>
      </c>
      <c r="J45" s="38">
        <f t="shared" si="33"/>
        <v>28320</v>
      </c>
      <c r="K45" s="40">
        <f t="shared" si="28"/>
        <v>0.4655619915190124</v>
      </c>
      <c r="L45" s="22">
        <f t="shared" si="29"/>
        <v>0.21974525999697384</v>
      </c>
      <c r="M45" s="24">
        <f t="shared" si="30"/>
        <v>0.21974525999697384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7080</v>
      </c>
      <c r="AB45" s="156">
        <f>Poor!AB45</f>
        <v>0.25</v>
      </c>
      <c r="AC45" s="147">
        <f t="shared" si="39"/>
        <v>7080</v>
      </c>
      <c r="AD45" s="156">
        <f>Poor!AD45</f>
        <v>0.25</v>
      </c>
      <c r="AE45" s="147">
        <f t="shared" si="40"/>
        <v>7080</v>
      </c>
      <c r="AF45" s="122">
        <f t="shared" si="31"/>
        <v>0.25</v>
      </c>
      <c r="AG45" s="147">
        <f t="shared" si="34"/>
        <v>7080</v>
      </c>
      <c r="AH45" s="123">
        <f t="shared" si="35"/>
        <v>1</v>
      </c>
      <c r="AI45" s="112">
        <f t="shared" si="35"/>
        <v>28320</v>
      </c>
      <c r="AJ45" s="148">
        <f t="shared" si="36"/>
        <v>14160</v>
      </c>
      <c r="AK45" s="147">
        <f t="shared" si="37"/>
        <v>14160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23139.182791550735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0.17954540037594702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5784.7956978876837</v>
      </c>
      <c r="AB46" s="156">
        <f>Poor!AB46</f>
        <v>0.25</v>
      </c>
      <c r="AC46" s="147">
        <f t="shared" si="39"/>
        <v>5784.7956978876837</v>
      </c>
      <c r="AD46" s="156">
        <f>Poor!AD46</f>
        <v>0.25</v>
      </c>
      <c r="AE46" s="147">
        <f t="shared" si="40"/>
        <v>5784.7956978876837</v>
      </c>
      <c r="AF46" s="122">
        <f t="shared" si="31"/>
        <v>0.25</v>
      </c>
      <c r="AG46" s="147">
        <f t="shared" si="34"/>
        <v>5784.7956978876837</v>
      </c>
      <c r="AH46" s="123">
        <f t="shared" si="35"/>
        <v>1</v>
      </c>
      <c r="AI46" s="112">
        <f t="shared" si="35"/>
        <v>23139.182791550735</v>
      </c>
      <c r="AJ46" s="148">
        <f t="shared" si="36"/>
        <v>11569.591395775367</v>
      </c>
      <c r="AK46" s="147">
        <f t="shared" si="37"/>
        <v>11569.591395775367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86955.400000000009</v>
      </c>
      <c r="J65" s="39">
        <f>SUM(J37:J64)</f>
        <v>81740.054657500194</v>
      </c>
      <c r="K65" s="40">
        <f>SUM(K37:K64)</f>
        <v>1</v>
      </c>
      <c r="L65" s="22">
        <f>SUM(L37:L64)</f>
        <v>0.63336085321994318</v>
      </c>
      <c r="M65" s="24">
        <f>SUM(M37:M64)</f>
        <v>0.6342510438869785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18437.374920470975</v>
      </c>
      <c r="AB65" s="137"/>
      <c r="AC65" s="153">
        <f>SUM(AC37:AC64)</f>
        <v>16820.114895923922</v>
      </c>
      <c r="AD65" s="137"/>
      <c r="AE65" s="153">
        <f>SUM(AE37:AE64)</f>
        <v>17104.634945018031</v>
      </c>
      <c r="AF65" s="137"/>
      <c r="AG65" s="153">
        <f>SUM(AG37:AG64)</f>
        <v>29377.929896087258</v>
      </c>
      <c r="AH65" s="137"/>
      <c r="AI65" s="153">
        <f>SUM(AI37:AI64)</f>
        <v>81740.054657500194</v>
      </c>
      <c r="AJ65" s="153">
        <f>SUM(AJ37:AJ64)</f>
        <v>35257.489816394896</v>
      </c>
      <c r="AK65" s="153">
        <f>SUM(AK37:AK64)</f>
        <v>46482.56484110529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66377.012619597663</v>
      </c>
      <c r="J74" s="51">
        <f>J128*I$83</f>
        <v>4943.636781185839</v>
      </c>
      <c r="K74" s="40">
        <f>B74/B$76</f>
        <v>5.3074504288621635E-2</v>
      </c>
      <c r="L74" s="22">
        <f>(L128*G$37*F$9/F$7)/B$130</f>
        <v>2.8377148809538677E-2</v>
      </c>
      <c r="M74" s="24">
        <f>J74/B$76</f>
        <v>3.8359489753258653E-2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844.21882499831054</v>
      </c>
      <c r="AB74" s="156"/>
      <c r="AC74" s="147">
        <f>AC30*$I$83/4</f>
        <v>1589.1723178573827</v>
      </c>
      <c r="AD74" s="156"/>
      <c r="AE74" s="147">
        <f>AE30*$I$83/4</f>
        <v>1535.2604815919353</v>
      </c>
      <c r="AF74" s="156"/>
      <c r="AG74" s="147">
        <f>AG30*$I$83/4</f>
        <v>974.98515673821021</v>
      </c>
      <c r="AH74" s="155"/>
      <c r="AI74" s="147">
        <f>SUM(AA74,AC74,AE74,AG74)</f>
        <v>4943.6367811858381</v>
      </c>
      <c r="AJ74" s="148">
        <f>(AA74+AC74)</f>
        <v>2433.391142855693</v>
      </c>
      <c r="AK74" s="147">
        <f>(AE74+AG74)</f>
        <v>2510.2456383301455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14927.470495912003</v>
      </c>
      <c r="K75" s="40">
        <f>B75/B$76</f>
        <v>0.56135599212570664</v>
      </c>
      <c r="L75" s="22">
        <f>(L129*G$37*F$9/F$7)/B$130</f>
        <v>0.12491986515031941</v>
      </c>
      <c r="M75" s="24">
        <f>J75/B$76</f>
        <v>0.11582771487363486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20779.436648708535</v>
      </c>
      <c r="AB75" s="158"/>
      <c r="AC75" s="149">
        <f>AA75+AC65-SUM(AC70,AC74)</f>
        <v>30865.782381674489</v>
      </c>
      <c r="AD75" s="158"/>
      <c r="AE75" s="149">
        <f>AC75+AE65-SUM(AE70,AE74)</f>
        <v>41290.559999999998</v>
      </c>
      <c r="AF75" s="158"/>
      <c r="AG75" s="149">
        <f>IF(SUM(AG6:AG29)+((AG65-AG70-$J$75)*4/I$83)&lt;1,0,AG65-AG70-$J$75-(1-SUM(AG6:AG29))*I$83/4)</f>
        <v>8330.877398336459</v>
      </c>
      <c r="AH75" s="134"/>
      <c r="AI75" s="149">
        <f>AI76-SUM(AI70,AI74)</f>
        <v>56218.030495911997</v>
      </c>
      <c r="AJ75" s="151">
        <f>AJ76-SUM(AJ70,AJ74)</f>
        <v>22534.904983338034</v>
      </c>
      <c r="AK75" s="149">
        <f>AJ75+AK76-SUM(AK70,AK74)</f>
        <v>56218.030495912011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86955.4</v>
      </c>
      <c r="J76" s="51">
        <f>J130*I$83</f>
        <v>81740.054657500194</v>
      </c>
      <c r="K76" s="40">
        <f>SUM(K70:K75)</f>
        <v>0.74788266285940419</v>
      </c>
      <c r="L76" s="22">
        <f>SUM(L70:L75)</f>
        <v>0.33586239539404</v>
      </c>
      <c r="M76" s="24">
        <f>SUM(M70:M75)</f>
        <v>0.33675258606107539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18437.374920470975</v>
      </c>
      <c r="AB76" s="137"/>
      <c r="AC76" s="153">
        <f>AC65</f>
        <v>16820.114895923922</v>
      </c>
      <c r="AD76" s="137"/>
      <c r="AE76" s="153">
        <f>AE65</f>
        <v>17104.634945018031</v>
      </c>
      <c r="AF76" s="137"/>
      <c r="AG76" s="153">
        <f>AG65</f>
        <v>29377.929896087258</v>
      </c>
      <c r="AH76" s="137"/>
      <c r="AI76" s="153">
        <f>SUM(AA76,AC76,AE76,AG76)</f>
        <v>81740.054657500179</v>
      </c>
      <c r="AJ76" s="154">
        <f>SUM(AA76,AC76)</f>
        <v>35257.489816394896</v>
      </c>
      <c r="AK76" s="154">
        <f>SUM(AE76,AG76)</f>
        <v>46482.56484110529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8330.877398336459</v>
      </c>
      <c r="AB78" s="112"/>
      <c r="AC78" s="112">
        <f>IF(AA75&lt;0,0,AA75)</f>
        <v>20779.436648708535</v>
      </c>
      <c r="AD78" s="112"/>
      <c r="AE78" s="112">
        <f>AC75</f>
        <v>30865.782381674489</v>
      </c>
      <c r="AF78" s="112"/>
      <c r="AG78" s="112">
        <f>AE75</f>
        <v>41290.559999999998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21623.655473706847</v>
      </c>
      <c r="AB79" s="112"/>
      <c r="AC79" s="112">
        <f>AA79-AA74+AC65-AC70</f>
        <v>32454.954699531871</v>
      </c>
      <c r="AD79" s="112"/>
      <c r="AE79" s="112">
        <f>AC79-AC74+AE65-AE70</f>
        <v>42825.820481591938</v>
      </c>
      <c r="AF79" s="112"/>
      <c r="AG79" s="112">
        <f>AE79-AE74+AG65-AG70</f>
        <v>65523.893050986684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9.2604871389758606E-2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9.2604871389758606E-2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2.3572185661927949E-2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2.3572185661927949E-2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3.6818368053152688E-2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3.6818368053152688E-2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2.1272135961130688E-3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2.1272135961130688E-3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0.28606060606060607</v>
      </c>
      <c r="I99" s="22">
        <f t="shared" si="59"/>
        <v>1.8323773431523578</v>
      </c>
      <c r="J99" s="24">
        <f t="shared" si="60"/>
        <v>1.8323773431523578</v>
      </c>
      <c r="K99" s="22">
        <f t="shared" si="61"/>
        <v>6.4055563902571828</v>
      </c>
      <c r="L99" s="22">
        <f t="shared" si="62"/>
        <v>1.8323773431523578</v>
      </c>
      <c r="M99" s="226">
        <f t="shared" si="63"/>
        <v>1.8323773431523578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1.4971650524822915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1.4971650524822915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0.7151515151515152</v>
      </c>
      <c r="I102" s="22">
        <f t="shared" si="59"/>
        <v>0.58177980645087368</v>
      </c>
      <c r="J102" s="24">
        <f t="shared" si="60"/>
        <v>0.58177980645087368</v>
      </c>
      <c r="K102" s="22">
        <f t="shared" si="61"/>
        <v>0.81350566156266224</v>
      </c>
      <c r="L102" s="22">
        <f t="shared" si="62"/>
        <v>0.58177980645087368</v>
      </c>
      <c r="M102" s="226">
        <f t="shared" si="63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5.6262395771451459</v>
      </c>
      <c r="J119" s="24">
        <f>SUM(J91:J118)</f>
        <v>5.2887932267810278</v>
      </c>
      <c r="K119" s="22">
        <f>SUM(K91:K118)</f>
        <v>13.75876146881633</v>
      </c>
      <c r="L119" s="22">
        <f>SUM(L91:L118)</f>
        <v>5.2813702443267818</v>
      </c>
      <c r="M119" s="57">
        <f t="shared" si="50"/>
        <v>5.2887932267810278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4.2947646197135905</v>
      </c>
      <c r="J128" s="227">
        <f>(J30)</f>
        <v>0.31986610277611516</v>
      </c>
      <c r="K128" s="22">
        <f>(B128)</f>
        <v>0.73023944458281442</v>
      </c>
      <c r="L128" s="22">
        <f>IF(L124=L119,0,(L119-L124)/(B119-B124)*K128)</f>
        <v>0.2366269222033624</v>
      </c>
      <c r="M128" s="57">
        <f t="shared" si="90"/>
        <v>0.31986610277611516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0.96584600025721912</v>
      </c>
      <c r="K129" s="29">
        <f>(B129)</f>
        <v>7.7235631947483352</v>
      </c>
      <c r="L129" s="60">
        <f>IF(SUM(L124:L128)&gt;L130,0,L130-SUM(L124:L128))</f>
        <v>1.0416621983757253</v>
      </c>
      <c r="M129" s="57">
        <f t="shared" si="90"/>
        <v>0.96584600025721912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5.6262395771451459</v>
      </c>
      <c r="J130" s="227">
        <f>(J119)</f>
        <v>5.2887932267810278</v>
      </c>
      <c r="K130" s="22">
        <f>(B130)</f>
        <v>13.75876146881633</v>
      </c>
      <c r="L130" s="22">
        <f>(L119)</f>
        <v>5.2813702443267818</v>
      </c>
      <c r="M130" s="57">
        <f t="shared" si="90"/>
        <v>5.2887932267810278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1305.2288177127973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966.23284328930515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13526.23902266014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22.200000000000003</v>
      </c>
      <c r="H77" s="109">
        <f>Middle!T12</f>
        <v>243.7644587246663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164.54100963914979</v>
      </c>
      <c r="I78" s="109">
        <f>Rich!T13</f>
        <v>28320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23139.182791550735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26121.510312338145</v>
      </c>
      <c r="H88" s="109">
        <f>Middle!T23</f>
        <v>41778.308135085419</v>
      </c>
      <c r="I88" s="109">
        <f>Rich!T23</f>
        <v>83355.025504377598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6440.3730679581749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20227.493067958178</v>
      </c>
      <c r="H99" s="238">
        <f t="shared" si="0"/>
        <v>4570.6952452109035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44780.933067958191</v>
      </c>
      <c r="H100" s="238">
        <f t="shared" si="0"/>
        <v>29124.135245210899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2016-06-02T06:50:17Z</dcterms:modified>
  <cp:category/>
</cp:coreProperties>
</file>