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<sst xmlns="http://schemas.openxmlformats.org/spreadsheetml/2006/main" count="790" uniqueCount="145">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</sst>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0.0012479691803376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0.351120479891233</c:v>
                </c:pt>
                <c:pt idx="2" formatCode="0.0%">
                  <c:v>0.533570523007906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061544"/>
        <c:axId val="1790058216"/>
      </c:barChart>
      <c:catAx>
        <c:axId val="179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5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0.0317718026110167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0.00341352720539001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0.000454405422057917</c:v>
                </c:pt>
                <c:pt idx="2">
                  <c:v>0.000454405422057917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0.000846843687338518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0.000572600887030944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0.000451649966580543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9.67821356958306E-5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0.392606284658041</c:v>
                </c:pt>
                <c:pt idx="2">
                  <c:v>0.392606284658041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137640"/>
        <c:axId val="1792134504"/>
      </c:barChart>
      <c:catAx>
        <c:axId val="17921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0.0275819401897775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0.00500016964746521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0.000198437849090168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0.314343591308932</c:v>
                </c:pt>
                <c:pt idx="2">
                  <c:v>0.314343591308932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69176"/>
        <c:axId val="1794572232"/>
      </c:barChart>
      <c:catAx>
        <c:axId val="17945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63048"/>
        <c:axId val="1793966072"/>
      </c:barChart>
      <c:catAx>
        <c:axId val="17939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698.5000207556798</c:v>
                </c:pt>
                <c:pt idx="7">
                  <c:v>556.5256021215966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292.0104087950803</c:v>
                </c:pt>
                <c:pt idx="7">
                  <c:v>9593.130605769556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2860.910000000001</c:v>
                </c:pt>
                <c:pt idx="6">
                  <c:v>5288.529398128284</c:v>
                </c:pt>
                <c:pt idx="7">
                  <c:v>11271.95032516527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491.7024074681319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58258.28571428572</c:v>
                </c:pt>
                <c:pt idx="7">
                  <c:v>108748.8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418168"/>
        <c:axId val="179341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8168"/>
        <c:axId val="1793414776"/>
      </c:lineChart>
      <c:catAx>
        <c:axId val="17934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1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9272"/>
        <c:axId val="179329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99272"/>
        <c:axId val="1793296024"/>
      </c:lineChart>
      <c:catAx>
        <c:axId val="17932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7160"/>
        <c:axId val="1793203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7160"/>
        <c:axId val="1793203864"/>
      </c:lineChart>
      <c:catAx>
        <c:axId val="17932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0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0.281491859537835</c:v>
                </c:pt>
                <c:pt idx="2">
                  <c:v>0.427761316464927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-0.256653266146188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67304"/>
        <c:axId val="1793270504"/>
      </c:barChart>
      <c:catAx>
        <c:axId val="17932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0.0458125035824433</c:v>
                </c:pt>
                <c:pt idx="2">
                  <c:v>0.119944995797112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0.0225123221456318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0.164780417816499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0.0458125035824433</c:v>
                </c:pt>
                <c:pt idx="2">
                  <c:v>0.119944995797112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134664"/>
        <c:axId val="1793131240"/>
      </c:barChart>
      <c:catAx>
        <c:axId val="17931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1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0.0264634092530403</c:v>
                </c:pt>
                <c:pt idx="2">
                  <c:v>0.0457071262831419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0.206804347868718</c:v>
                </c:pt>
                <c:pt idx="2">
                  <c:v>0.187933005443579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0.0264634092530403</c:v>
                </c:pt>
                <c:pt idx="2">
                  <c:v>0.0457071262831419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9320"/>
        <c:axId val="1793075800"/>
      </c:barChart>
      <c:catAx>
        <c:axId val="17930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7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0.390951761278844</c:v>
                </c:pt>
                <c:pt idx="2">
                  <c:v>0.390951761278844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0.284608230420732</c:v>
                </c:pt>
                <c:pt idx="2">
                  <c:v>0.390951761278844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59320"/>
        <c:axId val="1794662696"/>
      </c:barChart>
      <c:catAx>
        <c:axId val="17946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6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0.00742202702890501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0.00413145080490988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0.00380973614671877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0.000800459573482275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0.0323418814485574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0.267770536190575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0.199327448050167</c:v>
                </c:pt>
                <c:pt idx="2" formatCode="0.0%">
                  <c:v>0.521873463553489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23224"/>
        <c:axId val="1789919928"/>
      </c:barChart>
      <c:catAx>
        <c:axId val="17899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2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496744"/>
        <c:axId val="181250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96744"/>
        <c:axId val="181250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96744"/>
        <c:axId val="1812500168"/>
      </c:scatterChart>
      <c:catAx>
        <c:axId val="1812496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0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96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67352"/>
        <c:axId val="181257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7352"/>
        <c:axId val="1812570728"/>
      </c:lineChart>
      <c:catAx>
        <c:axId val="181256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7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6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8168"/>
        <c:axId val="1794731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5176"/>
        <c:axId val="1794738136"/>
      </c:scatterChart>
      <c:valAx>
        <c:axId val="179472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1560"/>
        <c:crosses val="autoZero"/>
        <c:crossBetween val="midCat"/>
      </c:valAx>
      <c:valAx>
        <c:axId val="1794731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28168"/>
        <c:crosses val="autoZero"/>
        <c:crossBetween val="midCat"/>
      </c:valAx>
      <c:valAx>
        <c:axId val="179473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4738136"/>
        <c:crosses val="autoZero"/>
        <c:crossBetween val="midCat"/>
      </c:valAx>
      <c:valAx>
        <c:axId val="1794738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056"/>
        <c:axId val="1812797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056"/>
        <c:axId val="1812797800"/>
      </c:lineChart>
      <c:catAx>
        <c:axId val="18127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9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2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0.000547772918068966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0.0560022084816496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0.399257683624526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0.268440650668107</c:v>
                </c:pt>
                <c:pt idx="2" formatCode="0.0%">
                  <c:v>0.463645881839896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593752"/>
        <c:axId val="1793597096"/>
      </c:barChart>
      <c:catAx>
        <c:axId val="17935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59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0.263604130602529</c:v>
                </c:pt>
                <c:pt idx="2" formatCode="0.0%">
                  <c:v>0.362099504245152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060312"/>
        <c:axId val="-2025057032"/>
      </c:barChart>
      <c:catAx>
        <c:axId val="-20250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-0.171075939306531</c:v>
                </c:pt>
                <c:pt idx="1">
                  <c:v>-0.52205259265363</c:v>
                </c:pt>
                <c:pt idx="2">
                  <c:v>-0.52205259265363</c:v>
                </c:pt>
                <c:pt idx="3">
                  <c:v>-0.52205259265363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78280"/>
        <c:axId val="1792981656"/>
      </c:barChart>
      <c:catAx>
        <c:axId val="179297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8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98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0.112986080494107</c:v>
                </c:pt>
                <c:pt idx="1">
                  <c:v>0.112986080494107</c:v>
                </c:pt>
                <c:pt idx="2">
                  <c:v>0.112986080494107</c:v>
                </c:pt>
                <c:pt idx="3">
                  <c:v>0.112986080494107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382184"/>
        <c:axId val="1792378792"/>
      </c:barChart>
      <c:catAx>
        <c:axId val="179238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7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3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8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0.0296881081156201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0.0165258032196395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0.0152389445868751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0.0032018382939291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0.267770536190575</c:v>
                </c:pt>
                <c:pt idx="1">
                  <c:v>0.267770536190575</c:v>
                </c:pt>
                <c:pt idx="2">
                  <c:v>0.267770536190575</c:v>
                </c:pt>
                <c:pt idx="3">
                  <c:v>0.267770536190575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0.476421118995961</c:v>
                </c:pt>
                <c:pt idx="1">
                  <c:v>0.540634776723793</c:v>
                </c:pt>
                <c:pt idx="2">
                  <c:v>0.537192536739836</c:v>
                </c:pt>
                <c:pt idx="3">
                  <c:v>0.533245421754365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1272"/>
        <c:axId val="1792267880"/>
      </c:barChart>
      <c:catAx>
        <c:axId val="17922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6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2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0.00219109167227587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0.399257683624526</c:v>
                </c:pt>
                <c:pt idx="1">
                  <c:v>0.399257683624526</c:v>
                </c:pt>
                <c:pt idx="2">
                  <c:v>0.399257683624526</c:v>
                </c:pt>
                <c:pt idx="3">
                  <c:v>0.399257683624526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0.435762148091916</c:v>
                </c:pt>
                <c:pt idx="1">
                  <c:v>0.483169567933556</c:v>
                </c:pt>
                <c:pt idx="2">
                  <c:v>0.469322219490219</c:v>
                </c:pt>
                <c:pt idx="3">
                  <c:v>0.466329591843893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04600"/>
        <c:axId val="1793707976"/>
      </c:barChart>
      <c:catAx>
        <c:axId val="17937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70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0.00345337439176324</c:v>
                </c:pt>
                <c:pt idx="2">
                  <c:v>0.00345337439176324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88904"/>
        <c:axId val="1793891960"/>
      </c:barChart>
      <c:catAx>
        <c:axId val="179388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9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8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40258.819540281518</v>
      </c>
      <c r="T23" s="179">
        <f>SUM(T7:T22)</f>
        <v>40288.141087565629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0.36209950424515169</v>
      </c>
      <c r="J30" s="231">
        <f>IF(I$32&lt;=1,I30,1-SUM(J6:J29))</f>
        <v>0.36209950424515169</v>
      </c>
      <c r="K30" s="22">
        <f t="shared" si="4"/>
        <v>0.5826586550435866</v>
      </c>
      <c r="L30" s="22">
        <f>IF(L124=L119,0,IF(K30="",0,(L119-L124)/(B119-B124)*K30))</f>
        <v>0.26360413060252902</v>
      </c>
      <c r="M30" s="175">
        <f t="shared" si="6"/>
        <v>0.36209950424515169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7236.0683118524612</v>
      </c>
      <c r="T30" s="234">
        <f t="shared" si="24"/>
        <v>7206.74676456835</v>
      </c>
      <c r="U30" s="56"/>
      <c r="V30" s="56"/>
      <c r="W30" s="110"/>
      <c r="X30" s="118"/>
      <c r="Y30" s="184">
        <f>M30*4</f>
        <v>1.4483980169806068</v>
      </c>
      <c r="Z30" s="122">
        <f>IF($Y30=0,0,AA30/($Y$30))</f>
        <v>7.8007618879265647E-2</v>
      </c>
      <c r="AA30" s="188">
        <f>IF(AA79*4/$I$83+SUM(AA6:AA29)&lt;1,AA79*4/$I$83,1-SUM(AA6:AA29))</f>
        <v>0.11298608049410731</v>
      </c>
      <c r="AB30" s="122">
        <f>IF($Y30=0,0,AC30/($Y$30))</f>
        <v>7.8007618879265647E-2</v>
      </c>
      <c r="AC30" s="188">
        <f>IF(AC79*4/$I$83+SUM(AC6:AC29)&lt;1,AC79*4/$I$83,1-SUM(AC6:AC29))</f>
        <v>0.11298608049410731</v>
      </c>
      <c r="AD30" s="122">
        <f>IF($Y30=0,0,AE30/($Y$30))</f>
        <v>7.8007618879265647E-2</v>
      </c>
      <c r="AE30" s="188">
        <f>IF(AE79*4/$I$83+SUM(AE6:AE29)&lt;1,AE79*4/$I$83,1-SUM(AE6:AE29))</f>
        <v>0.11298608049410731</v>
      </c>
      <c r="AF30" s="122">
        <f>IF($Y30=0,0,AG30/($Y$30))</f>
        <v>7.8007618879265647E-2</v>
      </c>
      <c r="AG30" s="188">
        <f>IF(AG79*4/$I$83+SUM(AG6:AG29)&lt;1,AG79*4/$I$83,1-SUM(AG6:AG29))</f>
        <v>0.11298608049410731</v>
      </c>
      <c r="AH30" s="123">
        <f t="shared" si="12"/>
        <v>0.31203047551706259</v>
      </c>
      <c r="AI30" s="184">
        <f t="shared" si="13"/>
        <v>0.11298608049410731</v>
      </c>
      <c r="AJ30" s="120">
        <f t="shared" si="14"/>
        <v>0.11298608049410731</v>
      </c>
      <c r="AK30" s="119">
        <f t="shared" si="15"/>
        <v>0.11298608049410731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0.21131089461256869</v>
      </c>
      <c r="K31" s="22" t="str">
        <f t="shared" si="4"/>
        <v/>
      </c>
      <c r="L31" s="22">
        <f>(1-SUM(L6:L30))</f>
        <v>0.28233057774305137</v>
      </c>
      <c r="M31" s="241">
        <f t="shared" si="6"/>
        <v>0.21131089461256869</v>
      </c>
      <c r="N31" s="167">
        <f>M31*I83</f>
        <v>7206.7467645683464</v>
      </c>
      <c r="P31" s="22"/>
      <c r="Q31" s="238" t="s">
        <v>142</v>
      </c>
      <c r="R31" s="234">
        <f t="shared" si="24"/>
        <v>7777.2506387823814</v>
      </c>
      <c r="S31" s="234">
        <f t="shared" si="24"/>
        <v>23660.094978519133</v>
      </c>
      <c r="T31" s="234">
        <f>IF(T25&gt;T$23,T25-T$23,0)</f>
        <v>23630.773431235022</v>
      </c>
      <c r="U31" s="242">
        <f>T31/$B$81</f>
        <v>2953.8466789043778</v>
      </c>
      <c r="V31" s="56"/>
      <c r="W31" s="129" t="s">
        <v>84</v>
      </c>
      <c r="X31" s="130"/>
      <c r="Y31" s="121">
        <f>M31*4</f>
        <v>0.84524357845027476</v>
      </c>
      <c r="Z31" s="131"/>
      <c r="AA31" s="132">
        <f>1-AA32+IF($Y32&lt;0,$Y32/4,0)</f>
        <v>0.42738610914817099</v>
      </c>
      <c r="AB31" s="131"/>
      <c r="AC31" s="133">
        <f>1-AC32+IF($Y32&lt;0,$Y32/4,0)</f>
        <v>0.47928134700620328</v>
      </c>
      <c r="AD31" s="134"/>
      <c r="AE31" s="133">
        <f>1-AE32+IF($Y32&lt;0,$Y32/4,0)</f>
        <v>0.47796721251056196</v>
      </c>
      <c r="AF31" s="134"/>
      <c r="AG31" s="133">
        <f>1-AG32+IF($Y32&lt;0,$Y32/4,0)</f>
        <v>0.47463408673223073</v>
      </c>
      <c r="AH31" s="123"/>
      <c r="AI31" s="183">
        <f>SUM(AA31,AC31,AE31,AG31)/4</f>
        <v>0.46481718884929174</v>
      </c>
      <c r="AJ31" s="135">
        <f t="shared" si="14"/>
        <v>0.45333372807718714</v>
      </c>
      <c r="AK31" s="136">
        <f t="shared" si="15"/>
        <v>0.47630064962139634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0.78868910538743131</v>
      </c>
      <c r="J32" s="17"/>
      <c r="L32" s="22">
        <f>SUM(L6:L30)</f>
        <v>0.71766942225694863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56398.014978519132</v>
      </c>
      <c r="T32" s="234">
        <f t="shared" si="24"/>
        <v>56368.69343123502</v>
      </c>
      <c r="U32" s="56"/>
      <c r="V32" s="56"/>
      <c r="W32" s="110"/>
      <c r="X32" s="118"/>
      <c r="Y32" s="115">
        <f>SUM(Y6:Y31)</f>
        <v>3.9824285180572851</v>
      </c>
      <c r="Z32" s="137"/>
      <c r="AA32" s="138">
        <f>SUM(AA6:AA30)</f>
        <v>0.57261389085182901</v>
      </c>
      <c r="AB32" s="137"/>
      <c r="AC32" s="139">
        <f>SUM(AC6:AC30)</f>
        <v>0.52071865299379672</v>
      </c>
      <c r="AD32" s="137"/>
      <c r="AE32" s="139">
        <f>SUM(AE6:AE30)</f>
        <v>0.52203278748943804</v>
      </c>
      <c r="AF32" s="137"/>
      <c r="AG32" s="139">
        <f>SUM(AG6:AG30)</f>
        <v>0.52536591326776927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5.003326329743162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16424.026666666665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0.4</v>
      </c>
      <c r="F50" s="75">
        <f>Poor!F50</f>
        <v>1.18</v>
      </c>
      <c r="G50" s="75">
        <f>Poor!G50</f>
        <v>1.65</v>
      </c>
      <c r="H50" s="24">
        <f t="shared" si="30"/>
        <v>0.47199999999999998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33411.9</v>
      </c>
      <c r="J65" s="39">
        <f>SUM(J37:J64)</f>
        <v>33411.9</v>
      </c>
      <c r="K65" s="40">
        <f>SUM(K37:K64)</f>
        <v>1</v>
      </c>
      <c r="L65" s="22">
        <f>SUM(L37:L64)</f>
        <v>1.0577402811194123</v>
      </c>
      <c r="M65" s="24">
        <f>SUM(M37:M64)</f>
        <v>1.0577402811194125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6228.9750000000004</v>
      </c>
      <c r="AB65" s="137"/>
      <c r="AC65" s="153">
        <f>SUM(AC37:AC64)</f>
        <v>6228.9750000000004</v>
      </c>
      <c r="AD65" s="137"/>
      <c r="AE65" s="153">
        <f>SUM(AE37:AE64)</f>
        <v>6228.9750000000004</v>
      </c>
      <c r="AF65" s="137"/>
      <c r="AG65" s="153">
        <f>SUM(AG37:AG64)</f>
        <v>6228.9750000000004</v>
      </c>
      <c r="AH65" s="137"/>
      <c r="AI65" s="153">
        <f>SUM(AI37:AI64)</f>
        <v>24915.9</v>
      </c>
      <c r="AJ65" s="153">
        <f>SUM(AJ37:AJ64)</f>
        <v>12457.95</v>
      </c>
      <c r="AK65" s="153">
        <f>SUM(AK37:AK64)</f>
        <v>12457.95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12349.38423527612</v>
      </c>
      <c r="J71" s="51">
        <f t="shared" si="44"/>
        <v>12349.38423527612</v>
      </c>
      <c r="K71" s="40">
        <f t="shared" ref="K71:K72" si="47">B71/B$76</f>
        <v>0.44063146342492931</v>
      </c>
      <c r="L71" s="22">
        <f t="shared" si="45"/>
        <v>0.3909517612788439</v>
      </c>
      <c r="M71" s="24">
        <f t="shared" ref="M71:M72" si="48">J71/B$76</f>
        <v>0.3909517612788439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12349.38423527612</v>
      </c>
      <c r="J74" s="51">
        <f t="shared" si="44"/>
        <v>12349.38423527612</v>
      </c>
      <c r="K74" s="40">
        <f>B74/B$76</f>
        <v>0.3812637381029424</v>
      </c>
      <c r="L74" s="22">
        <f t="shared" si="45"/>
        <v>0.28460823042073241</v>
      </c>
      <c r="M74" s="24">
        <f>J74/B$76</f>
        <v>0.3909517612788439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963.34605881903099</v>
      </c>
      <c r="AB74" s="156"/>
      <c r="AC74" s="147">
        <f>AC30*$I$83/4</f>
        <v>963.34605881903099</v>
      </c>
      <c r="AD74" s="156"/>
      <c r="AE74" s="147">
        <f>AE30*$I$83/4</f>
        <v>963.34605881903099</v>
      </c>
      <c r="AF74" s="156"/>
      <c r="AG74" s="147">
        <f>AG30*$I$83/4</f>
        <v>963.34605881903099</v>
      </c>
      <c r="AH74" s="155"/>
      <c r="AI74" s="147">
        <f>SUM(AA74,AC74,AE74,AG74)</f>
        <v>3853.3842352761239</v>
      </c>
      <c r="AJ74" s="148">
        <f>(AA74+AC74)</f>
        <v>1926.692117638062</v>
      </c>
      <c r="AK74" s="147">
        <f>(AE74+AG74)</f>
        <v>1926.692117638062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33411.9</v>
      </c>
      <c r="J76" s="51">
        <f t="shared" si="44"/>
        <v>33411.9</v>
      </c>
      <c r="K76" s="40">
        <f>SUM(K70:K75)</f>
        <v>2.2432784520552844</v>
      </c>
      <c r="L76" s="22">
        <f>SUM(L70:L75)</f>
        <v>1.342348511540145</v>
      </c>
      <c r="M76" s="24">
        <f>SUM(M70:M75)</f>
        <v>1.4486920423982563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6228.9750000000004</v>
      </c>
      <c r="AB76" s="137"/>
      <c r="AC76" s="153">
        <f>AC65</f>
        <v>6228.9750000000004</v>
      </c>
      <c r="AD76" s="137"/>
      <c r="AE76" s="153">
        <f>AE65</f>
        <v>6228.9750000000004</v>
      </c>
      <c r="AF76" s="137"/>
      <c r="AG76" s="153">
        <f>AG65</f>
        <v>6228.9750000000004</v>
      </c>
      <c r="AH76" s="137"/>
      <c r="AI76" s="153">
        <f>SUM(AA76,AC76,AE76,AG76)</f>
        <v>24915.9</v>
      </c>
      <c r="AJ76" s="154">
        <f>SUM(AA76,AC76)</f>
        <v>12457.95</v>
      </c>
      <c r="AK76" s="154">
        <f>SUM(AE76,AG76)</f>
        <v>12457.95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16424.026666666665</v>
      </c>
      <c r="J77" s="100">
        <f t="shared" si="44"/>
        <v>16424.026666666665</v>
      </c>
      <c r="K77" s="40"/>
      <c r="L77" s="22">
        <f>-(L131*G$37*F$9/F$7)/B$130</f>
        <v>-0.51994512684141658</v>
      </c>
      <c r="M77" s="24">
        <f>-J77/B$76</f>
        <v>-0.51994512684141647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3643.9951013555487</v>
      </c>
      <c r="AB77" s="112"/>
      <c r="AC77" s="111">
        <f>AC31*$I$83/4</f>
        <v>4086.46617959265</v>
      </c>
      <c r="AD77" s="112"/>
      <c r="AE77" s="111">
        <f>AE31*$I$83/4</f>
        <v>4075.2615579118383</v>
      </c>
      <c r="AF77" s="112"/>
      <c r="AG77" s="111">
        <f>AG31*$I$83/4</f>
        <v>4046.8425387896468</v>
      </c>
      <c r="AH77" s="110"/>
      <c r="AI77" s="154">
        <f>SUM(AA77,AC77,AE77,AG77)</f>
        <v>15852.565377649684</v>
      </c>
      <c r="AJ77" s="153">
        <f>SUM(AA77,AC77)</f>
        <v>7730.4612809481987</v>
      </c>
      <c r="AK77" s="160">
        <f>SUM(AE77,AG77)</f>
        <v>8122.1040967014851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963.34605881903099</v>
      </c>
      <c r="AB79" s="112"/>
      <c r="AC79" s="112">
        <f>AA79-AA74+AC65-AC70</f>
        <v>963.34605881903099</v>
      </c>
      <c r="AD79" s="112"/>
      <c r="AE79" s="112">
        <f>AC79-AC74+AE65-AE70</f>
        <v>963.34605881903099</v>
      </c>
      <c r="AF79" s="112"/>
      <c r="AG79" s="112">
        <f>AE79-AE74+AG65-AG70</f>
        <v>963.34605881903099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0.28606060606060607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0.97967900223958615</v>
      </c>
      <c r="J119" s="24">
        <f>SUM(J91:J118)</f>
        <v>0.97967900223958615</v>
      </c>
      <c r="K119" s="22">
        <f>SUM(K91:K118)</f>
        <v>1.5282299280354505</v>
      </c>
      <c r="L119" s="22">
        <f>SUM(L91:L118)</f>
        <v>0.97967900223958615</v>
      </c>
      <c r="M119" s="57">
        <f t="shared" si="49"/>
        <v>0.97967900223958615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0.36209950424515169</v>
      </c>
      <c r="J125" s="237">
        <f>IF(SUMPRODUCT($B$124:$B125,$H$124:$H125)&lt;J$119,($B125*$H125),IF(SUMPRODUCT($B$124:$B124,$H$124:$H124)&lt;J$119,J$119-SUMPRODUCT($B$124:$B124,$H$124:$H124),0))</f>
        <v>0.36209950424515169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0.36209950424515169</v>
      </c>
      <c r="M125" s="240">
        <f t="shared" si="66"/>
        <v>0.36209950424515169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0.36209950424515169</v>
      </c>
      <c r="J128" s="228">
        <f>(J30)</f>
        <v>0.36209950424515169</v>
      </c>
      <c r="K128" s="29">
        <f>(B128)</f>
        <v>0.5826586550435866</v>
      </c>
      <c r="L128" s="29">
        <f>IF(L124=L119,0,(L119-L124)/(B119-B124)*K128)</f>
        <v>0.26360413060252902</v>
      </c>
      <c r="M128" s="240">
        <f t="shared" si="66"/>
        <v>0.36209950424515169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0.97967900223958615</v>
      </c>
      <c r="J130" s="228">
        <f>(J119)</f>
        <v>0.97967900223958615</v>
      </c>
      <c r="K130" s="29">
        <f>(B130)</f>
        <v>1.5282299280354505</v>
      </c>
      <c r="L130" s="29">
        <f>(L119)</f>
        <v>0.97967900223958615</v>
      </c>
      <c r="M130" s="240">
        <f t="shared" si="66"/>
        <v>0.97967900223958615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0.48157315380317656</v>
      </c>
      <c r="J131" s="237">
        <f>IF(SUMPRODUCT($B124:$B125,$H124:$H125)&gt;(J119-J128),SUMPRODUCT($B124:$B125,$H124:$H125)+J128-J119,0)</f>
        <v>0.48157315380317656</v>
      </c>
      <c r="K131" s="29"/>
      <c r="L131" s="29">
        <f>IF(I131&lt;SUM(L126:L127),0,I131-(SUM(L126:L127)))</f>
        <v>0.48157315380317656</v>
      </c>
      <c r="M131" s="237">
        <f>IF(I131&lt;SUM(M126:M127),0,I131-(SUM(M126:M127)))</f>
        <v>0.48157315380317656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2860.9100000000008</v>
      </c>
      <c r="T11" s="222">
        <f>IF($B$81=0,0,(SUMIF($N$6:$N$28,$U11,M$6:M$28)+SUMIF($N$91:$N$118,$U11,M$91:M$118))*$I$83*Poor!$B$81/$B$81)</f>
        <v>2860.9100000000008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491.70240746813187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1.2479691803375984E-3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1.2479691803375984E-3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4.9918767213503936E-3</v>
      </c>
      <c r="Z18" s="116">
        <v>1.2941</v>
      </c>
      <c r="AA18" s="121">
        <f t="shared" ref="AA18:AA20" si="25">$M18*Z18*4</f>
        <v>6.4599876650995444E-3</v>
      </c>
      <c r="AB18" s="116">
        <v>1.1765000000000001</v>
      </c>
      <c r="AC18" s="121">
        <f t="shared" ref="AC18:AC20" si="26">$M18*AB18*4</f>
        <v>5.8729429626687389E-3</v>
      </c>
      <c r="AD18" s="116">
        <v>1.2353000000000001</v>
      </c>
      <c r="AE18" s="121">
        <f t="shared" ref="AE18:AE20" si="27">$M18*AD18*4</f>
        <v>6.1664653138841412E-3</v>
      </c>
      <c r="AF18" s="122">
        <f t="shared" ref="AF18:AF20" si="28">1-SUM(Z18,AB18,AD18)</f>
        <v>-2.7059000000000002</v>
      </c>
      <c r="AG18" s="121">
        <f t="shared" ref="AG18:AG20" si="29">$M18*AF18*4</f>
        <v>-1.3507519220302031E-2</v>
      </c>
      <c r="AH18" s="123">
        <f t="shared" ref="AH18:AH20" si="30">SUM(Z18,AB18,AD18,AF18)</f>
        <v>1</v>
      </c>
      <c r="AI18" s="184">
        <f t="shared" ref="AI18:AI20" si="31">SUM(AA18,AC18,AE18,AG18)/4</f>
        <v>1.2479691803375984E-3</v>
      </c>
      <c r="AJ18" s="120">
        <f t="shared" ref="AJ18:AJ20" si="32">(AA18+AC18)/2</f>
        <v>6.1664653138841421E-3</v>
      </c>
      <c r="AK18" s="119">
        <f t="shared" ref="AK18:AK20" si="33">(AE18+AG18)/2</f>
        <v>-3.6705269532089448E-3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53028.111125724681</v>
      </c>
      <c r="T23" s="179">
        <f>SUM(T7:T22)</f>
        <v>53000.627923675638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0.69500575835454725</v>
      </c>
      <c r="J30" s="231">
        <f>IF(I$32&lt;=1,I30,1-SUM(J6:J29))</f>
        <v>0.53357052300790564</v>
      </c>
      <c r="K30" s="22">
        <f t="shared" si="4"/>
        <v>0.66125891656288927</v>
      </c>
      <c r="L30" s="22">
        <f>IF(L124=L119,0,IF(K30="",0,(L119-L124)/(B119-B124)*K30))</f>
        <v>0.35112047989123257</v>
      </c>
      <c r="M30" s="175">
        <f t="shared" si="6"/>
        <v>0.53357052300790564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2.1342820920316226</v>
      </c>
      <c r="Z30" s="122">
        <f>IF($Y30=0,0,AA30/($Y$30))</f>
        <v>-8.0156198632432604E-2</v>
      </c>
      <c r="AA30" s="188">
        <f>IF(AA79*4/$I$83+SUM(AA6:AA29)&lt;1,AA79*4/$I$83,1-SUM(AA6:AA29))</f>
        <v>-0.17107593930653053</v>
      </c>
      <c r="AB30" s="122">
        <f>IF($Y30=0,0,AC30/($Y$30))</f>
        <v>-0.24460337019306003</v>
      </c>
      <c r="AC30" s="188">
        <f>IF(AC79*4/$I$83+SUM(AC6:AC29)&lt;1,AC79*4/$I$83,1-SUM(AC6:AC29))</f>
        <v>-0.52205259265362958</v>
      </c>
      <c r="AD30" s="122">
        <f>IF($Y30=0,0,AE30/($Y$30))</f>
        <v>-0.24460337019306003</v>
      </c>
      <c r="AE30" s="188">
        <f>IF(AE79*4/$I$83+SUM(AE6:AE29)&lt;1,AE79*4/$I$83,1-SUM(AE6:AE29))</f>
        <v>-0.52205259265362958</v>
      </c>
      <c r="AF30" s="122">
        <f>IF($Y30=0,0,AG30/($Y$30))</f>
        <v>-0.24460337019306003</v>
      </c>
      <c r="AG30" s="188">
        <f>IF(AG79*4/$I$83+SUM(AG6:AG29)&lt;1,AG79*4/$I$83,1-SUM(AG6:AG29))</f>
        <v>-0.52205259265362958</v>
      </c>
      <c r="AH30" s="123">
        <f t="shared" si="12"/>
        <v>-0.81396630921161262</v>
      </c>
      <c r="AI30" s="184">
        <f t="shared" si="13"/>
        <v>-0.43430842931685487</v>
      </c>
      <c r="AJ30" s="120">
        <f t="shared" si="14"/>
        <v>-0.34656426598008006</v>
      </c>
      <c r="AK30" s="119">
        <f t="shared" si="15"/>
        <v>-0.52205259265362958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0.16658577366843241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10890.80339307597</v>
      </c>
      <c r="T31" s="234">
        <f>IF(T25&gt;T$23,T25-T$23,0)</f>
        <v>10918.286595125013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0.62835309711423215</v>
      </c>
      <c r="AB31" s="131"/>
      <c r="AC31" s="133">
        <f>1-AC32+IF($Y32&lt;0,$Y32/4,0)</f>
        <v>1.0821772441674979</v>
      </c>
      <c r="AD31" s="134"/>
      <c r="AE31" s="133">
        <f>1-AE32+IF($Y32&lt;0,$Y32/4,0)</f>
        <v>1.0736304397490348</v>
      </c>
      <c r="AF31" s="134"/>
      <c r="AG31" s="133">
        <f>1-AG32+IF($Y32&lt;0,$Y32/4,0)</f>
        <v>1.0873550282682771</v>
      </c>
      <c r="AH31" s="123"/>
      <c r="AI31" s="183">
        <f>SUM(AA31,AC31,AE31,AG31)/4</f>
        <v>0.96787895232476051</v>
      </c>
      <c r="AJ31" s="135">
        <f t="shared" si="14"/>
        <v>0.85526517064086505</v>
      </c>
      <c r="AK31" s="136">
        <f t="shared" si="15"/>
        <v>1.0804927340086561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1.1614621727665531</v>
      </c>
      <c r="J32" s="17"/>
      <c r="L32" s="22">
        <f>SUM(L6:L30)</f>
        <v>0.83341422633156759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43628.723393075968</v>
      </c>
      <c r="T32" s="234">
        <f t="shared" si="50"/>
        <v>43656.206595125012</v>
      </c>
      <c r="V32" s="56"/>
      <c r="W32" s="110"/>
      <c r="X32" s="118"/>
      <c r="Y32" s="115">
        <f>SUM(Y6:Y31)</f>
        <v>4</v>
      </c>
      <c r="Z32" s="137"/>
      <c r="AA32" s="138">
        <f>SUM(AA6:AA30)</f>
        <v>0.37164690288576785</v>
      </c>
      <c r="AB32" s="137"/>
      <c r="AC32" s="139">
        <f>SUM(AC6:AC30)</f>
        <v>-8.2177244167498054E-2</v>
      </c>
      <c r="AD32" s="137"/>
      <c r="AE32" s="139">
        <f>SUM(AE6:AE30)</f>
        <v>-7.3630439749034826E-2</v>
      </c>
      <c r="AF32" s="137"/>
      <c r="AG32" s="139">
        <f>SUM(AG6:AG30)</f>
        <v>-8.7355028268277013E-2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0.89435532020069097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10918.286595124991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146.91</v>
      </c>
      <c r="J39" s="38">
        <f t="shared" si="53"/>
        <v>146.91</v>
      </c>
      <c r="K39" s="40">
        <f t="shared" si="54"/>
        <v>5.8531769351919324E-3</v>
      </c>
      <c r="L39" s="22">
        <f t="shared" si="55"/>
        <v>3.4533743917632398E-3</v>
      </c>
      <c r="M39" s="24">
        <f t="shared" si="56"/>
        <v>3.4533743917632403E-3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146.91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146.91</v>
      </c>
      <c r="AJ39" s="148">
        <f t="shared" si="62"/>
        <v>146.91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0.4</v>
      </c>
      <c r="F50" s="26">
        <v>1.18</v>
      </c>
      <c r="G50" s="22">
        <f t="shared" si="59"/>
        <v>1.65</v>
      </c>
      <c r="H50" s="24">
        <f t="shared" ref="H50:H64" si="68">(E50*F50)</f>
        <v>0.47199999999999998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44765.649999999994</v>
      </c>
      <c r="J65" s="39">
        <f>SUM(J37:J64)</f>
        <v>44765.65</v>
      </c>
      <c r="K65" s="40">
        <f>SUM(K37:K64)</f>
        <v>1</v>
      </c>
      <c r="L65" s="22">
        <f>SUM(L37:L64)</f>
        <v>1.0613970052420016</v>
      </c>
      <c r="M65" s="24">
        <f>SUM(M37:M64)</f>
        <v>1.0522942573047178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3806.9950000000003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6250.4500000000007</v>
      </c>
      <c r="AJ65" s="153">
        <f>SUM(AJ37:AJ64)</f>
        <v>4621.4799999999996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23703.134235276131</v>
      </c>
      <c r="J74" s="51">
        <f t="shared" si="75"/>
        <v>18197.394163734458</v>
      </c>
      <c r="K74" s="40">
        <f>B74/B$76</f>
        <v>0.32129004959921026</v>
      </c>
      <c r="L74" s="22">
        <f t="shared" si="76"/>
        <v>0.28149185953783495</v>
      </c>
      <c r="M74" s="24">
        <f>J74/B$76</f>
        <v>0.42776131646492699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-1458.633941180969</v>
      </c>
      <c r="AB74" s="156"/>
      <c r="AC74" s="147">
        <f>AC30*$I$83/4</f>
        <v>-4451.1439411809697</v>
      </c>
      <c r="AD74" s="156"/>
      <c r="AE74" s="147">
        <f>AE30*$I$83/4</f>
        <v>-4451.1439411809697</v>
      </c>
      <c r="AF74" s="156"/>
      <c r="AG74" s="147">
        <f>AG30*$I$83/4</f>
        <v>-4451.1439411809697</v>
      </c>
      <c r="AH74" s="155"/>
      <c r="AI74" s="147">
        <f>SUM(AA74,AC74,AE74,AG74)</f>
        <v>-14812.065764723879</v>
      </c>
      <c r="AJ74" s="148">
        <f>(AA74+AC74)</f>
        <v>-5909.7778823619392</v>
      </c>
      <c r="AK74" s="147">
        <f>(AE74+AG74)</f>
        <v>-8902.2878823619394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44765.650000000009</v>
      </c>
      <c r="J76" s="51">
        <f t="shared" si="75"/>
        <v>44765.650000000009</v>
      </c>
      <c r="K76" s="40">
        <f>SUM(K70:K75)</f>
        <v>1.7404461762611736</v>
      </c>
      <c r="L76" s="22">
        <f>SUM(L70:L75)</f>
        <v>1.1626780665238141</v>
      </c>
      <c r="M76" s="24">
        <f>SUM(M70:M75)</f>
        <v>1.3089475234509063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3806.9950000000003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6250.4500000000007</v>
      </c>
      <c r="AJ76" s="154">
        <f>SUM(AA76,AC76)</f>
        <v>4621.4800000000005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10918.286595124991</v>
      </c>
      <c r="K77" s="40"/>
      <c r="L77" s="22">
        <f>-(L131*G$37*F$9/F$7)/B$130</f>
        <v>-0.38607523722213077</v>
      </c>
      <c r="M77" s="24">
        <f>-J77/B$76</f>
        <v>-0.25665326614618816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5357.4871966932014</v>
      </c>
      <c r="AB77" s="112"/>
      <c r="AC77" s="111">
        <f>AC31*$I$83/4</f>
        <v>9226.8992654079248</v>
      </c>
      <c r="AD77" s="112"/>
      <c r="AE77" s="111">
        <f>AE31*$I$83/4</f>
        <v>9154.027188458118</v>
      </c>
      <c r="AF77" s="112"/>
      <c r="AG77" s="111">
        <f>AG31*$I$83/4</f>
        <v>9271.0462778990932</v>
      </c>
      <c r="AH77" s="110"/>
      <c r="AI77" s="154">
        <f>SUM(AA77,AC77,AE77,AG77)</f>
        <v>33009.459928458338</v>
      </c>
      <c r="AJ77" s="153">
        <f>SUM(AA77,AC77)</f>
        <v>14584.386462101127</v>
      </c>
      <c r="AK77" s="160">
        <f>SUM(AE77,AG77)</f>
        <v>18425.073466357211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-1458.633941180969</v>
      </c>
      <c r="AB79" s="112"/>
      <c r="AC79" s="112">
        <f>AA79-AA74+AC65-AC70</f>
        <v>-4451.1439411809697</v>
      </c>
      <c r="AD79" s="112"/>
      <c r="AE79" s="112">
        <f>AC79-AC74+AE65-AE70</f>
        <v>-4451.1439411809697</v>
      </c>
      <c r="AF79" s="112"/>
      <c r="AG79" s="112">
        <f>AE79-AE74+AG65-AG70</f>
        <v>-4451.1439411809697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0.3575757575757576</v>
      </c>
      <c r="I93" s="22">
        <f t="shared" si="88"/>
        <v>4.307586285695145E-3</v>
      </c>
      <c r="J93" s="24">
        <f t="shared" si="89"/>
        <v>4.307586285695145E-3</v>
      </c>
      <c r="K93" s="22">
        <f t="shared" si="90"/>
        <v>1.2046639612537269E-2</v>
      </c>
      <c r="L93" s="22">
        <f t="shared" si="91"/>
        <v>4.307586285695145E-3</v>
      </c>
      <c r="M93" s="227">
        <f t="shared" si="92"/>
        <v>4.307586285695145E-3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0.28606060606060607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1.3125852563489817</v>
      </c>
      <c r="J119" s="24">
        <f>SUM(J91:J118)</f>
        <v>1.3125852563489817</v>
      </c>
      <c r="K119" s="22">
        <f>SUM(K91:K118)</f>
        <v>2.0581369307507953</v>
      </c>
      <c r="L119" s="22">
        <f>SUM(L91:L118)</f>
        <v>1.3239396210162786</v>
      </c>
      <c r="M119" s="57">
        <f t="shared" si="80"/>
        <v>1.3125852563489817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0.69500575835454725</v>
      </c>
      <c r="J128" s="228">
        <f>(J30)</f>
        <v>0.53357052300790564</v>
      </c>
      <c r="K128" s="29">
        <f>(B128)</f>
        <v>0.66125891656288927</v>
      </c>
      <c r="L128" s="29">
        <f>IF(L124=L119,0,(L119-L124)/(B119-B124)*K128)</f>
        <v>0.35112047989123257</v>
      </c>
      <c r="M128" s="240">
        <f t="shared" si="93"/>
        <v>0.53357052300790564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1.3125852563489817</v>
      </c>
      <c r="J130" s="228">
        <f>(J119)</f>
        <v>1.3125852563489817</v>
      </c>
      <c r="K130" s="29">
        <f>(B130)</f>
        <v>2.0581369307507953</v>
      </c>
      <c r="L130" s="29">
        <f>(L119)</f>
        <v>1.3239396210162786</v>
      </c>
      <c r="M130" s="240">
        <f t="shared" si="93"/>
        <v>1.3125852563489817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0.32013791845653494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698.50002075567977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7.4220270289050158E-3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7.4220270289050158E-3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292.01040879508031</v>
      </c>
      <c r="U8" s="223">
        <v>2</v>
      </c>
      <c r="V8" s="56"/>
      <c r="W8" s="115"/>
      <c r="X8" s="118">
        <f>Poor!X8</f>
        <v>1</v>
      </c>
      <c r="Y8" s="184">
        <f t="shared" si="9"/>
        <v>2.9688108115620063E-2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2.9688108115620063E-2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7.4220270289050158E-3</v>
      </c>
      <c r="AJ8" s="120">
        <f t="shared" si="14"/>
        <v>1.4844054057810032E-2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4.1314508049098793E-3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4.1314508049098793E-3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1.6525803219639517E-2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1.6525803219639517E-2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4.1314508049098793E-3</v>
      </c>
      <c r="AJ10" s="120">
        <f t="shared" si="14"/>
        <v>8.2629016098197585E-3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3.8097361467187684E-3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3.8097361467187684E-3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5866.2857142857147</v>
      </c>
      <c r="T11" s="222">
        <f>IF($B$81=0,0,(SUMIF($N$6:$N$28,$U11,M$6:M$28)+SUMIF($N$91:$N$118,$U11,M$91:M$118))*$I$83*Poor!$B$81/$B$81)</f>
        <v>5288.5293981282839</v>
      </c>
      <c r="U11" s="223">
        <v>5</v>
      </c>
      <c r="V11" s="56"/>
      <c r="W11" s="115"/>
      <c r="X11" s="118">
        <f>Poor!X11</f>
        <v>1</v>
      </c>
      <c r="Y11" s="184">
        <f t="shared" si="9"/>
        <v>1.5238944586875074E-2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1.5238944586875074E-2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3.8097361467187684E-3</v>
      </c>
      <c r="AJ11" s="120">
        <f t="shared" si="14"/>
        <v>7.6194722934375368E-3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58258.285714285717</v>
      </c>
      <c r="T13" s="222">
        <f>IF($B$81=0,0,(SUMIF($N$6:$N$28,$U13,M$6:M$28)+SUMIF($N$91:$N$118,$U13,M$91:M$118))*$I$83*Poor!$B$81/$B$81)</f>
        <v>58258.285714285717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8.0045957348227491E-4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8.0045957348227491E-4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3.2018382939290996E-3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3.2018382939290996E-3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8.0045957348227491E-4</v>
      </c>
      <c r="AJ14" s="120">
        <f t="shared" si="14"/>
        <v>1.6009191469645498E-3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86328.756251550905</v>
      </c>
      <c r="T23" s="179">
        <f>SUM(T7:T22)</f>
        <v>85807.701812624597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3.2341881448557395E-2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3.2341881448557395E-2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0.12936752579422958</v>
      </c>
      <c r="Z27" s="156">
        <f>Poor!Z27</f>
        <v>0.25</v>
      </c>
      <c r="AA27" s="121">
        <f t="shared" si="16"/>
        <v>3.2341881448557395E-2</v>
      </c>
      <c r="AB27" s="156">
        <f>Poor!AB27</f>
        <v>0.25</v>
      </c>
      <c r="AC27" s="121">
        <f t="shared" si="7"/>
        <v>3.2341881448557395E-2</v>
      </c>
      <c r="AD27" s="156">
        <f>Poor!AD27</f>
        <v>0.25</v>
      </c>
      <c r="AE27" s="121">
        <f t="shared" si="8"/>
        <v>3.2341881448557395E-2</v>
      </c>
      <c r="AF27" s="122">
        <f t="shared" si="10"/>
        <v>0.25</v>
      </c>
      <c r="AG27" s="121">
        <f t="shared" si="11"/>
        <v>3.2341881448557395E-2</v>
      </c>
      <c r="AH27" s="123">
        <f t="shared" si="12"/>
        <v>1</v>
      </c>
      <c r="AI27" s="184">
        <f t="shared" si="13"/>
        <v>3.2341881448557395E-2</v>
      </c>
      <c r="AJ27" s="120">
        <f t="shared" si="14"/>
        <v>3.2341881448557395E-2</v>
      </c>
      <c r="AK27" s="119">
        <f t="shared" si="15"/>
        <v>3.2341881448557395E-2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0.26777053619057534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0.26777053619057534</v>
      </c>
      <c r="N29" s="229"/>
      <c r="P29" s="22"/>
      <c r="V29" s="56"/>
      <c r="W29" s="110"/>
      <c r="X29" s="118"/>
      <c r="Y29" s="184">
        <f t="shared" si="9"/>
        <v>1.0710821447623013</v>
      </c>
      <c r="Z29" s="156">
        <f>Poor!Z29</f>
        <v>0.25</v>
      </c>
      <c r="AA29" s="121">
        <f t="shared" si="16"/>
        <v>0.26777053619057534</v>
      </c>
      <c r="AB29" s="156">
        <f>Poor!AB29</f>
        <v>0.25</v>
      </c>
      <c r="AC29" s="121">
        <f t="shared" si="7"/>
        <v>0.26777053619057534</v>
      </c>
      <c r="AD29" s="156">
        <f>Poor!AD29</f>
        <v>0.25</v>
      </c>
      <c r="AE29" s="121">
        <f t="shared" si="8"/>
        <v>0.26777053619057534</v>
      </c>
      <c r="AF29" s="122">
        <f t="shared" si="10"/>
        <v>0.25</v>
      </c>
      <c r="AG29" s="121">
        <f t="shared" si="11"/>
        <v>0.26777053619057534</v>
      </c>
      <c r="AH29" s="123">
        <f t="shared" si="12"/>
        <v>1</v>
      </c>
      <c r="AI29" s="184">
        <f t="shared" si="13"/>
        <v>0.26777053619057534</v>
      </c>
      <c r="AJ29" s="120">
        <f t="shared" si="14"/>
        <v>0.26777053619057534</v>
      </c>
      <c r="AK29" s="119">
        <f t="shared" si="15"/>
        <v>0.26777053619057534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1.6658697426930555</v>
      </c>
      <c r="J30" s="231">
        <f>IF(I$32&lt;=1,I30,1-SUM(J6:J29))</f>
        <v>0.52187346355348874</v>
      </c>
      <c r="K30" s="22">
        <f t="shared" si="4"/>
        <v>0.7395463412204234</v>
      </c>
      <c r="L30" s="22">
        <f>IF(L124=L119,0,IF(K30="",0,(L119-L124)/(B119-B124)*K30))</f>
        <v>0.19932744805016728</v>
      </c>
      <c r="M30" s="175">
        <f t="shared" si="6"/>
        <v>0.52187346355348874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2.0874938542139549</v>
      </c>
      <c r="Z30" s="122">
        <f>IF($Y30=0,0,AA30/($Y$30))</f>
        <v>0.22822635766530555</v>
      </c>
      <c r="AA30" s="188">
        <f>IF(AA79*4/$I$84+SUM(AA6:AA29)&lt;1,AA79*4/$I$84,1-SUM(AA6:AA29))</f>
        <v>0.47642111899596129</v>
      </c>
      <c r="AB30" s="122">
        <f>IF($Y30=0,0,AC30/($Y$30))</f>
        <v>0.25898748187087195</v>
      </c>
      <c r="AC30" s="188">
        <f>IF(AC79*4/$I$84+SUM(AC6:AC29)&lt;1,AC79*4/$I$84,1-SUM(AC6:AC29))</f>
        <v>0.54063477672379323</v>
      </c>
      <c r="AD30" s="122">
        <f>IF($Y30=0,0,AE30/($Y$30))</f>
        <v>0.25733849977829776</v>
      </c>
      <c r="AE30" s="188">
        <f>IF(AE79*4/$I$84+SUM(AE6:AE29)&lt;1,AE79*4/$I$84,1-SUM(AE6:AE29))</f>
        <v>0.5371925367398358</v>
      </c>
      <c r="AF30" s="122">
        <f>IF($Y30=0,0,AG30/($Y$30))</f>
        <v>0.25544766068552477</v>
      </c>
      <c r="AG30" s="188">
        <f>IF(AG79*4/$I$84+SUM(AG6:AG29)&lt;1,AG79*4/$I$84,1-SUM(AG6:AG29))</f>
        <v>0.53324542175436462</v>
      </c>
      <c r="AH30" s="123">
        <f t="shared" si="12"/>
        <v>1</v>
      </c>
      <c r="AI30" s="184">
        <f t="shared" si="13"/>
        <v>0.52187346355348874</v>
      </c>
      <c r="AJ30" s="120">
        <f t="shared" si="14"/>
        <v>0.50852794785987721</v>
      </c>
      <c r="AK30" s="119">
        <f t="shared" si="15"/>
        <v>0.53521897924710027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0.30032198765715323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2.0780340425641484</v>
      </c>
      <c r="J32" s="17"/>
      <c r="L32" s="22">
        <f>SUM(L6:L30)</f>
        <v>0.69967801234284677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10328.07826724973</v>
      </c>
      <c r="T32" s="234">
        <f t="shared" si="24"/>
        <v>10849.132706176038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0.25201235126508043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4125.2508510144107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3.1771802611016718E-2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4125.2508510144107</v>
      </c>
      <c r="AH37" s="123">
        <f>SUM(Z37,AB37,AD37,AF37)</f>
        <v>1</v>
      </c>
      <c r="AI37" s="112">
        <f>SUM(AA37,AC37,AE37,AG37)</f>
        <v>4125.2508510144107</v>
      </c>
      <c r="AJ37" s="148">
        <f>(AA37+AC37)</f>
        <v>0</v>
      </c>
      <c r="AK37" s="147">
        <f>(AE37+AG37)</f>
        <v>4125.2508510144107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443.21237234783842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3.4135272053900062E-3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443.21237234783842</v>
      </c>
      <c r="AH38" s="123">
        <f t="shared" ref="AH38:AI58" si="37">SUM(Z38,AB38,AD38,AF38)</f>
        <v>1</v>
      </c>
      <c r="AI38" s="112">
        <f t="shared" si="37"/>
        <v>443.21237234783842</v>
      </c>
      <c r="AJ38" s="148">
        <f t="shared" ref="AJ38:AJ64" si="38">(AA38+AC38)</f>
        <v>0</v>
      </c>
      <c r="AK38" s="147">
        <f t="shared" ref="AK38:AK64" si="39">(AE38+AG38)</f>
        <v>443.21237234783842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59</v>
      </c>
      <c r="J39" s="38">
        <f t="shared" si="32"/>
        <v>58.999999999999993</v>
      </c>
      <c r="K39" s="40">
        <f t="shared" si="33"/>
        <v>7.701786814540973E-4</v>
      </c>
      <c r="L39" s="22">
        <f t="shared" si="34"/>
        <v>4.5440542205791738E-4</v>
      </c>
      <c r="M39" s="24">
        <f t="shared" si="35"/>
        <v>4.5440542205791738E-4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58.999999999999993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58.999999999999993</v>
      </c>
      <c r="AJ39" s="148">
        <f t="shared" si="38"/>
        <v>58.999999999999993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109.95418436403317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8.4684368733851793E-4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109.95418436403317</v>
      </c>
      <c r="AH40" s="123">
        <f t="shared" si="37"/>
        <v>1</v>
      </c>
      <c r="AI40" s="112">
        <f t="shared" si="37"/>
        <v>109.95418436403317</v>
      </c>
      <c r="AJ40" s="148">
        <f t="shared" si="38"/>
        <v>0</v>
      </c>
      <c r="AK40" s="147">
        <f t="shared" si="39"/>
        <v>109.95418436403317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74.346499172097836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5.7260088703094451E-4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74.346499172097836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74.346499172097836</v>
      </c>
      <c r="AJ41" s="148">
        <f t="shared" si="38"/>
        <v>74.346499172097836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58.642231660817679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4.516499665805428E-4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14.66055791520442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29.321115830408839</v>
      </c>
      <c r="AF42" s="122">
        <f t="shared" si="29"/>
        <v>0.25</v>
      </c>
      <c r="AG42" s="147">
        <f t="shared" si="36"/>
        <v>14.66055791520442</v>
      </c>
      <c r="AH42" s="123">
        <f t="shared" si="37"/>
        <v>1</v>
      </c>
      <c r="AI42" s="112">
        <f t="shared" si="37"/>
        <v>58.642231660817679</v>
      </c>
      <c r="AJ42" s="148">
        <f t="shared" si="38"/>
        <v>14.66055791520442</v>
      </c>
      <c r="AK42" s="147">
        <f t="shared" si="39"/>
        <v>43.981673745613257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12.566192498746648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9.6782135695830626E-5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3.1415481246866621</v>
      </c>
      <c r="AB45" s="156">
        <f>Poor!AB45</f>
        <v>0.25</v>
      </c>
      <c r="AC45" s="147">
        <f t="shared" si="41"/>
        <v>3.1415481246866621</v>
      </c>
      <c r="AD45" s="156">
        <f>Poor!AD45</f>
        <v>0.25</v>
      </c>
      <c r="AE45" s="147">
        <f t="shared" si="42"/>
        <v>3.1415481246866621</v>
      </c>
      <c r="AF45" s="122">
        <f t="shared" si="29"/>
        <v>0.25</v>
      </c>
      <c r="AG45" s="147">
        <f t="shared" si="36"/>
        <v>3.1415481246866621</v>
      </c>
      <c r="AH45" s="123">
        <f t="shared" si="37"/>
        <v>1</v>
      </c>
      <c r="AI45" s="112">
        <f t="shared" si="37"/>
        <v>12.566192498746648</v>
      </c>
      <c r="AJ45" s="148">
        <f t="shared" si="38"/>
        <v>6.2830962493733242</v>
      </c>
      <c r="AK45" s="147">
        <f t="shared" si="39"/>
        <v>6.2830962493733242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0.4</v>
      </c>
      <c r="F50" s="75">
        <f>Poor!F50</f>
        <v>1.18</v>
      </c>
      <c r="G50" s="75">
        <f>Poor!G50</f>
        <v>1.65</v>
      </c>
      <c r="H50" s="24">
        <f t="shared" si="30"/>
        <v>0.47199999999999998</v>
      </c>
      <c r="I50" s="39">
        <f t="shared" si="31"/>
        <v>50976</v>
      </c>
      <c r="J50" s="38">
        <f t="shared" si="32"/>
        <v>50976</v>
      </c>
      <c r="K50" s="40">
        <f t="shared" si="33"/>
        <v>0.83179297597042512</v>
      </c>
      <c r="L50" s="22">
        <f t="shared" si="34"/>
        <v>0.39260628465804065</v>
      </c>
      <c r="M50" s="24">
        <f t="shared" si="35"/>
        <v>0.39260628465804065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12744</v>
      </c>
      <c r="AB50" s="156">
        <f>Poor!AB55</f>
        <v>0.25</v>
      </c>
      <c r="AC50" s="147">
        <f t="shared" si="41"/>
        <v>12744</v>
      </c>
      <c r="AD50" s="156">
        <f>Poor!AD55</f>
        <v>0.25</v>
      </c>
      <c r="AE50" s="147">
        <f t="shared" si="42"/>
        <v>12744</v>
      </c>
      <c r="AF50" s="122">
        <f t="shared" si="29"/>
        <v>0.25</v>
      </c>
      <c r="AG50" s="147">
        <f t="shared" si="36"/>
        <v>12744</v>
      </c>
      <c r="AH50" s="123">
        <f t="shared" si="37"/>
        <v>1</v>
      </c>
      <c r="AI50" s="112">
        <f t="shared" si="37"/>
        <v>50976</v>
      </c>
      <c r="AJ50" s="148">
        <f t="shared" si="38"/>
        <v>25488</v>
      </c>
      <c r="AK50" s="147">
        <f t="shared" si="39"/>
        <v>25488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68142.3</v>
      </c>
      <c r="J65" s="39">
        <f>SUM(J37:J64)</f>
        <v>69769.472331057943</v>
      </c>
      <c r="K65" s="40">
        <f>SUM(K37:K64)</f>
        <v>1.0000000000000002</v>
      </c>
      <c r="L65" s="22">
        <f>SUM(L37:L64)</f>
        <v>0.5415719346888479</v>
      </c>
      <c r="M65" s="24">
        <f>SUM(M37:M64)</f>
        <v>0.53734960205682336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15373.148605211989</v>
      </c>
      <c r="AB65" s="137"/>
      <c r="AC65" s="153">
        <f>SUM(AC37:AC64)</f>
        <v>15225.141548124686</v>
      </c>
      <c r="AD65" s="137"/>
      <c r="AE65" s="153">
        <f>SUM(AE37:AE64)</f>
        <v>15254.462663955095</v>
      </c>
      <c r="AF65" s="137"/>
      <c r="AG65" s="153">
        <f>SUM(AG37:AG64)</f>
        <v>19918.219513766173</v>
      </c>
      <c r="AH65" s="137"/>
      <c r="AI65" s="153">
        <f>SUM(AI37:AI64)</f>
        <v>65770.972331057943</v>
      </c>
      <c r="AJ65" s="153">
        <f>SUM(AJ37:AJ64)</f>
        <v>30598.290153336675</v>
      </c>
      <c r="AK65" s="153">
        <f>SUM(AK37:AK64)</f>
        <v>35172.682177721268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21395.089449294239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0.16478041781649908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2.3432686383240912E-2</v>
      </c>
      <c r="L73" s="22">
        <f t="shared" si="45"/>
        <v>2.2512322145631845E-2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49712.598705866607</v>
      </c>
      <c r="J74" s="51">
        <f t="shared" si="44"/>
        <v>15573.658254296979</v>
      </c>
      <c r="K74" s="40">
        <f>B74/B$76</f>
        <v>0.10301450213208779</v>
      </c>
      <c r="L74" s="22">
        <f t="shared" si="45"/>
        <v>4.581250358244332E-2</v>
      </c>
      <c r="M74" s="24">
        <f>J74/B$76</f>
        <v>0.11994499579711167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4949.780416240922</v>
      </c>
      <c r="AB74" s="156"/>
      <c r="AC74" s="147">
        <f>AC30*$I$84/4</f>
        <v>5616.9286445693861</v>
      </c>
      <c r="AD74" s="156"/>
      <c r="AE74" s="147">
        <f>AE30*$I$84/4</f>
        <v>5581.1654691322819</v>
      </c>
      <c r="AF74" s="156"/>
      <c r="AG74" s="147">
        <f>AG30*$I$84/4</f>
        <v>5540.1568914753752</v>
      </c>
      <c r="AH74" s="155"/>
      <c r="AI74" s="147">
        <f>SUM(AA74,AC74,AE74,AG74)</f>
        <v>21688.031421417967</v>
      </c>
      <c r="AJ74" s="148">
        <f>(AA74+AC74)</f>
        <v>10566.709060810308</v>
      </c>
      <c r="AK74" s="147">
        <f>(AE74+AG74)</f>
        <v>11121.322360607657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0.49139857791808356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17148.482486294564</v>
      </c>
      <c r="AB75" s="158"/>
      <c r="AC75" s="149">
        <f>AA75+AC65-SUM(AC70,AC74)</f>
        <v>22149.270066316512</v>
      </c>
      <c r="AD75" s="158"/>
      <c r="AE75" s="149">
        <f>AC75+AE65-SUM(AE70,AE74)</f>
        <v>27215.141937605978</v>
      </c>
      <c r="AF75" s="158"/>
      <c r="AG75" s="149">
        <f>IF(SUM(AG6:AG29)+((AG65-AG70-$J$75)*4/I$83)&lt;1,0,AG65-AG70-$J$75-(1-SUM(AG6:AG29))*I$83/4)</f>
        <v>11332.539620856847</v>
      </c>
      <c r="AH75" s="134"/>
      <c r="AI75" s="149">
        <f>AI76-SUM(AI70,AI74)</f>
        <v>25653.23961550658</v>
      </c>
      <c r="AJ75" s="151">
        <f>AJ76-SUM(AJ70,AJ74)</f>
        <v>10816.730445459667</v>
      </c>
      <c r="AK75" s="149">
        <f>AJ75+AK76-SUM(AK70,AK74)</f>
        <v>25653.23961550658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68142.3</v>
      </c>
      <c r="J76" s="51">
        <f t="shared" si="44"/>
        <v>69769.472331057943</v>
      </c>
      <c r="K76" s="40">
        <f>SUM(K70:K75)</f>
        <v>1</v>
      </c>
      <c r="L76" s="22">
        <f>SUM(L70:L75)</f>
        <v>0.5415719346888479</v>
      </c>
      <c r="M76" s="24">
        <f>SUM(M70:M75)</f>
        <v>0.53734960205682347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15373.148605211989</v>
      </c>
      <c r="AB76" s="137"/>
      <c r="AC76" s="153">
        <f>AC65</f>
        <v>15225.141548124686</v>
      </c>
      <c r="AD76" s="137"/>
      <c r="AE76" s="153">
        <f>AE65</f>
        <v>15254.462663955095</v>
      </c>
      <c r="AF76" s="137"/>
      <c r="AG76" s="153">
        <f>AG65</f>
        <v>19918.219513766173</v>
      </c>
      <c r="AH76" s="137"/>
      <c r="AI76" s="153">
        <f>SUM(AA76,AC76,AE76,AG76)</f>
        <v>65770.972331057943</v>
      </c>
      <c r="AJ76" s="154">
        <f>SUM(AA76,AC76)</f>
        <v>30598.290153336675</v>
      </c>
      <c r="AK76" s="154">
        <f>SUM(AE76,AG76)</f>
        <v>35172.682177721268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14371.023333333342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11332.539620856847</v>
      </c>
      <c r="AB78" s="112"/>
      <c r="AC78" s="112">
        <f>IF(AA75&lt;0,0,AA75)</f>
        <v>17148.482486294564</v>
      </c>
      <c r="AD78" s="112"/>
      <c r="AE78" s="112">
        <f>AC75</f>
        <v>22149.270066316512</v>
      </c>
      <c r="AF78" s="112"/>
      <c r="AG78" s="112">
        <f>AE75</f>
        <v>27215.141937605978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22098.262902535487</v>
      </c>
      <c r="AB79" s="112"/>
      <c r="AC79" s="112">
        <f>AA79-AA74+AC65-AC70</f>
        <v>27766.198710885899</v>
      </c>
      <c r="AD79" s="112"/>
      <c r="AE79" s="112">
        <f>AC79-AC74+AE65-AE70</f>
        <v>32796.307406738255</v>
      </c>
      <c r="AF79" s="112"/>
      <c r="AG79" s="112">
        <f>AE79-AE74+AG65-AG70</f>
        <v>42525.936127838795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0.13823720249234731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0.13823720249234731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1.4852051590582834E-2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1.4852051590582834E-2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0.3575757575757576</v>
      </c>
      <c r="I93" s="22">
        <f t="shared" si="58"/>
        <v>1.9770906646908292E-3</v>
      </c>
      <c r="J93" s="24">
        <f t="shared" si="59"/>
        <v>1.9770906646908292E-3</v>
      </c>
      <c r="K93" s="22">
        <f t="shared" si="60"/>
        <v>5.5291518588811324E-3</v>
      </c>
      <c r="L93" s="22">
        <f t="shared" si="61"/>
        <v>1.9770906646908292E-3</v>
      </c>
      <c r="M93" s="227">
        <f t="shared" si="62"/>
        <v>1.9770906646908292E-3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3.6845659567766838E-3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3.6845659567766838E-3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2.491352024840663E-3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2.491352024840663E-3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1.9651018436142309E-3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1.9651018436142309E-3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4.2109325220304956E-4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4.2109325220304956E-4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0.28606060606060607</v>
      </c>
      <c r="I104" s="22">
        <f t="shared" si="58"/>
        <v>1.7082063342928766</v>
      </c>
      <c r="J104" s="24">
        <f t="shared" si="59"/>
        <v>1.7082063342928766</v>
      </c>
      <c r="K104" s="22">
        <f t="shared" si="60"/>
        <v>5.9714840075916236</v>
      </c>
      <c r="L104" s="22">
        <f t="shared" si="61"/>
        <v>1.7082063342928766</v>
      </c>
      <c r="M104" s="227">
        <f t="shared" si="62"/>
        <v>1.7082063342928766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2.28344924068749</v>
      </c>
      <c r="J119" s="24">
        <f>SUM(J91:J118)</f>
        <v>2.3379758038328777</v>
      </c>
      <c r="K119" s="22">
        <f>SUM(K91:K118)</f>
        <v>7.1790507735712632</v>
      </c>
      <c r="L119" s="22">
        <f>SUM(L91:L118)</f>
        <v>2.3563469191954298</v>
      </c>
      <c r="M119" s="57">
        <f t="shared" si="49"/>
        <v>2.3379758038328777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0.71694968848177787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0.71694968848177787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9.7949759826959859E-2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1.6658697426930555</v>
      </c>
      <c r="J128" s="228">
        <f>(J30)</f>
        <v>0.52187346355348874</v>
      </c>
      <c r="K128" s="22">
        <f>(B128)</f>
        <v>0.7395463412204234</v>
      </c>
      <c r="L128" s="22">
        <f>IF(L124=L119,0,(L119-L124)/(B119-B124)*K128)</f>
        <v>0.19932744805016728</v>
      </c>
      <c r="M128" s="57">
        <f t="shared" si="63"/>
        <v>0.52187346355348874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3.5277753409346362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2.28344924068749</v>
      </c>
      <c r="J130" s="228">
        <f>(J119)</f>
        <v>2.3379758038328777</v>
      </c>
      <c r="K130" s="22">
        <f>(B130)</f>
        <v>7.1790507735712632</v>
      </c>
      <c r="L130" s="22">
        <f>(L119)</f>
        <v>2.3563469191954298</v>
      </c>
      <c r="M130" s="57">
        <f t="shared" si="63"/>
        <v>2.3379758038328777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0.48157315380317689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556.52560212159665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9593.1306057695565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5.4777291806896642E-4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5.4777291806896642E-4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11271.950325165275</v>
      </c>
      <c r="U11" s="223">
        <v>5</v>
      </c>
      <c r="V11" s="56"/>
      <c r="W11" s="115"/>
      <c r="X11" s="118">
        <f>Poor!X11</f>
        <v>1</v>
      </c>
      <c r="Y11" s="184">
        <f t="shared" si="9"/>
        <v>2.1910916722758657E-3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2.1910916722758657E-3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5.4777291806896642E-4</v>
      </c>
      <c r="AJ11" s="120">
        <f t="shared" si="14"/>
        <v>1.0955458361379328E-3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108748.79999999997</v>
      </c>
      <c r="T13" s="222">
        <f>IF($B$81=0,0,(SUMIF($N$6:$N$28,$U13,M$6:M$28)+SUMIF($N$91:$N$118,$U13,M$91:M$118))*$I$83*Poor!$B$81/$B$81)</f>
        <v>108748.79999999997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194915.91334249132</v>
      </c>
      <c r="T23" s="179">
        <f>SUM(T7:T22)</f>
        <v>195048.39517539364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5.6002208481649565E-2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5.6002208481649565E-2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0.22400883392659826</v>
      </c>
      <c r="Z27" s="156">
        <f>Poor!Z27</f>
        <v>0.25</v>
      </c>
      <c r="AA27" s="121">
        <f t="shared" si="16"/>
        <v>5.6002208481649565E-2</v>
      </c>
      <c r="AB27" s="156">
        <f>Poor!AB27</f>
        <v>0.25</v>
      </c>
      <c r="AC27" s="121">
        <f t="shared" si="7"/>
        <v>5.6002208481649565E-2</v>
      </c>
      <c r="AD27" s="156">
        <f>Poor!AD27</f>
        <v>0.25</v>
      </c>
      <c r="AE27" s="121">
        <f t="shared" si="8"/>
        <v>5.6002208481649565E-2</v>
      </c>
      <c r="AF27" s="122">
        <f t="shared" si="10"/>
        <v>0.25</v>
      </c>
      <c r="AG27" s="121">
        <f t="shared" si="11"/>
        <v>5.6002208481649565E-2</v>
      </c>
      <c r="AH27" s="123">
        <f t="shared" si="12"/>
        <v>1</v>
      </c>
      <c r="AI27" s="184">
        <f t="shared" si="13"/>
        <v>5.6002208481649565E-2</v>
      </c>
      <c r="AJ27" s="120">
        <f t="shared" si="14"/>
        <v>5.6002208481649565E-2</v>
      </c>
      <c r="AK27" s="119">
        <f t="shared" si="15"/>
        <v>5.6002208481649565E-2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0.39925768362452602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0.39925768362452602</v>
      </c>
      <c r="N29" s="229"/>
      <c r="P29" s="22"/>
      <c r="V29" s="56"/>
      <c r="W29" s="110"/>
      <c r="X29" s="118"/>
      <c r="Y29" s="184">
        <f t="shared" si="9"/>
        <v>1.5970307344981041</v>
      </c>
      <c r="Z29" s="156">
        <f>Poor!Z29</f>
        <v>0.25</v>
      </c>
      <c r="AA29" s="121">
        <f t="shared" si="16"/>
        <v>0.39925768362452602</v>
      </c>
      <c r="AB29" s="156">
        <f>Poor!AB29</f>
        <v>0.25</v>
      </c>
      <c r="AC29" s="121">
        <f t="shared" si="7"/>
        <v>0.39925768362452602</v>
      </c>
      <c r="AD29" s="156">
        <f>Poor!AD29</f>
        <v>0.25</v>
      </c>
      <c r="AE29" s="121">
        <f t="shared" si="8"/>
        <v>0.39925768362452602</v>
      </c>
      <c r="AF29" s="122">
        <f t="shared" si="10"/>
        <v>0.25</v>
      </c>
      <c r="AG29" s="121">
        <f t="shared" si="11"/>
        <v>0.39925768362452602</v>
      </c>
      <c r="AH29" s="123">
        <f t="shared" si="12"/>
        <v>1</v>
      </c>
      <c r="AI29" s="184">
        <f t="shared" si="13"/>
        <v>0.39925768362452602</v>
      </c>
      <c r="AJ29" s="120">
        <f t="shared" si="14"/>
        <v>0.39925768362452602</v>
      </c>
      <c r="AK29" s="119">
        <f t="shared" si="15"/>
        <v>0.39925768362452602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5.0864517268805178</v>
      </c>
      <c r="J30" s="231">
        <f>IF(I$32&lt;=1,I30,1-SUM(J6:J29))</f>
        <v>0.46364588183989586</v>
      </c>
      <c r="K30" s="22">
        <f t="shared" si="4"/>
        <v>0.85667246226650062</v>
      </c>
      <c r="L30" s="22">
        <f>IF(L124=L119,0,IF(K30="",0,(L119-L124)/(B119-B124)*K30))</f>
        <v>0.26844065066810657</v>
      </c>
      <c r="M30" s="175">
        <f t="shared" si="6"/>
        <v>0.46364588183989586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1.8545835273595834</v>
      </c>
      <c r="Z30" s="122">
        <f>IF($Y30=0,0,AA30/($Y$30))</f>
        <v>0.2349649620323766</v>
      </c>
      <c r="AA30" s="188">
        <f>IF(AA79*4/$I$83+SUM(AA6:AA29)&lt;1,AA79*4/$I$83,1-SUM(AA6:AA29))</f>
        <v>0.4357621480919156</v>
      </c>
      <c r="AB30" s="122">
        <f>IF($Y30=0,0,AC30/($Y$30))</f>
        <v>0.26052726167661849</v>
      </c>
      <c r="AC30" s="188">
        <f>IF(AC79*4/$I$83+SUM(AC6:AC29)&lt;1,AC79*4/$I$83,1-SUM(AC6:AC29))</f>
        <v>0.48316956793355637</v>
      </c>
      <c r="AD30" s="122">
        <f>IF($Y30=0,0,AE30/($Y$30))</f>
        <v>0.25306070746697756</v>
      </c>
      <c r="AE30" s="188">
        <f>IF(AE79*4/$I$83+SUM(AE6:AE29)&lt;1,AE79*4/$I$83,1-SUM(AE6:AE29))</f>
        <v>0.46932221949021891</v>
      </c>
      <c r="AF30" s="122">
        <f>IF($Y30=0,0,AG30/($Y$30))</f>
        <v>0.25144706882402734</v>
      </c>
      <c r="AG30" s="188">
        <f>IF(AG79*4/$I$83+SUM(AG6:AG29)&lt;1,AG79*4/$I$83,1-SUM(AG6:AG29))</f>
        <v>0.46632959184389255</v>
      </c>
      <c r="AH30" s="123">
        <f t="shared" si="12"/>
        <v>1</v>
      </c>
      <c r="AI30" s="184">
        <f t="shared" si="13"/>
        <v>0.46364588183989586</v>
      </c>
      <c r="AJ30" s="120">
        <f t="shared" si="14"/>
        <v>0.45946585801273598</v>
      </c>
      <c r="AK30" s="119">
        <f t="shared" si="15"/>
        <v>0.46782590566705573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0.1821446133766067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5.3943907430845615</v>
      </c>
      <c r="J32" s="17"/>
      <c r="L32" s="22">
        <f>SUM(L6:L30)</f>
        <v>0.8178553866233933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5.4086670944130402E-2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5963.8222717140743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2.7581940189777516E-2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5963.8222717140743</v>
      </c>
      <c r="AH37" s="123">
        <f>SUM(Z37,AB37,AD37,AF37)</f>
        <v>1</v>
      </c>
      <c r="AI37" s="112">
        <f>SUM(AA37,AC37,AE37,AG37)</f>
        <v>5963.8222717140743</v>
      </c>
      <c r="AJ37" s="148">
        <f>(AA37+AC37)</f>
        <v>0</v>
      </c>
      <c r="AK37" s="147">
        <f>(AE37+AG37)</f>
        <v>5963.8222717140743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1081.1466815142221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5.0001696474652078E-3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1081.1466815142221</v>
      </c>
      <c r="AH38" s="123">
        <f t="shared" ref="AH38:AI58" si="35">SUM(Z38,AB38,AD38,AF38)</f>
        <v>1</v>
      </c>
      <c r="AI38" s="112">
        <f t="shared" si="35"/>
        <v>1081.1466815142221</v>
      </c>
      <c r="AJ38" s="148">
        <f t="shared" ref="AJ38:AJ64" si="36">(AA38+AC38)</f>
        <v>0</v>
      </c>
      <c r="AK38" s="147">
        <f t="shared" ref="AK38:AK64" si="37">(AE38+AG38)</f>
        <v>1081.1466815142221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42.906628605974241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1.9843784909016771E-4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10.72665715149356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21.45331430298712</v>
      </c>
      <c r="AF42" s="122">
        <f t="shared" si="31"/>
        <v>0.25</v>
      </c>
      <c r="AG42" s="147">
        <f t="shared" si="34"/>
        <v>10.72665715149356</v>
      </c>
      <c r="AH42" s="123">
        <f t="shared" si="35"/>
        <v>1</v>
      </c>
      <c r="AI42" s="112">
        <f t="shared" si="35"/>
        <v>42.906628605974241</v>
      </c>
      <c r="AJ42" s="148">
        <f t="shared" si="36"/>
        <v>10.72665715149356</v>
      </c>
      <c r="AK42" s="147">
        <f t="shared" si="37"/>
        <v>32.179971454480679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0.4</v>
      </c>
      <c r="F50" s="75">
        <f>Middle!F50</f>
        <v>1.18</v>
      </c>
      <c r="G50" s="22">
        <f t="shared" si="32"/>
        <v>1.65</v>
      </c>
      <c r="H50" s="24">
        <f t="shared" si="26"/>
        <v>0.47199999999999998</v>
      </c>
      <c r="I50" s="39">
        <f t="shared" si="27"/>
        <v>67968</v>
      </c>
      <c r="J50" s="38">
        <f t="shared" si="33"/>
        <v>67967.999999999985</v>
      </c>
      <c r="K50" s="40">
        <f t="shared" si="28"/>
        <v>0.66598218497655193</v>
      </c>
      <c r="L50" s="22">
        <f t="shared" si="29"/>
        <v>0.31434359130893247</v>
      </c>
      <c r="M50" s="24">
        <f t="shared" si="30"/>
        <v>0.31434359130893241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16991.999999999996</v>
      </c>
      <c r="AB50" s="156">
        <f>Poor!AB55</f>
        <v>0.25</v>
      </c>
      <c r="AC50" s="147">
        <f t="shared" si="39"/>
        <v>16991.999999999996</v>
      </c>
      <c r="AD50" s="156">
        <f>Poor!AD55</f>
        <v>0.25</v>
      </c>
      <c r="AE50" s="147">
        <f t="shared" si="40"/>
        <v>16991.999999999996</v>
      </c>
      <c r="AF50" s="122">
        <f t="shared" si="31"/>
        <v>0.25</v>
      </c>
      <c r="AG50" s="147">
        <f t="shared" si="34"/>
        <v>16991.999999999996</v>
      </c>
      <c r="AH50" s="123">
        <f t="shared" si="35"/>
        <v>1</v>
      </c>
      <c r="AI50" s="112">
        <f t="shared" si="35"/>
        <v>67967.999999999985</v>
      </c>
      <c r="AJ50" s="148">
        <f t="shared" si="36"/>
        <v>33983.999999999993</v>
      </c>
      <c r="AK50" s="147">
        <f t="shared" si="37"/>
        <v>33983.999999999993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121584.8</v>
      </c>
      <c r="J65" s="39">
        <f>SUM(J37:J64)</f>
        <v>120176.67558183425</v>
      </c>
      <c r="K65" s="40">
        <f>SUM(K37:K64)</f>
        <v>1.0000000000000002</v>
      </c>
      <c r="L65" s="22">
        <f>SUM(L37:L64)</f>
        <v>0.55542988225064971</v>
      </c>
      <c r="M65" s="24">
        <f>SUM(M37:M64)</f>
        <v>0.55580225685561246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26897.526657151488</v>
      </c>
      <c r="AB65" s="137"/>
      <c r="AC65" s="153">
        <f>SUM(AC37:AC64)</f>
        <v>26533.999999999996</v>
      </c>
      <c r="AD65" s="137"/>
      <c r="AE65" s="153">
        <f>SUM(AE37:AE64)</f>
        <v>26555.453314302984</v>
      </c>
      <c r="AF65" s="137"/>
      <c r="AG65" s="153">
        <f>SUM(AG37:AG64)</f>
        <v>33589.695610379786</v>
      </c>
      <c r="AH65" s="137"/>
      <c r="AI65" s="153">
        <f>SUM(AI37:AI64)</f>
        <v>113576.67558183425</v>
      </c>
      <c r="AJ65" s="153">
        <f>SUM(AJ37:AJ64)</f>
        <v>53431.526657151488</v>
      </c>
      <c r="AK65" s="153">
        <f>SUM(AK37:AK64)</f>
        <v>60145.14892468277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108420.72764704756</v>
      </c>
      <c r="J74" s="51">
        <f>J128*I$83</f>
        <v>9882.8862591935049</v>
      </c>
      <c r="K74" s="40">
        <f>B74/B$76</f>
        <v>5.1183310562586744E-2</v>
      </c>
      <c r="L74" s="22">
        <f>(L128*G$37*F$9/F$7)/B$130</f>
        <v>2.646340925304029E-2</v>
      </c>
      <c r="M74" s="24">
        <f>J74/B$76</f>
        <v>4.5707126283141886E-2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2322.1319946616982</v>
      </c>
      <c r="AB74" s="156"/>
      <c r="AC74" s="147">
        <f>AC30*$I$83/4</f>
        <v>2574.7612945691635</v>
      </c>
      <c r="AD74" s="156"/>
      <c r="AE74" s="147">
        <f>AE30*$I$83/4</f>
        <v>2500.9701885671798</v>
      </c>
      <c r="AF74" s="156"/>
      <c r="AG74" s="147">
        <f>AG30*$I$83/4</f>
        <v>2485.0227813954634</v>
      </c>
      <c r="AH74" s="155"/>
      <c r="AI74" s="147">
        <f>SUM(AA74,AC74,AE74,AG74)</f>
        <v>9882.8862591935067</v>
      </c>
      <c r="AJ74" s="148">
        <f>(AA74+AC74)</f>
        <v>4896.8932892308621</v>
      </c>
      <c r="AK74" s="147">
        <f>(AE74+AG74)</f>
        <v>4985.9929699626427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40635.250303021632</v>
      </c>
      <c r="K75" s="40">
        <f>B75/B$76</f>
        <v>0.6839057391631389</v>
      </c>
      <c r="L75" s="22">
        <f>(L129*G$37*F$9/F$7)/B$130</f>
        <v>0.20680434786871829</v>
      </c>
      <c r="M75" s="24">
        <f>J75/B$76</f>
        <v>0.18793300544357944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21284.376574251684</v>
      </c>
      <c r="AB75" s="158"/>
      <c r="AC75" s="149">
        <f>AA75+AC65-SUM(AC70,AC74)</f>
        <v>41952.597191444416</v>
      </c>
      <c r="AD75" s="158"/>
      <c r="AE75" s="149">
        <f>AC75+AE65-SUM(AE70,AE74)</f>
        <v>62716.062228942123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90529.716969688321</v>
      </c>
      <c r="AJ75" s="151">
        <f>AJ76-SUM(AJ70,AJ74)</f>
        <v>41952.597191444409</v>
      </c>
      <c r="AK75" s="149">
        <f>AJ75+AK76-SUM(AK70,AK74)</f>
        <v>90529.716969688321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121584.79999999999</v>
      </c>
      <c r="J76" s="51">
        <f>J130*I$83</f>
        <v>120176.67558183424</v>
      </c>
      <c r="K76" s="40">
        <f>SUM(K70:K75)</f>
        <v>0.87957207561364381</v>
      </c>
      <c r="L76" s="22">
        <f>SUM(L70:L75)</f>
        <v>0.41332493147474958</v>
      </c>
      <c r="M76" s="24">
        <f>SUM(M70:M75)</f>
        <v>0.41369730607971233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26897.526657151488</v>
      </c>
      <c r="AB76" s="137"/>
      <c r="AC76" s="153">
        <f>AC65</f>
        <v>26533.999999999996</v>
      </c>
      <c r="AD76" s="137"/>
      <c r="AE76" s="153">
        <f>AE65</f>
        <v>26555.453314302984</v>
      </c>
      <c r="AF76" s="137"/>
      <c r="AG76" s="153">
        <f>AG65</f>
        <v>33589.695610379786</v>
      </c>
      <c r="AH76" s="137"/>
      <c r="AI76" s="153">
        <f>SUM(AA76,AC76,AE76,AG76)</f>
        <v>113576.67558183425</v>
      </c>
      <c r="AJ76" s="154">
        <f>SUM(AA76,AC76)</f>
        <v>53431.52665715148</v>
      </c>
      <c r="AK76" s="154">
        <f>SUM(AE76,AG76)</f>
        <v>60145.14892468277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21284.376574251684</v>
      </c>
      <c r="AD78" s="112"/>
      <c r="AE78" s="112">
        <f>AC75</f>
        <v>41952.597191444416</v>
      </c>
      <c r="AF78" s="112"/>
      <c r="AG78" s="112">
        <f>AE75</f>
        <v>62716.062228942123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23606.508568913381</v>
      </c>
      <c r="AB79" s="112"/>
      <c r="AC79" s="112">
        <f>AA79-AA74+AC65-AC70</f>
        <v>44527.358486013574</v>
      </c>
      <c r="AD79" s="112"/>
      <c r="AE79" s="112">
        <f>AC79-AC74+AE65-AE70</f>
        <v>65217.032417509283</v>
      </c>
      <c r="AF79" s="112"/>
      <c r="AG79" s="112">
        <f>AE79-AE74+AG65-AG70</f>
        <v>93014.739751083776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0.27978685211853582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0.27978685211853582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5.0720932468754802E-2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5.0720932468754802E-2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0.3575757575757576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2.0129222511579567E-3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2.0129222511579567E-3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0.28606060606060607</v>
      </c>
      <c r="I104" s="22">
        <f t="shared" si="59"/>
        <v>3.1886518240133697</v>
      </c>
      <c r="J104" s="24">
        <f t="shared" si="60"/>
        <v>3.1886518240133697</v>
      </c>
      <c r="K104" s="22">
        <f t="shared" si="61"/>
        <v>11.146770147504364</v>
      </c>
      <c r="L104" s="22">
        <f t="shared" si="62"/>
        <v>3.1886518240133697</v>
      </c>
      <c r="M104" s="227">
        <f t="shared" si="63"/>
        <v>3.1886518240133697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5.7040312248749521</v>
      </c>
      <c r="J119" s="24">
        <f>SUM(J91:J118)</f>
        <v>5.6379704537117288</v>
      </c>
      <c r="K119" s="22">
        <f>SUM(K91:K118)</f>
        <v>16.737339825233949</v>
      </c>
      <c r="L119" s="22">
        <f>SUM(L91:L118)</f>
        <v>5.6341931444356383</v>
      </c>
      <c r="M119" s="57">
        <f t="shared" si="50"/>
        <v>5.6379704537117288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5.0864517268805178</v>
      </c>
      <c r="J128" s="228">
        <f>(J30)</f>
        <v>0.46364588183989586</v>
      </c>
      <c r="K128" s="22">
        <f>(B128)</f>
        <v>0.85667246226650062</v>
      </c>
      <c r="L128" s="22">
        <f>IF(L124=L119,0,(L119-L124)/(B119-B124)*K128)</f>
        <v>0.26844065066810657</v>
      </c>
      <c r="M128" s="57">
        <f t="shared" si="90"/>
        <v>0.46364588183989586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1.906362773628322</v>
      </c>
      <c r="K129" s="29">
        <f>(B129)</f>
        <v>11.446762764801267</v>
      </c>
      <c r="L129" s="60">
        <f>IF(SUM(L124:L128)&gt;L130,0,L130-SUM(L124:L128))</f>
        <v>2.0977906955240209</v>
      </c>
      <c r="M129" s="57">
        <f t="shared" si="90"/>
        <v>1.906362773628322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5.7040312248749521</v>
      </c>
      <c r="J130" s="228">
        <f>(J119)</f>
        <v>5.6379704537117288</v>
      </c>
      <c r="K130" s="22">
        <f>(B130)</f>
        <v>16.737339825233949</v>
      </c>
      <c r="L130" s="22">
        <f>(L119)</f>
        <v>5.6341931444356383</v>
      </c>
      <c r="M130" s="57">
        <f t="shared" si="90"/>
        <v>5.6379704537117288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698.50002075567977</v>
      </c>
      <c r="I72" s="109">
        <f>Rich!T7</f>
        <v>556.52560212159665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292.01040879508031</v>
      </c>
      <c r="I73" s="109">
        <f>Rich!T8</f>
        <v>9593.1306057695565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2860.9100000000008</v>
      </c>
      <c r="H76" s="109">
        <f>Middle!T11</f>
        <v>5288.5293981282839</v>
      </c>
      <c r="I76" s="109">
        <f>Rich!T11</f>
        <v>11271.950325165275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491.70240746813187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58258.285714285717</v>
      </c>
      <c r="I78" s="109">
        <f>Rich!T13</f>
        <v>108748.79999999997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40288.141087565629</v>
      </c>
      <c r="G88" s="109">
        <f>Poor!T23</f>
        <v>53000.627923675638</v>
      </c>
      <c r="H88" s="109">
        <f>Middle!T23</f>
        <v>85807.701812624597</v>
      </c>
      <c r="I88" s="109">
        <f>Rich!T23</f>
        <v>195048.39517539364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7206.74676456835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23630.773431235022</v>
      </c>
      <c r="G99" s="239">
        <f t="shared" si="0"/>
        <v>10918.286595125013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56368.69343123502</v>
      </c>
      <c r="G100" s="239">
        <f t="shared" si="0"/>
        <v>43656.206595125012</v>
      </c>
      <c r="H100" s="239">
        <f t="shared" si="0"/>
        <v>10849.132706176038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2016-06-02T06:38:14Z</dcterms:modified>
  <cp:category/>
</cp:coreProperties>
</file>