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400" yWindow="4400" windowWidth="21200" windowHeight="11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E50" i="7"/>
  <c r="E50" i="8"/>
  <c r="H104" i="8"/>
  <c r="I104" i="8"/>
  <c r="B105" i="8"/>
  <c r="C105" i="8"/>
  <c r="D105" i="8"/>
  <c r="F51" i="7"/>
  <c r="F51" i="8"/>
  <c r="E51" i="7"/>
  <c r="E51" i="8"/>
  <c r="H105" i="8"/>
  <c r="I105" i="8"/>
  <c r="B106" i="8"/>
  <c r="C106" i="8"/>
  <c r="D106" i="8"/>
  <c r="F52" i="7"/>
  <c r="F52" i="8"/>
  <c r="E52" i="7"/>
  <c r="E52" i="8"/>
  <c r="H106" i="8"/>
  <c r="I106" i="8"/>
  <c r="B107" i="8"/>
  <c r="C107" i="8"/>
  <c r="D107" i="8"/>
  <c r="F53" i="7"/>
  <c r="F53" i="8"/>
  <c r="E53" i="7"/>
  <c r="E53" i="8"/>
  <c r="H107" i="8"/>
  <c r="I107" i="8"/>
  <c r="B108" i="8"/>
  <c r="C108" i="8"/>
  <c r="D108" i="8"/>
  <c r="F54" i="7"/>
  <c r="F54" i="8"/>
  <c r="E54" i="7"/>
  <c r="E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E50" i="12"/>
  <c r="H104" i="12"/>
  <c r="I104" i="12"/>
  <c r="B105" i="12"/>
  <c r="C105" i="12"/>
  <c r="D105" i="12"/>
  <c r="F51" i="12"/>
  <c r="E51" i="12"/>
  <c r="H105" i="12"/>
  <c r="I105" i="12"/>
  <c r="B106" i="12"/>
  <c r="C106" i="12"/>
  <c r="D106" i="12"/>
  <c r="F52" i="12"/>
  <c r="E52" i="12"/>
  <c r="H106" i="12"/>
  <c r="I106" i="12"/>
  <c r="B107" i="12"/>
  <c r="C107" i="12"/>
  <c r="D107" i="12"/>
  <c r="F53" i="12"/>
  <c r="E53" i="12"/>
  <c r="H107" i="12"/>
  <c r="I107" i="12"/>
  <c r="B108" i="12"/>
  <c r="C108" i="12"/>
  <c r="D108" i="12"/>
  <c r="F54" i="12"/>
  <c r="E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J38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<sst xmlns="http://schemas.openxmlformats.org/spreadsheetml/2006/main" count="849" uniqueCount="189">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</sst>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0.00719550933997509</c:v>
                </c:pt>
                <c:pt idx="2" formatCode="0.0%">
                  <c:v>0.00719550933997509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0.00571932043897883</c:v>
                </c:pt>
                <c:pt idx="2" formatCode="0.0%">
                  <c:v>0.00571932043897883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0.00272222222222222</c:v>
                </c:pt>
                <c:pt idx="2" formatCode="0.0%">
                  <c:v>0.00272222222222222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0.0369660584682441</c:v>
                </c:pt>
                <c:pt idx="2" formatCode="0.0%">
                  <c:v>0.0369660584682441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0.0046765852117061</c:v>
                </c:pt>
                <c:pt idx="2" formatCode="0.0%">
                  <c:v>0.004436757990859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0.00113625803237858</c:v>
                </c:pt>
                <c:pt idx="2" formatCode="0.0%">
                  <c:v>0.00158193446748746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0.000680896637608966</c:v>
                </c:pt>
                <c:pt idx="2" formatCode="0.0%">
                  <c:v>0.000712272201268172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0.000151774595267746</c:v>
                </c:pt>
                <c:pt idx="2" formatCode="0.0%">
                  <c:v>0.000158711369546142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0.00125786488169365</c:v>
                </c:pt>
                <c:pt idx="2" formatCode="0.0%">
                  <c:v>0.00125786488169365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0.000597974626400996</c:v>
                </c:pt>
                <c:pt idx="2" formatCode="0.0%">
                  <c:v>0.000597974626400996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0.000161846201743462</c:v>
                </c:pt>
                <c:pt idx="2" formatCode="0.0%">
                  <c:v>0.000168996415230424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0.000762539850560398</c:v>
                </c:pt>
                <c:pt idx="2" formatCode="0.0%">
                  <c:v>0.000762539850560398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0.00171775934282085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0.000703652968036529</c:v>
                </c:pt>
                <c:pt idx="2" formatCode="0.0%">
                  <c:v>0.00103224500117069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0.00719289801414259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0.000359398061379259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0.0213767793306369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0.221818902453016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0.498728166019938</c:v>
                </c:pt>
                <c:pt idx="2" formatCode="0.0%">
                  <c:v>0.53136547512031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369368"/>
        <c:axId val="2086372664"/>
      </c:barChart>
      <c:catAx>
        <c:axId val="208636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72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372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369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0.0725330564965577</c:v>
                </c:pt>
                <c:pt idx="2">
                  <c:v>0.0696803352853183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0.0151110534367829</c:v>
                </c:pt>
                <c:pt idx="2">
                  <c:v>0.0188195910113941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0.00322369139984701</c:v>
                </c:pt>
                <c:pt idx="2">
                  <c:v>0.00322369139984701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0.0039442410665501</c:v>
                </c:pt>
                <c:pt idx="2">
                  <c:v>0.00254809996528673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0.0166853349360726</c:v>
                </c:pt>
                <c:pt idx="2">
                  <c:v>0.0167733341327582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0.00239044913124249</c:v>
                </c:pt>
                <c:pt idx="2">
                  <c:v>0.00154430300926469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0.000267730302699158</c:v>
                </c:pt>
                <c:pt idx="2">
                  <c:v>0.000172961937037645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8.12752704622445E-5</c:v>
                </c:pt>
                <c:pt idx="2">
                  <c:v>5.25063023149994E-5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2.39044913124249E-5</c:v>
                </c:pt>
                <c:pt idx="2">
                  <c:v>1.54430300926469E-5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7.64943721997596E-5</c:v>
                </c:pt>
                <c:pt idx="2">
                  <c:v>4.941769629647E-5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0.204690744180964</c:v>
                </c:pt>
                <c:pt idx="2">
                  <c:v>0.204690744180964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0.0363894656321713</c:v>
                </c:pt>
                <c:pt idx="2">
                  <c:v>0.0363894656321713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0.106768659162933</c:v>
                </c:pt>
                <c:pt idx="2">
                  <c:v>0.106768659162933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0.0258217681127746</c:v>
                </c:pt>
                <c:pt idx="2">
                  <c:v>0.0258217681127746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295752"/>
        <c:axId val="2087298776"/>
      </c:barChart>
      <c:catAx>
        <c:axId val="208729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9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9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9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0.0442879219609991</c:v>
                </c:pt>
                <c:pt idx="2">
                  <c:v>0.0442815097877886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0.013416433855264</c:v>
                </c:pt>
                <c:pt idx="2">
                  <c:v>0.0134064949867879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0.0032856572706769</c:v>
                </c:pt>
                <c:pt idx="2">
                  <c:v>0.0032856572706769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0.00350841369580754</c:v>
                </c:pt>
                <c:pt idx="2">
                  <c:v>0.00351662997198902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0.00471686730214125</c:v>
                </c:pt>
                <c:pt idx="2">
                  <c:v>0.00471686730214124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0.000280673095664603</c:v>
                </c:pt>
                <c:pt idx="2">
                  <c:v>0.000281330397759122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0.000105252410874226</c:v>
                </c:pt>
                <c:pt idx="2">
                  <c:v>0.000105498899159671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0.0129941247992872</c:v>
                </c:pt>
                <c:pt idx="2">
                  <c:v>0.0129941247992872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0.236567323488737</c:v>
                </c:pt>
                <c:pt idx="2">
                  <c:v>0.236567323488737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0.0827985632210579</c:v>
                </c:pt>
                <c:pt idx="2">
                  <c:v>0.0827985632210579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864728"/>
        <c:axId val="2144867720"/>
      </c:barChart>
      <c:catAx>
        <c:axId val="214486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6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86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6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0.0377189617695947</c:v>
                </c:pt>
                <c:pt idx="2">
                  <c:v>0.0188594808847973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0.00895825342027873</c:v>
                </c:pt>
                <c:pt idx="2">
                  <c:v>0.00895825342027873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0.000187955504411201</c:v>
                </c:pt>
                <c:pt idx="2">
                  <c:v>0.000143204193837105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0.0182137834036568</c:v>
                </c:pt>
                <c:pt idx="2">
                  <c:v>0.0182137834036568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0.00555875207773942</c:v>
                </c:pt>
                <c:pt idx="2">
                  <c:v>0.00555875207773942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0.0518028385116993</c:v>
                </c:pt>
                <c:pt idx="2">
                  <c:v>0.0518028385116993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697784"/>
        <c:axId val="2144700808"/>
      </c:barChart>
      <c:catAx>
        <c:axId val="214469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7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97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350.0566385063934</c:v>
                </c:pt>
                <c:pt idx="5">
                  <c:v>719.1693620177766</c:v>
                </c:pt>
                <c:pt idx="6">
                  <c:v>1007.168505744546</c:v>
                </c:pt>
                <c:pt idx="7">
                  <c:v>352.5251898170804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4.48</c:v>
                </c:pt>
                <c:pt idx="5">
                  <c:v>316.3026698163377</c:v>
                </c:pt>
                <c:pt idx="6">
                  <c:v>2360.06595821097</c:v>
                </c:pt>
                <c:pt idx="7">
                  <c:v>5322.88595449462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97.67916250578088</c:v>
                </c:pt>
                <c:pt idx="5">
                  <c:v>178.0716875408501</c:v>
                </c:pt>
                <c:pt idx="6">
                  <c:v>311.5259966391596</c:v>
                </c:pt>
                <c:pt idx="7">
                  <c:v>356.3278732293507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870.2499999999999</c:v>
                </c:pt>
                <c:pt idx="5">
                  <c:v>4754.749895730749</c:v>
                </c:pt>
                <c:pt idx="6">
                  <c:v>10861.56587326434</c:v>
                </c:pt>
                <c:pt idx="7">
                  <c:v>15015.68759409748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104.1322363511047</c:v>
                </c:pt>
                <c:pt idx="6">
                  <c:v>75.29516749569317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2439.250149634053</c:v>
                </c:pt>
                <c:pt idx="5">
                  <c:v>1117.4</c:v>
                </c:pt>
                <c:pt idx="6">
                  <c:v>26893.71428571429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14791.13142857143</c:v>
                </c:pt>
                <c:pt idx="7">
                  <c:v>78648.6857142857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52648"/>
        <c:axId val="2144534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52648"/>
        <c:axId val="2144534184"/>
      </c:lineChart>
      <c:catAx>
        <c:axId val="214455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53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53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55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138072"/>
        <c:axId val="20871414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38072"/>
        <c:axId val="2087141400"/>
      </c:lineChart>
      <c:catAx>
        <c:axId val="208713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41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14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13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061816"/>
        <c:axId val="20870651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61816"/>
        <c:axId val="2087065160"/>
      </c:lineChart>
      <c:catAx>
        <c:axId val="2087061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6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6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06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0.0605042222717208</c:v>
                </c:pt>
                <c:pt idx="2">
                  <c:v>0.0476581511447174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0.148876193412213</c:v>
                </c:pt>
                <c:pt idx="2">
                  <c:v>0.158618812083337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-0.306762819178147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029128"/>
        <c:axId val="2087032472"/>
      </c:barChart>
      <c:catAx>
        <c:axId val="208702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3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03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02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0.25965699836391</c:v>
                </c:pt>
                <c:pt idx="2">
                  <c:v>0.238967938319594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0.0405293302077412</c:v>
                </c:pt>
                <c:pt idx="2">
                  <c:v>0.0597608431179415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918552"/>
        <c:axId val="2086921592"/>
      </c:barChart>
      <c:catAx>
        <c:axId val="208691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2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92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91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0.324599558376897</c:v>
                </c:pt>
                <c:pt idx="2">
                  <c:v>0.325819402834259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0.0258416354247405</c:v>
                </c:pt>
                <c:pt idx="2">
                  <c:v>0.0246145599922539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875352"/>
        <c:axId val="2086862344"/>
      </c:barChart>
      <c:catAx>
        <c:axId val="208687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62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6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7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0.387568634526421</c:v>
                </c:pt>
                <c:pt idx="2">
                  <c:v>0.368664402331049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0.197628565818569</c:v>
                </c:pt>
                <c:pt idx="2">
                  <c:v>0.258925101895605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-0.542256176391197</c:v>
                </c:pt>
                <c:pt idx="2">
                  <c:v>-0.432516875955753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804568"/>
        <c:axId val="2086807912"/>
      </c:barChart>
      <c:catAx>
        <c:axId val="208680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0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80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0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0.0139444824764277</c:v>
                </c:pt>
                <c:pt idx="2" formatCode="0.0%">
                  <c:v>0.0139444824764277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0.00864925644903042</c:v>
                </c:pt>
                <c:pt idx="2" formatCode="0.0%">
                  <c:v>0.00864925644903042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0.00261111111111111</c:v>
                </c:pt>
                <c:pt idx="2" formatCode="0.0%">
                  <c:v>0.00261111111111111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0.0185210505248176</c:v>
                </c:pt>
                <c:pt idx="2" formatCode="0.0%">
                  <c:v>0.0436439818208977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0.00446090467888276</c:v>
                </c:pt>
                <c:pt idx="2" formatCode="0.0%">
                  <c:v>0.0042672507589711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0.00796574346201743</c:v>
                </c:pt>
                <c:pt idx="2" formatCode="0.0%">
                  <c:v>0.0153480576315566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0.000658389076676748</c:v>
                </c:pt>
                <c:pt idx="2" formatCode="0.0%">
                  <c:v>0.000687210104648535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8.32592065468778E-5</c:v>
                </c:pt>
                <c:pt idx="2" formatCode="0.0%">
                  <c:v>8.32592065468778E-5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0.00359389966198185</c:v>
                </c:pt>
                <c:pt idx="2" formatCode="0.0%">
                  <c:v>0.00359389966198185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0.000155239281266678</c:v>
                </c:pt>
                <c:pt idx="2" formatCode="0.0%">
                  <c:v>0.000165787207601467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0.000742366838640811</c:v>
                </c:pt>
                <c:pt idx="2" formatCode="0.0%">
                  <c:v>0.000753791848665098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0.000496886674968867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0.000961513372472276</c:v>
                </c:pt>
                <c:pt idx="2" formatCode="0.0%">
                  <c:v>0.0013946815472876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0.00546085840379103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0.033024628270619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0.246370135183848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0.327908341440093</c:v>
                </c:pt>
                <c:pt idx="2" formatCode="0.0%">
                  <c:v>0.48350364660413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215528"/>
        <c:axId val="2086206312"/>
      </c:barChart>
      <c:catAx>
        <c:axId val="20862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20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20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2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476632"/>
        <c:axId val="21444695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76632"/>
        <c:axId val="21444695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76632"/>
        <c:axId val="2144469512"/>
      </c:scatterChart>
      <c:catAx>
        <c:axId val="2144476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469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469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476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347336"/>
        <c:axId val="21443506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47336"/>
        <c:axId val="2144350696"/>
      </c:lineChart>
      <c:catAx>
        <c:axId val="2144347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3506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3506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347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25544"/>
        <c:axId val="-20200222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18584"/>
        <c:axId val="-2020015688"/>
      </c:scatterChart>
      <c:valAx>
        <c:axId val="-20200255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022200"/>
        <c:crosses val="autoZero"/>
        <c:crossBetween val="midCat"/>
      </c:valAx>
      <c:valAx>
        <c:axId val="-2020022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025544"/>
        <c:crosses val="autoZero"/>
        <c:crossBetween val="midCat"/>
      </c:valAx>
      <c:valAx>
        <c:axId val="-2020018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0015688"/>
        <c:crosses val="autoZero"/>
        <c:crossBetween val="midCat"/>
      </c:valAx>
      <c:valAx>
        <c:axId val="-20200156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00185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942984"/>
        <c:axId val="-20199371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942984"/>
        <c:axId val="-2019937128"/>
      </c:lineChart>
      <c:catAx>
        <c:axId val="-201994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9371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937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9429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0.00844800747198007</c:v>
                </c:pt>
                <c:pt idx="2" formatCode="0.0%">
                  <c:v>0.00844800747198007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0.0173950330012453</c:v>
                </c:pt>
                <c:pt idx="2" formatCode="0.0%">
                  <c:v>0.0173950330012453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0.0005</c:v>
                </c:pt>
                <c:pt idx="2" formatCode="0.0%">
                  <c:v>0.0005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0.013130326120797</c:v>
                </c:pt>
                <c:pt idx="2" formatCode="0.0%">
                  <c:v>0.0128186740144118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0.00720267769613948</c:v>
                </c:pt>
                <c:pt idx="2" formatCode="0.0%">
                  <c:v>0.00720267769613948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0.00435536338729763</c:v>
                </c:pt>
                <c:pt idx="2" formatCode="0.0%">
                  <c:v>0.00434151676148006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0.000285579078455791</c:v>
                </c:pt>
                <c:pt idx="2" formatCode="0.0%">
                  <c:v>0.000285579078455791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0.000200846824408468</c:v>
                </c:pt>
                <c:pt idx="2" formatCode="0.0%">
                  <c:v>0.000200846824408468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0.00022027397260274</c:v>
                </c:pt>
                <c:pt idx="2" formatCode="0.0%">
                  <c:v>0.000217952626324515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0.0462808965417184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0.438867760701324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0.461547870899194</c:v>
                </c:pt>
                <c:pt idx="2" formatCode="0.0%">
                  <c:v>0.439631531472988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9590696"/>
        <c:axId val="2079501816"/>
      </c:barChart>
      <c:catAx>
        <c:axId val="207959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50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950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959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0.00250269489414695</c:v>
                </c:pt>
                <c:pt idx="2" formatCode="0.0%">
                  <c:v>0.00250269489414695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0.00202602989903932</c:v>
                </c:pt>
                <c:pt idx="2" formatCode="0.0%">
                  <c:v>0.00202602989903932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0.00255555555555556</c:v>
                </c:pt>
                <c:pt idx="2" formatCode="0.0%">
                  <c:v>0.00255555555555556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0.0181999663849849</c:v>
                </c:pt>
                <c:pt idx="2" formatCode="0.0%">
                  <c:v>0.0181999663849849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0.00341932552037004</c:v>
                </c:pt>
                <c:pt idx="2" formatCode="0.0%">
                  <c:v>0.00341932552037004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0.00208174782067248</c:v>
                </c:pt>
                <c:pt idx="2" formatCode="0.0%">
                  <c:v>0.00208174782067248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0.000244403798256538</c:v>
                </c:pt>
                <c:pt idx="2" formatCode="0.0%">
                  <c:v>0.000244403798256538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0.000120034246575342</c:v>
                </c:pt>
                <c:pt idx="2" formatCode="0.0%">
                  <c:v>0.000134092659666136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0.000248443337484433</c:v>
                </c:pt>
                <c:pt idx="2" formatCode="0.0%">
                  <c:v>0.000248443337484433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0.000382420091324201</c:v>
                </c:pt>
                <c:pt idx="2" formatCode="0.0%">
                  <c:v>0.000382420091324201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0.00403198161064798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0.00140385402273341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0.448400210933961</c:v>
                </c:pt>
                <c:pt idx="2" formatCode="0.0%">
                  <c:v>0.587476156724594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6067448"/>
        <c:axId val="2086064968"/>
      </c:barChart>
      <c:catAx>
        <c:axId val="20860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6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06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06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0.00489294635118306</c:v>
                </c:pt>
                <c:pt idx="1">
                  <c:v>0.00489294635118306</c:v>
                </c:pt>
                <c:pt idx="2">
                  <c:v>0.00949807232876712</c:v>
                </c:pt>
                <c:pt idx="3">
                  <c:v>0.00949807232876712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0.0228772817559153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0.0108888888888889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0.147864233872976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0.017747031963436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0.00632773786994982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0.0019088894993987</c:v>
                </c:pt>
                <c:pt idx="3">
                  <c:v>0.000940199305673987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0.000634845478184567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0.00503145952677459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0.000597974626400996</c:v>
                </c:pt>
                <c:pt idx="1">
                  <c:v>0.000597974626400996</c:v>
                </c:pt>
                <c:pt idx="2">
                  <c:v>0.000597974626400996</c:v>
                </c:pt>
                <c:pt idx="3">
                  <c:v>0.000597974626400996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0.000675985660921695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0.000897051880199253</c:v>
                </c:pt>
                <c:pt idx="1">
                  <c:v>0.000538353134495641</c:v>
                </c:pt>
                <c:pt idx="2">
                  <c:v>0.000717702507347447</c:v>
                </c:pt>
                <c:pt idx="3">
                  <c:v>0.000897051880199253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0.221818902453016</c:v>
                </c:pt>
                <c:pt idx="1">
                  <c:v>0.221818902453016</c:v>
                </c:pt>
                <c:pt idx="2">
                  <c:v>0.221818902453016</c:v>
                </c:pt>
                <c:pt idx="3">
                  <c:v>0.221818902453016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0.26404885383304</c:v>
                </c:pt>
                <c:pt idx="1">
                  <c:v>0.447705331324935</c:v>
                </c:pt>
                <c:pt idx="2">
                  <c:v>0.44361017590211</c:v>
                </c:pt>
                <c:pt idx="3">
                  <c:v>0.970097539421155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958600"/>
        <c:axId val="2085953528"/>
      </c:barChart>
      <c:catAx>
        <c:axId val="208595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53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95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95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0.00170183252801992</c:v>
                </c:pt>
                <c:pt idx="1">
                  <c:v>0.00170183252801992</c:v>
                </c:pt>
                <c:pt idx="2">
                  <c:v>0.00330355726027397</c:v>
                </c:pt>
                <c:pt idx="3">
                  <c:v>0.00330355726027397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0.00810411959615727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0.0102222222222222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0.0727998655399395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0.0136773020814802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0.00832699128268991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0.000655002179327522</c:v>
                </c:pt>
                <c:pt idx="3">
                  <c:v>0.00032261301369863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-0.819769724677971</c:v>
                </c:pt>
                <c:pt idx="1">
                  <c:v>-1.072232780885182</c:v>
                </c:pt>
                <c:pt idx="2">
                  <c:v>-1.072232780885182</c:v>
                </c:pt>
                <c:pt idx="3">
                  <c:v>-1.072232780885182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836744"/>
        <c:axId val="2085840056"/>
      </c:barChart>
      <c:catAx>
        <c:axId val="2085836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400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84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3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0.00948224808397082</c:v>
                </c:pt>
                <c:pt idx="1">
                  <c:v>0.00948224808397082</c:v>
                </c:pt>
                <c:pt idx="2">
                  <c:v>0.0184067168688845</c:v>
                </c:pt>
                <c:pt idx="3">
                  <c:v>0.0184067168688845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0.0345970257961217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0.0104444444444444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0.174575927283591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0.0170690030358844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0.0613922305262264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0.00184172308045807</c:v>
                </c:pt>
                <c:pt idx="3">
                  <c:v>0.000907117338136066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0.000333036826187511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0.0143755986479274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0.000663148830405869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0.000886760730769621</c:v>
                </c:pt>
                <c:pt idx="1">
                  <c:v>0.000532177045157559</c:v>
                </c:pt>
                <c:pt idx="2">
                  <c:v>0.00070946888796359</c:v>
                </c:pt>
                <c:pt idx="3">
                  <c:v>0.000886760730769621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0.246370135183848</c:v>
                </c:pt>
                <c:pt idx="1">
                  <c:v>0.246370135183848</c:v>
                </c:pt>
                <c:pt idx="2">
                  <c:v>0.246370135183848</c:v>
                </c:pt>
                <c:pt idx="3">
                  <c:v>0.246370135183848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0.310420510576542</c:v>
                </c:pt>
                <c:pt idx="1">
                  <c:v>0.56021413773056</c:v>
                </c:pt>
                <c:pt idx="2">
                  <c:v>0.56364625267031</c:v>
                </c:pt>
                <c:pt idx="3">
                  <c:v>0.529143391943298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649784"/>
        <c:axId val="2085637480"/>
      </c:barChart>
      <c:catAx>
        <c:axId val="20856497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3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563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4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0.00574464508094645</c:v>
                </c:pt>
                <c:pt idx="1">
                  <c:v>0.00574464508094645</c:v>
                </c:pt>
                <c:pt idx="2">
                  <c:v>0.0111513698630137</c:v>
                </c:pt>
                <c:pt idx="3">
                  <c:v>0.0111513698630137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0.0695801320049813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0.0512746960576474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0.0288107107845579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0.0173660670459202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0.000765351930261519</c:v>
                </c:pt>
                <c:pt idx="3">
                  <c:v>0.000376964383561644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0.438867760701324</c:v>
                </c:pt>
                <c:pt idx="1">
                  <c:v>0.438867760701324</c:v>
                </c:pt>
                <c:pt idx="2">
                  <c:v>0.438867760701324</c:v>
                </c:pt>
                <c:pt idx="3">
                  <c:v>0.438867760701324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0.385845699978361</c:v>
                </c:pt>
                <c:pt idx="1">
                  <c:v>0.485297173866487</c:v>
                </c:pt>
                <c:pt idx="2">
                  <c:v>0.479125097154158</c:v>
                </c:pt>
                <c:pt idx="3">
                  <c:v>0.409129965398243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631832"/>
        <c:axId val="2087635144"/>
      </c:barChart>
      <c:catAx>
        <c:axId val="2087631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351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63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3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0.0840916799572776</c:v>
                </c:pt>
                <c:pt idx="2">
                  <c:v>0.0840916799572776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0.0191601296105189</c:v>
                </c:pt>
                <c:pt idx="2">
                  <c:v>0.01672762080402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0.00363717714640359</c:v>
                </c:pt>
                <c:pt idx="2">
                  <c:v>0.00383111818751836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0.000929500826303141</c:v>
                </c:pt>
                <c:pt idx="2">
                  <c:v>0.000717089209844115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0.00132959031240754</c:v>
                </c:pt>
                <c:pt idx="2">
                  <c:v>0.00102574934799441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0.00113156622332556</c:v>
                </c:pt>
                <c:pt idx="2">
                  <c:v>0.000872978168505879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0.00027278828598027</c:v>
                </c:pt>
                <c:pt idx="2">
                  <c:v>0.000210450094193382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6.06196191067266E-5</c:v>
                </c:pt>
                <c:pt idx="2">
                  <c:v>4.67666875985293E-5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0.000157611009677489</c:v>
                </c:pt>
                <c:pt idx="2">
                  <c:v>0.000143758078169292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0.0153800633619352</c:v>
                </c:pt>
                <c:pt idx="2">
                  <c:v>0.0153800633619352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0.00881149463444204</c:v>
                </c:pt>
                <c:pt idx="2">
                  <c:v>0.00881149463444205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469832"/>
        <c:axId val="2087472824"/>
      </c:barChart>
      <c:catAx>
        <c:axId val="208746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7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47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46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2.5026948941469489E-3</v>
      </c>
      <c r="J6" s="24">
        <f t="shared" ref="J6:J13" si="3">IF(I$32&lt;=1+I$131,I6,B6*H6+J$33*(I6-B6*H6))</f>
        <v>2.5026948941469489E-3</v>
      </c>
      <c r="K6" s="22">
        <f t="shared" ref="K6:K31" si="4">B6</f>
        <v>1.2513474470734745E-2</v>
      </c>
      <c r="L6" s="22">
        <f t="shared" ref="L6:L29" si="5">IF(K6="","",K6*H6)</f>
        <v>2.5026948941469489E-3</v>
      </c>
      <c r="M6" s="177">
        <f t="shared" ref="M6:M31" si="6">J6</f>
        <v>2.5026948941469489E-3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1.0010779576587796E-2</v>
      </c>
      <c r="Z6" s="156">
        <f>Poor!Z6</f>
        <v>0.17</v>
      </c>
      <c r="AA6" s="121">
        <f>$M6*Z6*4</f>
        <v>1.7018325280199254E-3</v>
      </c>
      <c r="AB6" s="156">
        <f>Poor!AB6</f>
        <v>0.17</v>
      </c>
      <c r="AC6" s="121">
        <f t="shared" ref="AC6:AC29" si="7">$M6*AB6*4</f>
        <v>1.7018325280199254E-3</v>
      </c>
      <c r="AD6" s="156">
        <f>Poor!AD6</f>
        <v>0.33</v>
      </c>
      <c r="AE6" s="121">
        <f t="shared" ref="AE6:AE29" si="8">$M6*AD6*4</f>
        <v>3.3035572602739729E-3</v>
      </c>
      <c r="AF6" s="122">
        <f>1-SUM(Z6,AB6,AD6)</f>
        <v>0.32999999999999996</v>
      </c>
      <c r="AG6" s="121">
        <f>$M6*AF6*4</f>
        <v>3.303557260273972E-3</v>
      </c>
      <c r="AH6" s="123">
        <f>SUM(Z6,AB6,AD6,AF6)</f>
        <v>1</v>
      </c>
      <c r="AI6" s="183">
        <f>SUM(AA6,AC6,AE6,AG6)/4</f>
        <v>2.5026948941469489E-3</v>
      </c>
      <c r="AJ6" s="120">
        <f>(AA6+AC6)/2</f>
        <v>1.7018325280199254E-3</v>
      </c>
      <c r="AK6" s="119">
        <f>(AE6+AG6)/2</f>
        <v>3.3035572602739724E-3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2.0260298990393169E-3</v>
      </c>
      <c r="J7" s="24">
        <f t="shared" si="3"/>
        <v>2.0260298990393169E-3</v>
      </c>
      <c r="K7" s="22">
        <f t="shared" si="4"/>
        <v>1.0130149495196585E-2</v>
      </c>
      <c r="L7" s="22">
        <f t="shared" si="5"/>
        <v>2.0260298990393169E-3</v>
      </c>
      <c r="M7" s="177">
        <f t="shared" si="6"/>
        <v>2.0260298990393169E-3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349.86279891376455</v>
      </c>
      <c r="T7" s="222">
        <f>IF($B$81=0,0,(SUMIF($N$6:$N$28,$U7,M$6:M$28)+SUMIF($N$91:$N$118,$U7,M$91:M$118))*$I$83*Poor!$B$81/$B$81)</f>
        <v>350.05663850639343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8.1041195961572676E-3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8.1041195961572676E-3</v>
      </c>
      <c r="AH7" s="123">
        <f t="shared" ref="AH7:AH30" si="12">SUM(Z7,AB7,AD7,AF7)</f>
        <v>1</v>
      </c>
      <c r="AI7" s="183">
        <f t="shared" ref="AI7:AI30" si="13">SUM(AA7,AC7,AE7,AG7)/4</f>
        <v>2.0260298990393169E-3</v>
      </c>
      <c r="AJ7" s="120">
        <f t="shared" ref="AJ7:AJ31" si="14">(AA7+AC7)/2</f>
        <v>0</v>
      </c>
      <c r="AK7" s="119">
        <f t="shared" ref="AK7:AK31" si="15">(AE7+AG7)/2</f>
        <v>4.0520597980786338E-3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2.5555555555555557E-3</v>
      </c>
      <c r="J8" s="24">
        <f t="shared" si="3"/>
        <v>2.5555555555555557E-3</v>
      </c>
      <c r="K8" s="22">
        <f t="shared" si="4"/>
        <v>1.2777777777777777E-2</v>
      </c>
      <c r="L8" s="22">
        <f t="shared" si="5"/>
        <v>2.5555555555555557E-3</v>
      </c>
      <c r="M8" s="224">
        <f t="shared" si="6"/>
        <v>2.5555555555555557E-3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5.879999999999999</v>
      </c>
      <c r="T8" s="222">
        <f>IF($B$81=0,0,(SUMIF($N$6:$N$28,$U8,M$6:M$28)+SUMIF($N$91:$N$118,$U8,M$91:M$118))*$I$83*Poor!$B$81/$B$81)</f>
        <v>4.4799999999999995</v>
      </c>
      <c r="U8" s="223">
        <v>2</v>
      </c>
      <c r="V8" s="56"/>
      <c r="W8" s="115"/>
      <c r="X8" s="118">
        <f>Poor!X8</f>
        <v>1</v>
      </c>
      <c r="Y8" s="183">
        <f t="shared" si="9"/>
        <v>1.0222222222222223E-2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1.0222222222222223E-2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2.5555555555555557E-3</v>
      </c>
      <c r="AJ8" s="120">
        <f t="shared" si="14"/>
        <v>5.1111111111111114E-3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1.8199966384984879E-2</v>
      </c>
      <c r="J9" s="24">
        <f t="shared" si="3"/>
        <v>1.8199966384984879E-2</v>
      </c>
      <c r="K9" s="22">
        <f t="shared" si="4"/>
        <v>6.0666554616616263E-2</v>
      </c>
      <c r="L9" s="22">
        <f t="shared" si="5"/>
        <v>1.8199966384984879E-2</v>
      </c>
      <c r="M9" s="224">
        <f t="shared" si="6"/>
        <v>1.8199966384984879E-2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97.67916250578088</v>
      </c>
      <c r="T9" s="222">
        <f>IF($B$81=0,0,(SUMIF($N$6:$N$28,$U9,M$6:M$28)+SUMIF($N$91:$N$118,$U9,M$91:M$118))*$I$83*Poor!$B$81/$B$81)</f>
        <v>97.67916250578088</v>
      </c>
      <c r="U9" s="223">
        <v>3</v>
      </c>
      <c r="V9" s="56"/>
      <c r="W9" s="115"/>
      <c r="X9" s="118">
        <f>Poor!X9</f>
        <v>1</v>
      </c>
      <c r="Y9" s="183">
        <f t="shared" si="9"/>
        <v>7.2799865539939515E-2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7.2799865539939515E-2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1.8199966384984879E-2</v>
      </c>
      <c r="AJ9" s="120">
        <f t="shared" si="14"/>
        <v>3.6399932769969758E-2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0.2</v>
      </c>
      <c r="H10" s="24">
        <f t="shared" si="1"/>
        <v>0.2</v>
      </c>
      <c r="I10" s="22">
        <f t="shared" si="2"/>
        <v>3.4193255203700413E-3</v>
      </c>
      <c r="J10" s="24">
        <f t="shared" si="3"/>
        <v>3.4193255203700413E-3</v>
      </c>
      <c r="K10" s="22">
        <f t="shared" si="4"/>
        <v>1.7096627601850205E-2</v>
      </c>
      <c r="L10" s="22">
        <f t="shared" si="5"/>
        <v>3.4193255203700413E-3</v>
      </c>
      <c r="M10" s="224">
        <f t="shared" si="6"/>
        <v>3.4193255203700413E-3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1.3677302081480165E-2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1.3677302081480165E-2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3.4193255203700413E-3</v>
      </c>
      <c r="AJ10" s="120">
        <f t="shared" si="14"/>
        <v>6.8386510407400826E-3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0.2</v>
      </c>
      <c r="H11" s="24">
        <f t="shared" si="1"/>
        <v>0.2</v>
      </c>
      <c r="I11" s="22">
        <f t="shared" si="2"/>
        <v>2.081747820672478E-3</v>
      </c>
      <c r="J11" s="24">
        <f t="shared" si="3"/>
        <v>2.081747820672478E-3</v>
      </c>
      <c r="K11" s="22">
        <f t="shared" si="4"/>
        <v>1.040873910336239E-2</v>
      </c>
      <c r="L11" s="22">
        <f t="shared" si="5"/>
        <v>2.081747820672478E-3</v>
      </c>
      <c r="M11" s="224">
        <f t="shared" si="6"/>
        <v>2.081747820672478E-3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1460.25</v>
      </c>
      <c r="T11" s="222">
        <f>IF($B$81=0,0,(SUMIF($N$6:$N$28,$U11,M$6:M$28)+SUMIF($N$91:$N$118,$U11,M$91:M$118))*$I$83*Poor!$B$81/$B$81)</f>
        <v>870.24999999999989</v>
      </c>
      <c r="U11" s="223">
        <v>5</v>
      </c>
      <c r="V11" s="56"/>
      <c r="W11" s="115"/>
      <c r="X11" s="118">
        <f>Poor!X11</f>
        <v>1</v>
      </c>
      <c r="Y11" s="183">
        <f t="shared" si="9"/>
        <v>8.326991282689912E-3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8.326991282689912E-3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2.081747820672478E-3</v>
      </c>
      <c r="AJ11" s="120">
        <f t="shared" si="14"/>
        <v>4.163495641344956E-3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0.2</v>
      </c>
      <c r="H12" s="24">
        <f t="shared" si="1"/>
        <v>0.2</v>
      </c>
      <c r="I12" s="22">
        <f t="shared" si="2"/>
        <v>2.4440379825653799E-4</v>
      </c>
      <c r="J12" s="24">
        <f t="shared" si="3"/>
        <v>2.4440379825653799E-4</v>
      </c>
      <c r="K12" s="22">
        <f t="shared" si="4"/>
        <v>1.2220189912826899E-3</v>
      </c>
      <c r="L12" s="22">
        <f t="shared" si="5"/>
        <v>2.4440379825653799E-4</v>
      </c>
      <c r="M12" s="224">
        <f t="shared" si="6"/>
        <v>2.4440379825653799E-4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9.7761519302615196E-4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6.5500217932752181E-4</v>
      </c>
      <c r="AF12" s="122">
        <f>1-SUM(Z12,AB12,AD12)</f>
        <v>0.32999999999999996</v>
      </c>
      <c r="AG12" s="121">
        <f>$M12*AF12*4</f>
        <v>3.2261301369863009E-4</v>
      </c>
      <c r="AH12" s="123">
        <f t="shared" si="12"/>
        <v>1</v>
      </c>
      <c r="AI12" s="183">
        <f t="shared" si="13"/>
        <v>2.4440379825653799E-4</v>
      </c>
      <c r="AJ12" s="120">
        <f t="shared" si="14"/>
        <v>0</v>
      </c>
      <c r="AK12" s="119">
        <f t="shared" si="15"/>
        <v>4.8880759651307598E-4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2425.5010398225595</v>
      </c>
      <c r="T13" s="222">
        <f>IF($B$81=0,0,(SUMIF($N$6:$N$28,$U13,M$6:M$28)+SUMIF($N$91:$N$118,$U13,M$91:M$118))*$I$83*Poor!$B$81/$B$81)</f>
        <v>2439.2501496340528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1.3567870485678703E-4</v>
      </c>
      <c r="J16" s="24">
        <f t="shared" si="17"/>
        <v>1.3409265966613562E-4</v>
      </c>
      <c r="K16" s="22">
        <f t="shared" ref="K16:K25" si="21">B16</f>
        <v>6.0017123287671231E-4</v>
      </c>
      <c r="L16" s="22">
        <f t="shared" ref="L16:L25" si="22">IF(K16="","",K16*H16)</f>
        <v>1.2003424657534247E-4</v>
      </c>
      <c r="M16" s="226">
        <f t="shared" ref="M16:M25" si="23">J16</f>
        <v>1.3409265966613562E-4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6.7781320049813208E-4</v>
      </c>
      <c r="J17" s="24">
        <f t="shared" si="17"/>
        <v>6.7781320049813208E-4</v>
      </c>
      <c r="K17" s="22">
        <f t="shared" si="21"/>
        <v>3.3890660024906601E-3</v>
      </c>
      <c r="L17" s="22">
        <f t="shared" si="22"/>
        <v>6.7781320049813208E-4</v>
      </c>
      <c r="M17" s="226">
        <f t="shared" si="23"/>
        <v>6.7781320049813208E-4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2.4844333748443335E-4</v>
      </c>
      <c r="J18" s="24">
        <f t="shared" si="17"/>
        <v>2.4844333748443335E-4</v>
      </c>
      <c r="K18" s="22">
        <f t="shared" si="21"/>
        <v>1.2422166874221667E-3</v>
      </c>
      <c r="L18" s="22">
        <f t="shared" si="22"/>
        <v>2.4844333748443335E-4</v>
      </c>
      <c r="M18" s="226">
        <f t="shared" si="23"/>
        <v>2.4844333748443335E-4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3.8242009132420093E-4</v>
      </c>
      <c r="J19" s="24">
        <f t="shared" si="17"/>
        <v>3.8242009132420093E-4</v>
      </c>
      <c r="K19" s="22">
        <f t="shared" si="21"/>
        <v>1.9121004566210046E-3</v>
      </c>
      <c r="L19" s="22">
        <f t="shared" si="22"/>
        <v>3.8242009132420093E-4</v>
      </c>
      <c r="M19" s="226">
        <f t="shared" si="23"/>
        <v>3.8242009132420093E-4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4.0319816106479788E-3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4.0319816106479788E-3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1.4038540227334138E-3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1.4038540227334138E-3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35046.533817382071</v>
      </c>
      <c r="T23" s="179">
        <f>SUM(T7:T22)</f>
        <v>34469.076766786195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0.8364640763564799</v>
      </c>
      <c r="J30" s="231">
        <f>IF(I$32&lt;=1,I30,1-SUM(J6:J29))</f>
        <v>0.58747615672459363</v>
      </c>
      <c r="K30" s="22">
        <f t="shared" si="4"/>
        <v>0.61947890193026156</v>
      </c>
      <c r="L30" s="22">
        <f>IF(L124=L119,0,IF(K30="",0,(L119-L124)/(B119-B124)*K30))</f>
        <v>0.44840021093396065</v>
      </c>
      <c r="M30" s="175">
        <f t="shared" si="6"/>
        <v>0.58747615672459363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2.3499046268983745</v>
      </c>
      <c r="Z30" s="122">
        <f>IF($Y30=0,0,AA30/($Y$30))</f>
        <v>-0.34885233864149628</v>
      </c>
      <c r="AA30" s="187">
        <f>IF(AA79*4/$I$83+SUM(AA6:AA29)&lt;1,AA79*4/$I$83,1-SUM(AA6:AA29))</f>
        <v>-0.81976972467797071</v>
      </c>
      <c r="AB30" s="122">
        <f>IF($Y30=0,0,AC30/($Y$30))</f>
        <v>-0.45628778658154129</v>
      </c>
      <c r="AC30" s="187">
        <f>IF(AC79*4/$I$83+SUM(AC6:AC29)&lt;1,AC79*4/$I$83,1-SUM(AC6:AC29))</f>
        <v>-1.0722327808851819</v>
      </c>
      <c r="AD30" s="122">
        <f>IF($Y30=0,0,AE30/($Y$30))</f>
        <v>-0.45628778658154129</v>
      </c>
      <c r="AE30" s="187">
        <f>IF(AE79*4/$I$83+SUM(AE6:AE29)&lt;1,AE79*4/$I$83,1-SUM(AE6:AE29))</f>
        <v>-1.0722327808851819</v>
      </c>
      <c r="AF30" s="122">
        <f>IF($Y30=0,0,AG30/($Y$30))</f>
        <v>-0.45628778658154129</v>
      </c>
      <c r="AG30" s="187">
        <f>IF(AG79*4/$I$83+SUM(AG6:AG29)&lt;1,AG79*4/$I$83,1-SUM(AG6:AG29))</f>
        <v>-1.0722327808851819</v>
      </c>
      <c r="AH30" s="123">
        <f t="shared" si="12"/>
        <v>-1.7177156983861201</v>
      </c>
      <c r="AI30" s="183">
        <f t="shared" si="13"/>
        <v>-1.0091170168333792</v>
      </c>
      <c r="AJ30" s="120">
        <f t="shared" si="14"/>
        <v>-0.94600125278157632</v>
      </c>
      <c r="AK30" s="119">
        <f t="shared" si="15"/>
        <v>-1.0722327808851819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0.13053565725021032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12953.400896803883</v>
      </c>
      <c r="T31" s="234">
        <f>IF(T25&gt;T$23,T25-T$23,0)</f>
        <v>13530.85794739976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1.3384259965435925</v>
      </c>
      <c r="AB31" s="131"/>
      <c r="AC31" s="133">
        <f>1-AC32+IF($Y32&lt;0,$Y32/4,0)</f>
        <v>1.6959154338771356</v>
      </c>
      <c r="AD31" s="134"/>
      <c r="AE31" s="133">
        <f>1-AE32+IF($Y32&lt;0,$Y32/4,0)</f>
        <v>1.6936587069655542</v>
      </c>
      <c r="AF31" s="134"/>
      <c r="AG31" s="133">
        <f>1-AG32+IF($Y32&lt;0,$Y32/4,0)</f>
        <v>1.6858869765350257</v>
      </c>
      <c r="AH31" s="123"/>
      <c r="AI31" s="182">
        <f>SUM(AA31,AC31,AE31,AG31)/4</f>
        <v>1.6034717784803267</v>
      </c>
      <c r="AJ31" s="135">
        <f t="shared" si="14"/>
        <v>1.517170715210364</v>
      </c>
      <c r="AK31" s="136">
        <f t="shared" si="15"/>
        <v>1.68977284175029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1.2491020044148038</v>
      </c>
      <c r="J32" s="17"/>
      <c r="L32" s="22">
        <f>SUM(L6:L30)</f>
        <v>0.86946434274978968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44327.240896803887</v>
      </c>
      <c r="T32" s="234">
        <f t="shared" si="24"/>
        <v>44904.697947399764</v>
      </c>
      <c r="V32" s="56"/>
      <c r="W32" s="110"/>
      <c r="X32" s="118"/>
      <c r="Y32" s="115">
        <f>SUM(Y6:Y31)</f>
        <v>3.972485580310583</v>
      </c>
      <c r="Z32" s="137"/>
      <c r="AA32" s="138">
        <f>SUM(AA6:AA30)</f>
        <v>-0.33842599654359262</v>
      </c>
      <c r="AB32" s="137"/>
      <c r="AC32" s="139">
        <f>SUM(AC6:AC30)</f>
        <v>-0.69591543387713561</v>
      </c>
      <c r="AD32" s="137"/>
      <c r="AE32" s="139">
        <f>SUM(AE6:AE30)</f>
        <v>-0.69365870696555409</v>
      </c>
      <c r="AF32" s="137"/>
      <c r="AG32" s="139">
        <f>SUM(AG6:AG30)</f>
        <v>-0.68588697653502573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0.89861936015179356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13530.857947399767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590</v>
      </c>
      <c r="J37" s="38">
        <f>J91*I$83</f>
        <v>590</v>
      </c>
      <c r="K37" s="40">
        <f>(B37/B$65)</f>
        <v>6.3930443677279125E-2</v>
      </c>
      <c r="L37" s="22">
        <f t="shared" ref="L37" si="28">(K37*H37)</f>
        <v>3.7718961769594682E-2</v>
      </c>
      <c r="M37" s="24">
        <f>J37/B$65</f>
        <v>1.8859480884797341E-2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590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</v>
      </c>
      <c r="AJ37" s="148">
        <f>(AA37+AC37)</f>
        <v>590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280.25</v>
      </c>
      <c r="J38" s="38">
        <f t="shared" ref="J38:J64" si="32">J92*I$83</f>
        <v>280.25</v>
      </c>
      <c r="K38" s="40">
        <f t="shared" ref="K38:K64" si="33">(B38/B$65)</f>
        <v>1.5183480373353792E-2</v>
      </c>
      <c r="L38" s="22">
        <f t="shared" ref="L38:L64" si="34">(K38*H38)</f>
        <v>8.9582534202787365E-3</v>
      </c>
      <c r="M38" s="24">
        <f t="shared" ref="M38:M64" si="35">J38/B$65</f>
        <v>8.9582534202787365E-3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280.25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280.25</v>
      </c>
      <c r="AJ38" s="148">
        <f t="shared" ref="AJ38:AJ64" si="38">(AA38+AC38)</f>
        <v>280.25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4.4799999999999995</v>
      </c>
      <c r="J48" s="38">
        <f t="shared" si="32"/>
        <v>4.4799999999999995</v>
      </c>
      <c r="K48" s="40">
        <f t="shared" si="33"/>
        <v>6.7126965861143075E-4</v>
      </c>
      <c r="L48" s="22">
        <f t="shared" si="34"/>
        <v>1.8795550441120059E-4</v>
      </c>
      <c r="M48" s="24">
        <f t="shared" si="35"/>
        <v>1.4320419383710521E-4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1.1199999999999999</v>
      </c>
      <c r="AB48" s="156">
        <f>Poor!AB48</f>
        <v>0.25</v>
      </c>
      <c r="AC48" s="147">
        <f t="shared" si="41"/>
        <v>1.1199999999999999</v>
      </c>
      <c r="AD48" s="156">
        <f>Poor!AD48</f>
        <v>0.25</v>
      </c>
      <c r="AE48" s="147">
        <f t="shared" si="42"/>
        <v>1.1199999999999999</v>
      </c>
      <c r="AF48" s="122">
        <f t="shared" si="29"/>
        <v>0.25</v>
      </c>
      <c r="AG48" s="147">
        <f t="shared" si="36"/>
        <v>1.1199999999999999</v>
      </c>
      <c r="AH48" s="123">
        <f t="shared" si="37"/>
        <v>1</v>
      </c>
      <c r="AI48" s="112">
        <f t="shared" si="37"/>
        <v>4.4799999999999995</v>
      </c>
      <c r="AJ48" s="148">
        <f t="shared" si="38"/>
        <v>2.2399999999999998</v>
      </c>
      <c r="AK48" s="147">
        <f t="shared" si="39"/>
        <v>2.2399999999999998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569.80000000000007</v>
      </c>
      <c r="J51" s="38">
        <f t="shared" si="32"/>
        <v>569.80000000000018</v>
      </c>
      <c r="K51" s="40">
        <f t="shared" si="33"/>
        <v>3.2817627754336616E-2</v>
      </c>
      <c r="L51" s="22">
        <f t="shared" si="34"/>
        <v>1.8213783403656824E-2</v>
      </c>
      <c r="M51" s="24">
        <f t="shared" si="35"/>
        <v>1.8213783403656827E-2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142.45000000000005</v>
      </c>
      <c r="AB51" s="156">
        <f>Poor!AB56</f>
        <v>0.25</v>
      </c>
      <c r="AC51" s="147">
        <f t="shared" si="41"/>
        <v>142.45000000000005</v>
      </c>
      <c r="AD51" s="156">
        <f>Poor!AD56</f>
        <v>0.25</v>
      </c>
      <c r="AE51" s="147">
        <f t="shared" si="42"/>
        <v>142.45000000000005</v>
      </c>
      <c r="AF51" s="122">
        <f t="shared" si="29"/>
        <v>0.25</v>
      </c>
      <c r="AG51" s="147">
        <f t="shared" si="36"/>
        <v>142.45000000000005</v>
      </c>
      <c r="AH51" s="123">
        <f t="shared" si="37"/>
        <v>1</v>
      </c>
      <c r="AI51" s="112">
        <f t="shared" si="37"/>
        <v>569.80000000000018</v>
      </c>
      <c r="AJ51" s="148">
        <f t="shared" si="38"/>
        <v>284.90000000000009</v>
      </c>
      <c r="AK51" s="147">
        <f t="shared" si="39"/>
        <v>284.90000000000009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173.9</v>
      </c>
      <c r="J52" s="38">
        <f t="shared" si="32"/>
        <v>173.9</v>
      </c>
      <c r="K52" s="40">
        <f t="shared" si="33"/>
        <v>1.0015769509440395E-2</v>
      </c>
      <c r="L52" s="22">
        <f t="shared" si="34"/>
        <v>5.5587520777394201E-3</v>
      </c>
      <c r="M52" s="24">
        <f t="shared" si="35"/>
        <v>5.5587520777394201E-3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43.475000000000001</v>
      </c>
      <c r="AB52" s="156">
        <f>Poor!AB57</f>
        <v>0.25</v>
      </c>
      <c r="AC52" s="147">
        <f t="shared" si="41"/>
        <v>43.475000000000001</v>
      </c>
      <c r="AD52" s="156">
        <f>Poor!AD57</f>
        <v>0.25</v>
      </c>
      <c r="AE52" s="147">
        <f t="shared" si="42"/>
        <v>43.475000000000001</v>
      </c>
      <c r="AF52" s="122">
        <f t="shared" si="29"/>
        <v>0.25</v>
      </c>
      <c r="AG52" s="147">
        <f t="shared" si="36"/>
        <v>43.475000000000001</v>
      </c>
      <c r="AH52" s="123">
        <f t="shared" si="37"/>
        <v>1</v>
      </c>
      <c r="AI52" s="112">
        <f t="shared" si="37"/>
        <v>173.9</v>
      </c>
      <c r="AJ52" s="148">
        <f t="shared" si="38"/>
        <v>86.95</v>
      </c>
      <c r="AK52" s="147">
        <f t="shared" si="39"/>
        <v>86.95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1620.6000000000001</v>
      </c>
      <c r="J53" s="38">
        <f t="shared" si="32"/>
        <v>1620.6000000000001</v>
      </c>
      <c r="K53" s="40">
        <f t="shared" si="33"/>
        <v>9.333844776882752E-2</v>
      </c>
      <c r="L53" s="22">
        <f t="shared" si="34"/>
        <v>5.1802838511699277E-2</v>
      </c>
      <c r="M53" s="24">
        <f t="shared" si="35"/>
        <v>5.1802838511699277E-2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31879.989999999998</v>
      </c>
      <c r="J65" s="39">
        <f>SUM(J37:J64)</f>
        <v>31879.989999999998</v>
      </c>
      <c r="K65" s="40">
        <f>SUM(K37:K64)</f>
        <v>1</v>
      </c>
      <c r="L65" s="22">
        <f>SUM(L37:L64)</f>
        <v>1.0379551847589821</v>
      </c>
      <c r="M65" s="24">
        <f>SUM(M37:M64)</f>
        <v>1.0190509525636107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2260.895</v>
      </c>
      <c r="AB65" s="137"/>
      <c r="AC65" s="153">
        <f>SUM(AC37:AC64)</f>
        <v>1390.645</v>
      </c>
      <c r="AD65" s="137"/>
      <c r="AE65" s="153">
        <f>SUM(AE37:AE64)</f>
        <v>1390.645</v>
      </c>
      <c r="AF65" s="137"/>
      <c r="AG65" s="153">
        <f>SUM(AG37:AG64)</f>
        <v>1390.645</v>
      </c>
      <c r="AH65" s="137"/>
      <c r="AI65" s="153">
        <f>SUM(AI37:AI64)</f>
        <v>6432.83</v>
      </c>
      <c r="AJ65" s="153">
        <f>SUM(AJ37:AJ64)</f>
        <v>3651.54</v>
      </c>
      <c r="AK65" s="153">
        <f>SUM(AK37:AK64)</f>
        <v>2781.29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11533.297162524552</v>
      </c>
      <c r="J71" s="51">
        <f t="shared" si="44"/>
        <v>11533.297162524552</v>
      </c>
      <c r="K71" s="40">
        <f t="shared" ref="K71:K72" si="47">B71/B$76</f>
        <v>0.45953913253491319</v>
      </c>
      <c r="L71" s="22">
        <f t="shared" si="45"/>
        <v>0.38756863452642099</v>
      </c>
      <c r="M71" s="24">
        <f t="shared" ref="M71:M72" si="48">J71/B$76</f>
        <v>0.36866440233104947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11533.297162524552</v>
      </c>
      <c r="J74" s="51">
        <f t="shared" si="44"/>
        <v>8100.2128877020914</v>
      </c>
      <c r="K74" s="40">
        <f>B74/B$76</f>
        <v>0.27303003869766307</v>
      </c>
      <c r="L74" s="22">
        <f t="shared" si="45"/>
        <v>0.19762856581856902</v>
      </c>
      <c r="M74" s="24">
        <f>J74/B$76</f>
        <v>0.25892510189560453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-2825.7782093688625</v>
      </c>
      <c r="AB74" s="156"/>
      <c r="AC74" s="147">
        <f>AC30*$I$83/4</f>
        <v>-3696.0282093688625</v>
      </c>
      <c r="AD74" s="156"/>
      <c r="AE74" s="147">
        <f>AE30*$I$83/4</f>
        <v>-3696.0282093688625</v>
      </c>
      <c r="AF74" s="156"/>
      <c r="AG74" s="147">
        <f>AG30*$I$83/4</f>
        <v>-3696.0282093688625</v>
      </c>
      <c r="AH74" s="155"/>
      <c r="AI74" s="147">
        <f>SUM(AA74,AC74,AE74,AG74)</f>
        <v>-13913.86283747545</v>
      </c>
      <c r="AJ74" s="148">
        <f>(AA74+AC74)</f>
        <v>-6521.8064187377249</v>
      </c>
      <c r="AK74" s="147">
        <f>(AE74+AG74)</f>
        <v>-7392.0564187377249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31879.99</v>
      </c>
      <c r="J76" s="51">
        <f t="shared" si="44"/>
        <v>31879.99</v>
      </c>
      <c r="K76" s="40">
        <f>SUM(K70:K75)</f>
        <v>2.1256887220179035</v>
      </c>
      <c r="L76" s="22">
        <f>SUM(L70:L75)</f>
        <v>1.2355837505775513</v>
      </c>
      <c r="M76" s="24">
        <f>SUM(M70:M75)</f>
        <v>1.2779760544592151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2260.895</v>
      </c>
      <c r="AB76" s="137"/>
      <c r="AC76" s="153">
        <f>AC65</f>
        <v>1390.645</v>
      </c>
      <c r="AD76" s="137"/>
      <c r="AE76" s="153">
        <f>AE65</f>
        <v>1390.645</v>
      </c>
      <c r="AF76" s="137"/>
      <c r="AG76" s="153">
        <f>AG65</f>
        <v>1390.645</v>
      </c>
      <c r="AH76" s="137"/>
      <c r="AI76" s="153">
        <f>SUM(AA76,AC76,AE76,AG76)</f>
        <v>6432.83</v>
      </c>
      <c r="AJ76" s="154">
        <f>SUM(AA76,AC76)</f>
        <v>3651.54</v>
      </c>
      <c r="AK76" s="154">
        <f>SUM(AE76,AG76)</f>
        <v>2781.29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</v>
      </c>
      <c r="J77" s="100">
        <f t="shared" si="44"/>
        <v>13530.857947399767</v>
      </c>
      <c r="K77" s="40"/>
      <c r="L77" s="22">
        <f>-(L131*G$37*F$9/F$7)/B$130</f>
        <v>-0.5422561763911975</v>
      </c>
      <c r="M77" s="24">
        <f>-J77/B$76</f>
        <v>-0.43251687595575267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4613.6066044295603</v>
      </c>
      <c r="AB77" s="112"/>
      <c r="AC77" s="111">
        <f>AC31*$I$83/4</f>
        <v>5845.8866358658179</v>
      </c>
      <c r="AD77" s="112"/>
      <c r="AE77" s="111">
        <f>AE31*$I$83/4</f>
        <v>5838.1076101964472</v>
      </c>
      <c r="AF77" s="112"/>
      <c r="AG77" s="111">
        <f>AG31*$I$83/4</f>
        <v>5811.3181523297235</v>
      </c>
      <c r="AH77" s="110"/>
      <c r="AI77" s="154">
        <f>SUM(AA77,AC77,AE77,AG77)</f>
        <v>22108.919002821549</v>
      </c>
      <c r="AJ77" s="153">
        <f>SUM(AA77,AC77)</f>
        <v>10459.493240295378</v>
      </c>
      <c r="AK77" s="160">
        <f>SUM(AE77,AG77)</f>
        <v>11649.425762526171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-2825.7782093688625</v>
      </c>
      <c r="AB79" s="112"/>
      <c r="AC79" s="112">
        <f>AA79-AA74+AC65-AC70</f>
        <v>-3696.0282093688625</v>
      </c>
      <c r="AD79" s="112"/>
      <c r="AE79" s="112">
        <f>AC79-AC74+AE65-AE70</f>
        <v>-3696.0282093688625</v>
      </c>
      <c r="AF79" s="112"/>
      <c r="AG79" s="112">
        <f>AE79-AE74+AG65-AG70</f>
        <v>-3696.0282093688625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0.59</v>
      </c>
      <c r="I91" s="22">
        <f t="shared" ref="I91:I106" si="54">(D91*H91)</f>
        <v>4.2790348509696825E-2</v>
      </c>
      <c r="J91" s="24">
        <f t="shared" ref="J91:J99" si="55">IF(I$32&lt;=1+I$131,I91,L91+J$33*(I91-L91))</f>
        <v>4.2790348509696825E-2</v>
      </c>
      <c r="K91" s="22">
        <f t="shared" ref="K91:K106" si="56">(B91)</f>
        <v>0.14505202884642993</v>
      </c>
      <c r="L91" s="22">
        <f t="shared" ref="L91:L106" si="57">(K91*H91)</f>
        <v>8.5580697019393651E-2</v>
      </c>
      <c r="M91" s="227">
        <f t="shared" si="49"/>
        <v>4.2790348509696825E-2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0.59</v>
      </c>
      <c r="I92" s="22">
        <f t="shared" si="54"/>
        <v>2.0325415542105991E-2</v>
      </c>
      <c r="J92" s="24">
        <f t="shared" si="55"/>
        <v>2.0325415542105991E-2</v>
      </c>
      <c r="K92" s="22">
        <f t="shared" si="56"/>
        <v>3.4449856851027104E-2</v>
      </c>
      <c r="L92" s="22">
        <f t="shared" si="57"/>
        <v>2.0325415542105991E-2</v>
      </c>
      <c r="M92" s="227">
        <f t="shared" si="49"/>
        <v>2.0325415542105991E-2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0.42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0.27999999999999997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0.27999999999999997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0.27999999999999997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0.27999999999999997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0.27999999999999997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0.27999999999999997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0.27999999999999997</v>
      </c>
      <c r="I102" s="22">
        <f t="shared" si="54"/>
        <v>3.2491654461600298E-4</v>
      </c>
      <c r="J102" s="24">
        <f>IF(I$32&lt;=1+I131,I102,L102+J$33*(I102-L102))</f>
        <v>3.2491654461600298E-4</v>
      </c>
      <c r="K102" s="22">
        <f t="shared" si="56"/>
        <v>1.5230463028875142E-3</v>
      </c>
      <c r="L102" s="22">
        <f t="shared" si="57"/>
        <v>4.2645296480850394E-4</v>
      </c>
      <c r="M102" s="228">
        <f t="shared" si="49"/>
        <v>3.2491654461600298E-4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0.27999999999999997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0.27999999999999997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0.55500000000000005</v>
      </c>
      <c r="I105" s="22">
        <f t="shared" si="54"/>
        <v>4.1325323018347897E-2</v>
      </c>
      <c r="J105" s="24">
        <f>IF(I$32&lt;=1+I131,I105,L105+J$33*(I105-L105))</f>
        <v>4.1325323018347897E-2</v>
      </c>
      <c r="K105" s="22">
        <f t="shared" si="56"/>
        <v>7.4460041474500707E-2</v>
      </c>
      <c r="L105" s="22">
        <f t="shared" si="57"/>
        <v>4.1325323018347897E-2</v>
      </c>
      <c r="M105" s="228">
        <f t="shared" si="49"/>
        <v>4.1325323018347897E-2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0.55500000000000005</v>
      </c>
      <c r="I106" s="22">
        <f t="shared" si="54"/>
        <v>1.2612273908197082E-2</v>
      </c>
      <c r="J106" s="24">
        <f>IF(I$32&lt;=1+I132,I106,L106+J$33*(I106-L106))</f>
        <v>1.2612273908197082E-2</v>
      </c>
      <c r="K106" s="22">
        <f t="shared" si="56"/>
        <v>2.2724817852607354E-2</v>
      </c>
      <c r="L106" s="22">
        <f t="shared" si="57"/>
        <v>1.2612273908197082E-2</v>
      </c>
      <c r="M106" s="228">
        <f>(J106)</f>
        <v>1.2612273908197082E-2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0.55500000000000005</v>
      </c>
      <c r="I107" s="22">
        <f t="shared" ref="I107:I118" si="61">(D107*H107)</f>
        <v>0.11753565897426219</v>
      </c>
      <c r="J107" s="24">
        <f t="shared" ref="J107:J118" si="62">IF(I$32&lt;=1+I133,I107,L107+J$33*(I107-L107))</f>
        <v>0.11753565897426219</v>
      </c>
      <c r="K107" s="22">
        <f t="shared" ref="K107:K118" si="63">(B107)</f>
        <v>0.2117759621157877</v>
      </c>
      <c r="L107" s="22">
        <f t="shared" ref="L107:L118" si="64">(K107*H107)</f>
        <v>0.11753565897426219</v>
      </c>
      <c r="M107" s="228">
        <f t="shared" ref="M107:M118" si="65">(J107)</f>
        <v>0.11753565897426219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0.70799999999999996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0.47199999999999992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2.3121286145519488</v>
      </c>
      <c r="J119" s="24">
        <f>SUM(J91:J118)</f>
        <v>2.3121286145519488</v>
      </c>
      <c r="K119" s="22">
        <f>SUM(K91:K118)</f>
        <v>2.2689038352158568</v>
      </c>
      <c r="L119" s="22">
        <f>SUM(L91:L118)</f>
        <v>2.3550204994818382</v>
      </c>
      <c r="M119" s="57">
        <f t="shared" si="49"/>
        <v>2.3121286145519488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0.8364640763564799</v>
      </c>
      <c r="J125" s="237">
        <f>IF(SUMPRODUCT($B$124:$B125,$H$124:$H125)&lt;J$119,($B125*$H125),IF(SUMPRODUCT($B$124:$B124,$H$124:$H124)&lt;J$119,J$119-SUMPRODUCT($B$124:$B124,$H$124:$H124),0))</f>
        <v>0.8364640763564799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0.87935596128636928</v>
      </c>
      <c r="M125" s="240">
        <f t="shared" si="66"/>
        <v>0.8364640763564799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0.8364640763564799</v>
      </c>
      <c r="J128" s="228">
        <f>(J30)</f>
        <v>0.58747615672459363</v>
      </c>
      <c r="K128" s="29">
        <f>(B128)</f>
        <v>0.61947890193026156</v>
      </c>
      <c r="L128" s="29">
        <f>IF(L124=L119,0,(L119-L124)/(B119-B124)*K128)</f>
        <v>0.44840021093396065</v>
      </c>
      <c r="M128" s="240">
        <f t="shared" si="66"/>
        <v>0.58747615672459363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2.3121286145519488</v>
      </c>
      <c r="J130" s="228">
        <f>(J119)</f>
        <v>2.3121286145519488</v>
      </c>
      <c r="K130" s="29">
        <f>(B130)</f>
        <v>2.2689038352158568</v>
      </c>
      <c r="L130" s="29">
        <f>(L119)</f>
        <v>2.3550204994818382</v>
      </c>
      <c r="M130" s="240">
        <f t="shared" si="66"/>
        <v>2.3121286145519488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1.2303271182834741</v>
      </c>
      <c r="J131" s="237">
        <f>IF(SUMPRODUCT($B124:$B125,$H124:$H125)&gt;(J119-J128),SUMPRODUCT($B124:$B125,$H124:$H125)+J128-J119,0)</f>
        <v>0.98133919865158825</v>
      </c>
      <c r="K131" s="29"/>
      <c r="L131" s="29">
        <f>IF(I131&lt;SUM(L126:L127),0,I131-(SUM(L126:L127)))</f>
        <v>1.2303271182834741</v>
      </c>
      <c r="M131" s="237">
        <f>IF(I131&lt;SUM(M126:M127),0,I131-(SUM(M126:M127)))</f>
        <v>1.2303271182834741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B81" sqref="B8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7.1955093399750925E-3</v>
      </c>
      <c r="J6" s="24">
        <f t="shared" ref="J6:J13" si="3">IF(I$32&lt;=1+I$131,I6,B6*H6+J$33*(I6-B6*H6))</f>
        <v>7.1955093399750925E-3</v>
      </c>
      <c r="K6" s="22">
        <f t="shared" ref="K6:K31" si="4">B6</f>
        <v>3.5977546699875462E-2</v>
      </c>
      <c r="L6" s="22">
        <f t="shared" ref="L6:L29" si="5">IF(K6="","",K6*H6)</f>
        <v>7.1955093399750925E-3</v>
      </c>
      <c r="M6" s="224">
        <f t="shared" ref="M6:M31" si="6">J6</f>
        <v>7.1955093399750925E-3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2.878203735990037E-2</v>
      </c>
      <c r="Z6" s="116">
        <v>0.17</v>
      </c>
      <c r="AA6" s="121">
        <f>$M6*Z6*4</f>
        <v>4.8929463511830631E-3</v>
      </c>
      <c r="AB6" s="116">
        <v>0.17</v>
      </c>
      <c r="AC6" s="121">
        <f t="shared" ref="AC6:AC29" si="7">$M6*AB6*4</f>
        <v>4.8929463511830631E-3</v>
      </c>
      <c r="AD6" s="116">
        <v>0.33</v>
      </c>
      <c r="AE6" s="121">
        <f t="shared" ref="AE6:AE29" si="8">$M6*AD6*4</f>
        <v>9.4980723287671227E-3</v>
      </c>
      <c r="AF6" s="122">
        <f>1-SUM(Z6,AB6,AD6)</f>
        <v>0.32999999999999996</v>
      </c>
      <c r="AG6" s="121">
        <f>$M6*AF6*4</f>
        <v>9.4980723287671209E-3</v>
      </c>
      <c r="AH6" s="123">
        <f>SUM(Z6,AB6,AD6,AF6)</f>
        <v>1</v>
      </c>
      <c r="AI6" s="183">
        <f>SUM(AA6,AC6,AE6,AG6)/4</f>
        <v>7.1955093399750925E-3</v>
      </c>
      <c r="AJ6" s="120">
        <f>(AA6+AC6)/2</f>
        <v>4.8929463511830631E-3</v>
      </c>
      <c r="AK6" s="119">
        <f>(AE6+AG6)/2</f>
        <v>9.4980723287671209E-3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0.2</v>
      </c>
      <c r="F7" s="27">
        <v>8800</v>
      </c>
      <c r="H7" s="24">
        <f t="shared" si="1"/>
        <v>0.2</v>
      </c>
      <c r="I7" s="22">
        <f t="shared" si="2"/>
        <v>5.7193204389788289E-3</v>
      </c>
      <c r="J7" s="24">
        <f t="shared" si="3"/>
        <v>5.7193204389788289E-3</v>
      </c>
      <c r="K7" s="22">
        <f t="shared" si="4"/>
        <v>2.8596602194894145E-2</v>
      </c>
      <c r="L7" s="22">
        <f t="shared" si="5"/>
        <v>5.7193204389788289E-3</v>
      </c>
      <c r="M7" s="224">
        <f t="shared" si="6"/>
        <v>5.7193204389788289E-3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708.04227716205048</v>
      </c>
      <c r="T7" s="222">
        <f>IF($B$81=0,0,(SUMIF($N$6:$N$28,$U7,M$6:M$28)+SUMIF($N$91:$N$118,$U7,M$91:M$118))*$I$83*Poor!$B$81/$B$81)</f>
        <v>719.16936201777662</v>
      </c>
      <c r="U7" s="223">
        <v>1</v>
      </c>
      <c r="V7" s="56"/>
      <c r="W7" s="115"/>
      <c r="X7" s="124">
        <v>4</v>
      </c>
      <c r="Y7" s="183">
        <f t="shared" ref="Y7:Y29" si="9">M7*4</f>
        <v>2.2877281755915316E-2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2.2877281755915316E-2</v>
      </c>
      <c r="AH7" s="123">
        <f t="shared" ref="AH7:AH30" si="12">SUM(Z7,AB7,AD7,AF7)</f>
        <v>1</v>
      </c>
      <c r="AI7" s="183">
        <f t="shared" ref="AI7:AI30" si="13">SUM(AA7,AC7,AE7,AG7)/4</f>
        <v>5.7193204389788289E-3</v>
      </c>
      <c r="AJ7" s="120">
        <f t="shared" ref="AJ7:AJ31" si="14">(AA7+AC7)/2</f>
        <v>0</v>
      </c>
      <c r="AK7" s="119">
        <f t="shared" ref="AK7:AK31" si="15">(AE7+AG7)/2</f>
        <v>1.1438640877957658E-2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2.7222222222222222E-3</v>
      </c>
      <c r="J8" s="24">
        <f t="shared" si="3"/>
        <v>2.7222222222222222E-3</v>
      </c>
      <c r="K8" s="22">
        <f t="shared" si="4"/>
        <v>1.361111111111111E-2</v>
      </c>
      <c r="L8" s="22">
        <f t="shared" si="5"/>
        <v>2.7222222222222222E-3</v>
      </c>
      <c r="M8" s="224">
        <f t="shared" si="6"/>
        <v>2.7222222222222222E-3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347.29333333333335</v>
      </c>
      <c r="T8" s="222">
        <f>IF($B$81=0,0,(SUMIF($N$6:$N$28,$U8,M$6:M$28)+SUMIF($N$91:$N$118,$U8,M$91:M$118))*$I$83*Poor!$B$81/$B$81)</f>
        <v>316.30266981633775</v>
      </c>
      <c r="U8" s="223">
        <v>2</v>
      </c>
      <c r="V8" s="184"/>
      <c r="W8" s="115"/>
      <c r="X8" s="124">
        <v>1</v>
      </c>
      <c r="Y8" s="183">
        <f t="shared" si="9"/>
        <v>1.0888888888888889E-2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1.0888888888888889E-2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2.7222222222222222E-3</v>
      </c>
      <c r="AJ8" s="120">
        <f t="shared" si="14"/>
        <v>5.4444444444444445E-3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0.3</v>
      </c>
      <c r="F9" s="28">
        <v>8800</v>
      </c>
      <c r="H9" s="24">
        <f t="shared" si="1"/>
        <v>0.3</v>
      </c>
      <c r="I9" s="22">
        <f t="shared" si="2"/>
        <v>3.6966058468244078E-2</v>
      </c>
      <c r="J9" s="24">
        <f t="shared" si="3"/>
        <v>3.6966058468244078E-2</v>
      </c>
      <c r="K9" s="22">
        <f t="shared" si="4"/>
        <v>0.12322019489414693</v>
      </c>
      <c r="L9" s="22">
        <f t="shared" si="5"/>
        <v>3.6966058468244078E-2</v>
      </c>
      <c r="M9" s="224">
        <f t="shared" si="6"/>
        <v>3.6966058468244078E-2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178.07168754085009</v>
      </c>
      <c r="T9" s="222">
        <f>IF($B$81=0,0,(SUMIF($N$6:$N$28,$U9,M$6:M$28)+SUMIF($N$91:$N$118,$U9,M$91:M$118))*$I$83*Poor!$B$81/$B$81)</f>
        <v>178.07168754085009</v>
      </c>
      <c r="U9" s="223">
        <v>3</v>
      </c>
      <c r="V9" s="56"/>
      <c r="W9" s="115"/>
      <c r="X9" s="124">
        <v>1</v>
      </c>
      <c r="Y9" s="183">
        <f t="shared" si="9"/>
        <v>0.14786423387297631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0.14786423387297631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3.6966058468244078E-2</v>
      </c>
      <c r="AJ9" s="120">
        <f t="shared" si="14"/>
        <v>7.3932116936488157E-2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0.2</v>
      </c>
      <c r="H10" s="24">
        <f t="shared" si="1"/>
        <v>0.2</v>
      </c>
      <c r="I10" s="22">
        <f t="shared" si="2"/>
        <v>3.627115301992528E-3</v>
      </c>
      <c r="J10" s="24">
        <f t="shared" si="3"/>
        <v>4.4367579908589994E-3</v>
      </c>
      <c r="K10" s="22">
        <f t="shared" si="4"/>
        <v>2.3382926058530512E-2</v>
      </c>
      <c r="L10" s="22">
        <f t="shared" si="5"/>
        <v>4.6765852117061028E-3</v>
      </c>
      <c r="M10" s="224">
        <f t="shared" si="6"/>
        <v>4.4367579908589994E-3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1.7747031963435998E-2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1.7747031963435998E-2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4.4367579908589994E-3</v>
      </c>
      <c r="AJ10" s="120">
        <f t="shared" si="14"/>
        <v>8.8735159817179988E-3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0.2</v>
      </c>
      <c r="H11" s="24">
        <f t="shared" si="1"/>
        <v>0.2</v>
      </c>
      <c r="I11" s="22">
        <f t="shared" si="2"/>
        <v>3.0865120797011212E-3</v>
      </c>
      <c r="J11" s="24">
        <f t="shared" si="3"/>
        <v>1.5819344674874562E-3</v>
      </c>
      <c r="K11" s="22">
        <f t="shared" si="4"/>
        <v>5.6812901618929013E-3</v>
      </c>
      <c r="L11" s="22">
        <f t="shared" si="5"/>
        <v>1.1362580323785803E-3</v>
      </c>
      <c r="M11" s="224">
        <f t="shared" si="6"/>
        <v>1.5819344674874562E-3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4867.1066666666666</v>
      </c>
      <c r="T11" s="222">
        <f>IF($B$81=0,0,(SUMIF($N$6:$N$28,$U11,M$6:M$28)+SUMIF($N$91:$N$118,$U11,M$91:M$118))*$I$83*Poor!$B$81/$B$81)</f>
        <v>4754.7498957307489</v>
      </c>
      <c r="U11" s="223">
        <v>5</v>
      </c>
      <c r="V11" s="56"/>
      <c r="W11" s="115"/>
      <c r="X11" s="124">
        <v>1</v>
      </c>
      <c r="Y11" s="183">
        <f t="shared" si="9"/>
        <v>6.3277378699498248E-3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6.3277378699498248E-3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1.5819344674874562E-3</v>
      </c>
      <c r="AJ11" s="120">
        <f t="shared" si="14"/>
        <v>3.1638689349749124E-3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0.2</v>
      </c>
      <c r="H12" s="24">
        <f t="shared" si="1"/>
        <v>0.2</v>
      </c>
      <c r="I12" s="22">
        <f t="shared" si="2"/>
        <v>8.1819427148194278E-4</v>
      </c>
      <c r="J12" s="24">
        <f t="shared" si="3"/>
        <v>7.1227220126817196E-4</v>
      </c>
      <c r="K12" s="22">
        <f t="shared" si="4"/>
        <v>3.4044831880448317E-3</v>
      </c>
      <c r="L12" s="22">
        <f t="shared" si="5"/>
        <v>6.8089663760896634E-4</v>
      </c>
      <c r="M12" s="224">
        <f t="shared" si="6"/>
        <v>7.1227220126817196E-4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104.13223635110471</v>
      </c>
      <c r="U12" s="223">
        <v>6</v>
      </c>
      <c r="V12" s="56"/>
      <c r="W12" s="117"/>
      <c r="X12" s="118"/>
      <c r="Y12" s="183">
        <f t="shared" si="9"/>
        <v>2.8490888050726878E-3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1.908889499398701E-3</v>
      </c>
      <c r="AF12" s="122">
        <f>1-SUM(Z12,AB12,AD12)</f>
        <v>0.32999999999999996</v>
      </c>
      <c r="AG12" s="121">
        <f>$M12*AF12*4</f>
        <v>9.4019930567398684E-4</v>
      </c>
      <c r="AH12" s="123">
        <f t="shared" si="12"/>
        <v>1</v>
      </c>
      <c r="AI12" s="183">
        <f t="shared" si="13"/>
        <v>7.1227220126817196E-4</v>
      </c>
      <c r="AJ12" s="120">
        <f t="shared" si="14"/>
        <v>0</v>
      </c>
      <c r="AK12" s="119">
        <f t="shared" si="15"/>
        <v>1.4245444025363439E-3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0.2</v>
      </c>
      <c r="H13" s="24">
        <f t="shared" si="1"/>
        <v>0.2</v>
      </c>
      <c r="I13" s="22">
        <f t="shared" si="2"/>
        <v>1.8212951432129514E-4</v>
      </c>
      <c r="J13" s="24">
        <f t="shared" si="3"/>
        <v>1.5871136954614175E-4</v>
      </c>
      <c r="K13" s="22">
        <f t="shared" si="4"/>
        <v>7.5887297633872976E-4</v>
      </c>
      <c r="L13" s="22">
        <f t="shared" si="5"/>
        <v>1.5177459526774596E-4</v>
      </c>
      <c r="M13" s="225">
        <f t="shared" si="6"/>
        <v>1.5871136954614175E-4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1117.4000000000001</v>
      </c>
      <c r="T13" s="222">
        <f>IF($B$81=0,0,(SUMIF($N$6:$N$28,$U13,M$6:M$28)+SUMIF($N$91:$N$118,$U13,M$91:M$118))*$I$83*Poor!$B$81/$B$81)</f>
        <v>1117.4000000000001</v>
      </c>
      <c r="U13" s="223">
        <v>7</v>
      </c>
      <c r="V13" s="56"/>
      <c r="W13" s="110"/>
      <c r="X13" s="118"/>
      <c r="Y13" s="183">
        <f t="shared" si="9"/>
        <v>6.3484547818456701E-4</v>
      </c>
      <c r="Z13" s="116">
        <v>1</v>
      </c>
      <c r="AA13" s="121">
        <f>$M13*Z13*4</f>
        <v>6.3484547818456701E-4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1.5871136954614175E-4</v>
      </c>
      <c r="AJ13" s="120">
        <f t="shared" si="14"/>
        <v>3.1742273909228351E-4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0.2</v>
      </c>
      <c r="F14" s="22"/>
      <c r="H14" s="24">
        <f t="shared" si="1"/>
        <v>0.2</v>
      </c>
      <c r="I14" s="22">
        <f t="shared" si="2"/>
        <v>1.2578648816936489E-3</v>
      </c>
      <c r="J14" s="24">
        <f>IF(I$32&lt;=1+I131,I14,B14*H14+J$33*(I14-B14*H14))</f>
        <v>1.2578648816936489E-3</v>
      </c>
      <c r="K14" s="22">
        <f t="shared" si="4"/>
        <v>6.2893244084682443E-3</v>
      </c>
      <c r="L14" s="22">
        <f t="shared" si="5"/>
        <v>1.2578648816936489E-3</v>
      </c>
      <c r="M14" s="225">
        <f t="shared" si="6"/>
        <v>1.2578648816936489E-3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5.0314595267745956E-3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5.0314595267745956E-3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1.2578648816936489E-3</v>
      </c>
      <c r="AJ14" s="120">
        <f t="shared" si="14"/>
        <v>2.5157297633872978E-3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0.2</v>
      </c>
      <c r="F15" s="22"/>
      <c r="H15" s="24">
        <f t="shared" si="1"/>
        <v>0.2</v>
      </c>
      <c r="I15" s="22">
        <f t="shared" si="2"/>
        <v>5.9797462640099621E-4</v>
      </c>
      <c r="J15" s="24">
        <f>IF(I$32&lt;=1+I131,I15,B15*H15+J$33*(I15-B15*H15))</f>
        <v>5.9797462640099621E-4</v>
      </c>
      <c r="K15" s="22">
        <f t="shared" si="4"/>
        <v>2.9898731320049808E-3</v>
      </c>
      <c r="L15" s="22">
        <f t="shared" si="5"/>
        <v>5.9797462640099621E-4</v>
      </c>
      <c r="M15" s="226">
        <f t="shared" si="6"/>
        <v>5.9797462640099621E-4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2.3918985056039848E-3</v>
      </c>
      <c r="Z15" s="116">
        <v>0.25</v>
      </c>
      <c r="AA15" s="121">
        <f t="shared" si="16"/>
        <v>5.9797462640099621E-4</v>
      </c>
      <c r="AB15" s="116">
        <v>0.25</v>
      </c>
      <c r="AC15" s="121">
        <f t="shared" si="7"/>
        <v>5.9797462640099621E-4</v>
      </c>
      <c r="AD15" s="116">
        <v>0.25</v>
      </c>
      <c r="AE15" s="121">
        <f t="shared" si="8"/>
        <v>5.9797462640099621E-4</v>
      </c>
      <c r="AF15" s="122">
        <f t="shared" si="10"/>
        <v>0.25</v>
      </c>
      <c r="AG15" s="121">
        <f t="shared" si="11"/>
        <v>5.9797462640099621E-4</v>
      </c>
      <c r="AH15" s="123">
        <f t="shared" si="12"/>
        <v>1</v>
      </c>
      <c r="AI15" s="183">
        <f t="shared" si="13"/>
        <v>5.9797462640099621E-4</v>
      </c>
      <c r="AJ15" s="120">
        <f t="shared" si="14"/>
        <v>5.9797462640099621E-4</v>
      </c>
      <c r="AK15" s="119">
        <f t="shared" si="15"/>
        <v>5.9797462640099621E-4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0.2</v>
      </c>
      <c r="F16" s="22"/>
      <c r="H16" s="24">
        <f t="shared" si="1"/>
        <v>0.2</v>
      </c>
      <c r="I16" s="22">
        <f t="shared" si="2"/>
        <v>1.9313511830635119E-4</v>
      </c>
      <c r="J16" s="24">
        <f>IF(I$32&lt;=1+I131,I16,B16*H16+J$33*(I16-B16*H16))</f>
        <v>1.6899641523042384E-4</v>
      </c>
      <c r="K16" s="22">
        <f t="shared" si="4"/>
        <v>8.0923100871731007E-4</v>
      </c>
      <c r="L16" s="22">
        <f t="shared" si="5"/>
        <v>1.6184620174346202E-4</v>
      </c>
      <c r="M16" s="224">
        <f t="shared" si="6"/>
        <v>1.6899641523042384E-4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6.7598566092169534E-4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6.7598566092169534E-4</v>
      </c>
      <c r="AH16" s="123">
        <f t="shared" si="12"/>
        <v>1</v>
      </c>
      <c r="AI16" s="183">
        <f t="shared" si="13"/>
        <v>1.6899641523042384E-4</v>
      </c>
      <c r="AJ16" s="120">
        <f t="shared" si="14"/>
        <v>0</v>
      </c>
      <c r="AK16" s="119">
        <f t="shared" si="15"/>
        <v>3.3799283046084767E-4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0.2</v>
      </c>
      <c r="F17" s="22"/>
      <c r="H17" s="24">
        <f t="shared" si="1"/>
        <v>0.2</v>
      </c>
      <c r="I17" s="22">
        <f t="shared" si="2"/>
        <v>7.625398505603986E-4</v>
      </c>
      <c r="J17" s="24">
        <f t="shared" ref="J17:J25" si="17">IF(I$32&lt;=1+I131,I17,B17*H17+J$33*(I17-B17*H17))</f>
        <v>7.625398505603986E-4</v>
      </c>
      <c r="K17" s="22">
        <f t="shared" si="4"/>
        <v>3.8126992528019926E-3</v>
      </c>
      <c r="L17" s="22">
        <f t="shared" si="5"/>
        <v>7.625398505603986E-4</v>
      </c>
      <c r="M17" s="225">
        <f t="shared" si="6"/>
        <v>7.625398505603986E-4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3.0501594022415944E-3</v>
      </c>
      <c r="Z17" s="116">
        <v>0.29409999999999997</v>
      </c>
      <c r="AA17" s="121">
        <f t="shared" si="16"/>
        <v>8.9705188019925284E-4</v>
      </c>
      <c r="AB17" s="116">
        <v>0.17649999999999999</v>
      </c>
      <c r="AC17" s="121">
        <f t="shared" si="7"/>
        <v>5.3835313449564139E-4</v>
      </c>
      <c r="AD17" s="116">
        <v>0.23530000000000001</v>
      </c>
      <c r="AE17" s="121">
        <f t="shared" si="8"/>
        <v>7.1770250734744722E-4</v>
      </c>
      <c r="AF17" s="122">
        <f t="shared" si="10"/>
        <v>0.29410000000000003</v>
      </c>
      <c r="AG17" s="121">
        <f t="shared" si="11"/>
        <v>8.9705188019925295E-4</v>
      </c>
      <c r="AH17" s="123">
        <f t="shared" si="12"/>
        <v>1</v>
      </c>
      <c r="AI17" s="183">
        <f t="shared" si="13"/>
        <v>7.625398505603986E-4</v>
      </c>
      <c r="AJ17" s="120">
        <f t="shared" si="14"/>
        <v>7.1770250734744712E-4</v>
      </c>
      <c r="AK17" s="119">
        <f t="shared" si="15"/>
        <v>8.0737719377335009E-4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2.4844333748443338E-3</v>
      </c>
      <c r="J18" s="24">
        <f t="shared" si="17"/>
        <v>1.7177593428208504E-3</v>
      </c>
      <c r="K18" s="22">
        <f t="shared" ref="K18:K20" si="21">B18</f>
        <v>7.4533001245330015E-3</v>
      </c>
      <c r="L18" s="22">
        <f t="shared" ref="L18:L20" si="22">IF(K18="","",K18*H18)</f>
        <v>1.4906600249066004E-3</v>
      </c>
      <c r="M18" s="225">
        <f t="shared" ref="M18:M20" si="23">J18</f>
        <v>1.7177593428208504E-3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6.8710373712834016E-3</v>
      </c>
      <c r="Z18" s="116">
        <v>1.2941</v>
      </c>
      <c r="AA18" s="121">
        <f t="shared" ref="AA18:AA20" si="25">$M18*Z18*4</f>
        <v>8.8918094621778503E-3</v>
      </c>
      <c r="AB18" s="116">
        <v>1.1765000000000001</v>
      </c>
      <c r="AC18" s="121">
        <f t="shared" ref="AC18:AC20" si="26">$M18*AB18*4</f>
        <v>8.0837754673149225E-3</v>
      </c>
      <c r="AD18" s="116">
        <v>1.2353000000000001</v>
      </c>
      <c r="AE18" s="121">
        <f t="shared" ref="AE18:AE20" si="27">$M18*AD18*4</f>
        <v>8.4877924647463864E-3</v>
      </c>
      <c r="AF18" s="122">
        <f t="shared" ref="AF18:AF20" si="28">1-SUM(Z18,AB18,AD18)</f>
        <v>-2.7059000000000002</v>
      </c>
      <c r="AG18" s="121">
        <f t="shared" ref="AG18:AG20" si="29">$M18*AF18*4</f>
        <v>-1.8592340022955758E-2</v>
      </c>
      <c r="AH18" s="123">
        <f t="shared" ref="AH18:AH20" si="30">SUM(Z18,AB18,AD18,AF18)</f>
        <v>1</v>
      </c>
      <c r="AI18" s="183">
        <f t="shared" ref="AI18:AI20" si="31">SUM(AA18,AC18,AE18,AG18)/4</f>
        <v>1.71775934282085E-3</v>
      </c>
      <c r="AJ18" s="120">
        <f t="shared" ref="AJ18:AJ20" si="32">(AA18+AC18)/2</f>
        <v>8.4877924647463864E-3</v>
      </c>
      <c r="AK18" s="119">
        <f t="shared" ref="AK18:AK20" si="33">(AE18+AG18)/2</f>
        <v>-5.0522737791046856E-3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0.2</v>
      </c>
      <c r="F19" s="22"/>
      <c r="H19" s="24">
        <f t="shared" si="19"/>
        <v>0.2</v>
      </c>
      <c r="I19" s="22">
        <f t="shared" si="20"/>
        <v>2.1415525114155251E-3</v>
      </c>
      <c r="J19" s="24">
        <f t="shared" si="17"/>
        <v>1.0322450011706862E-3</v>
      </c>
      <c r="K19" s="22">
        <f t="shared" si="21"/>
        <v>3.518264840182648E-3</v>
      </c>
      <c r="L19" s="22">
        <f t="shared" si="22"/>
        <v>7.0365296803652966E-4</v>
      </c>
      <c r="M19" s="225">
        <f t="shared" si="23"/>
        <v>1.0322450011706862E-3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4.1289800046827446E-3</v>
      </c>
      <c r="Z19" s="116">
        <v>2.2940999999999998</v>
      </c>
      <c r="AA19" s="121">
        <f t="shared" si="25"/>
        <v>9.4722930287426833E-3</v>
      </c>
      <c r="AB19" s="116">
        <v>2.1764999999999999</v>
      </c>
      <c r="AC19" s="121">
        <f t="shared" si="26"/>
        <v>8.9867249801919933E-3</v>
      </c>
      <c r="AD19" s="116">
        <v>2.2353000000000001</v>
      </c>
      <c r="AE19" s="121">
        <f t="shared" si="27"/>
        <v>9.22950900446734E-3</v>
      </c>
      <c r="AF19" s="122">
        <f t="shared" si="28"/>
        <v>-5.7058999999999997</v>
      </c>
      <c r="AG19" s="121">
        <f t="shared" si="29"/>
        <v>-2.3559547008719272E-2</v>
      </c>
      <c r="AH19" s="123">
        <f t="shared" si="30"/>
        <v>1</v>
      </c>
      <c r="AI19" s="183">
        <f t="shared" si="31"/>
        <v>1.0322450011706862E-3</v>
      </c>
      <c r="AJ19" s="120">
        <f t="shared" si="32"/>
        <v>9.2295090044673383E-3</v>
      </c>
      <c r="AK19" s="119">
        <f t="shared" si="33"/>
        <v>-7.165019002125966E-3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0.2</v>
      </c>
      <c r="F20" s="22"/>
      <c r="H20" s="24">
        <f t="shared" si="19"/>
        <v>0.2</v>
      </c>
      <c r="I20" s="22">
        <f t="shared" si="20"/>
        <v>4.3150684931506848E-5</v>
      </c>
      <c r="J20" s="24">
        <f t="shared" si="17"/>
        <v>4.3150684931506848E-5</v>
      </c>
      <c r="K20" s="22">
        <f t="shared" si="21"/>
        <v>2.1575342465753424E-4</v>
      </c>
      <c r="L20" s="22">
        <f t="shared" si="22"/>
        <v>4.3150684931506848E-5</v>
      </c>
      <c r="M20" s="225">
        <f t="shared" si="23"/>
        <v>4.3150684931506848E-5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1.7260273972602739E-4</v>
      </c>
      <c r="Z20" s="116">
        <v>3.2940999999999998</v>
      </c>
      <c r="AA20" s="121">
        <f t="shared" si="25"/>
        <v>5.6857068493150682E-4</v>
      </c>
      <c r="AB20" s="116">
        <v>3.1764999999999999</v>
      </c>
      <c r="AC20" s="121">
        <f t="shared" si="26"/>
        <v>5.4827260273972601E-4</v>
      </c>
      <c r="AD20" s="116">
        <v>3.2353000000000001</v>
      </c>
      <c r="AE20" s="121">
        <f t="shared" si="27"/>
        <v>5.5842164383561647E-4</v>
      </c>
      <c r="AF20" s="122">
        <f t="shared" si="28"/>
        <v>-8.7058999999999997</v>
      </c>
      <c r="AG20" s="121">
        <f t="shared" si="29"/>
        <v>-1.5026621917808218E-3</v>
      </c>
      <c r="AH20" s="123">
        <f t="shared" si="30"/>
        <v>1</v>
      </c>
      <c r="AI20" s="183">
        <f t="shared" si="31"/>
        <v>4.3150684931506902E-5</v>
      </c>
      <c r="AJ20" s="120">
        <f t="shared" si="32"/>
        <v>5.5842164383561647E-4</v>
      </c>
      <c r="AK20" s="119">
        <f t="shared" si="33"/>
        <v>-4.7212027397260266E-4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7.1928980141425904E-3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7.1928980141425904E-3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2.8771592056570362E-2</v>
      </c>
      <c r="Z21" s="116">
        <v>4.2941000000000003</v>
      </c>
      <c r="AA21" s="121">
        <f t="shared" ref="AA21:AA25" si="41">$M21*Z21*4</f>
        <v>0.1235480934501188</v>
      </c>
      <c r="AB21" s="116">
        <v>4.1764999999999999</v>
      </c>
      <c r="AC21" s="121">
        <f t="shared" ref="AC21:AC25" si="42">$M21*AB21*4</f>
        <v>0.12016455422426611</v>
      </c>
      <c r="AD21" s="116">
        <v>4.2352999999999996</v>
      </c>
      <c r="AE21" s="121">
        <f t="shared" ref="AE21:AE25" si="43">$M21*AD21*4</f>
        <v>0.12185632383719244</v>
      </c>
      <c r="AF21" s="122">
        <f t="shared" ref="AF21:AF25" si="44">1-SUM(Z21,AB21,AD21)</f>
        <v>-11.7059</v>
      </c>
      <c r="AG21" s="121">
        <f t="shared" ref="AG21:AG25" si="45">$M21*AF21*4</f>
        <v>-0.33679737945500698</v>
      </c>
      <c r="AH21" s="123">
        <f t="shared" ref="AH21:AH25" si="46">SUM(Z21,AB21,AD21,AF21)</f>
        <v>1</v>
      </c>
      <c r="AI21" s="183">
        <f t="shared" ref="AI21:AI25" si="47">SUM(AA21,AC21,AE21,AG21)/4</f>
        <v>7.192898014142593E-3</v>
      </c>
      <c r="AJ21" s="120">
        <f t="shared" ref="AJ21:AJ25" si="48">(AA21+AC21)/2</f>
        <v>0.12185632383719246</v>
      </c>
      <c r="AK21" s="119">
        <f t="shared" ref="AK21:AK25" si="49">(AE21+AG21)/2</f>
        <v>-0.10747052780890727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3.5939806137925918E-4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3.5939806137925918E-4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1.4375922455170367E-3</v>
      </c>
      <c r="Z22" s="116">
        <v>5.2941000000000003</v>
      </c>
      <c r="AA22" s="121">
        <f t="shared" si="41"/>
        <v>7.6107571069917446E-3</v>
      </c>
      <c r="AB22" s="116">
        <v>5.1764999999999999</v>
      </c>
      <c r="AC22" s="121">
        <f t="shared" si="42"/>
        <v>7.4416962589189404E-3</v>
      </c>
      <c r="AD22" s="116">
        <v>5.2352999999999996</v>
      </c>
      <c r="AE22" s="121">
        <f t="shared" si="43"/>
        <v>7.526226682955342E-3</v>
      </c>
      <c r="AF22" s="122">
        <f t="shared" si="44"/>
        <v>-14.7059</v>
      </c>
      <c r="AG22" s="121">
        <f t="shared" si="45"/>
        <v>-2.1141087803348991E-2</v>
      </c>
      <c r="AH22" s="123">
        <f t="shared" si="46"/>
        <v>1</v>
      </c>
      <c r="AI22" s="183">
        <f t="shared" si="47"/>
        <v>3.593980613792588E-4</v>
      </c>
      <c r="AJ22" s="120">
        <f t="shared" si="48"/>
        <v>7.526226682955342E-3</v>
      </c>
      <c r="AK22" s="119">
        <f t="shared" si="49"/>
        <v>-6.8074305601968244E-3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50073.477892178351</v>
      </c>
      <c r="T23" s="179">
        <f>SUM(T7:T22)</f>
        <v>49946.885166404507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2.1376779330636867E-2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2.1376779330636867E-2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8.5507117322547468E-2</v>
      </c>
      <c r="Z27" s="116">
        <v>0.25</v>
      </c>
      <c r="AA27" s="121">
        <f t="shared" si="16"/>
        <v>2.1376779330636867E-2</v>
      </c>
      <c r="AB27" s="116">
        <v>0.25</v>
      </c>
      <c r="AC27" s="121">
        <f t="shared" si="7"/>
        <v>2.1376779330636867E-2</v>
      </c>
      <c r="AD27" s="116">
        <v>0.25</v>
      </c>
      <c r="AE27" s="121">
        <f t="shared" si="8"/>
        <v>2.1376779330636867E-2</v>
      </c>
      <c r="AF27" s="122">
        <f t="shared" si="10"/>
        <v>0.25</v>
      </c>
      <c r="AG27" s="121">
        <f t="shared" si="11"/>
        <v>2.1376779330636867E-2</v>
      </c>
      <c r="AH27" s="123">
        <f t="shared" si="12"/>
        <v>1</v>
      </c>
      <c r="AI27" s="183">
        <f t="shared" si="13"/>
        <v>2.1376779330636867E-2</v>
      </c>
      <c r="AJ27" s="120">
        <f t="shared" si="14"/>
        <v>2.1376779330636867E-2</v>
      </c>
      <c r="AK27" s="119">
        <f t="shared" si="15"/>
        <v>2.1376779330636867E-2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0.22181890245301564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0.22181890245301564</v>
      </c>
      <c r="N29" s="229"/>
      <c r="P29" s="22"/>
      <c r="V29" s="56"/>
      <c r="W29" s="110"/>
      <c r="X29" s="118"/>
      <c r="Y29" s="183">
        <f t="shared" si="9"/>
        <v>0.88727560981206255</v>
      </c>
      <c r="Z29" s="116">
        <v>0.25</v>
      </c>
      <c r="AA29" s="121">
        <f t="shared" si="16"/>
        <v>0.22181890245301564</v>
      </c>
      <c r="AB29" s="116">
        <v>0.25</v>
      </c>
      <c r="AC29" s="121">
        <f t="shared" si="7"/>
        <v>0.22181890245301564</v>
      </c>
      <c r="AD29" s="116">
        <v>0.25</v>
      </c>
      <c r="AE29" s="121">
        <f t="shared" si="8"/>
        <v>0.22181890245301564</v>
      </c>
      <c r="AF29" s="122">
        <f t="shared" si="10"/>
        <v>0.25</v>
      </c>
      <c r="AG29" s="121">
        <f t="shared" si="11"/>
        <v>0.22181890245301564</v>
      </c>
      <c r="AH29" s="123">
        <f t="shared" si="12"/>
        <v>1</v>
      </c>
      <c r="AI29" s="183">
        <f t="shared" si="13"/>
        <v>0.22181890245301564</v>
      </c>
      <c r="AJ29" s="120">
        <f t="shared" si="14"/>
        <v>0.22181890245301564</v>
      </c>
      <c r="AK29" s="119">
        <f t="shared" si="15"/>
        <v>0.22181890245301564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1.8862474324530767</v>
      </c>
      <c r="J30" s="231">
        <f>IF(I$32&lt;=1,I30,1-SUM(J6:J29))</f>
        <v>0.53136547512031007</v>
      </c>
      <c r="K30" s="22">
        <f t="shared" si="4"/>
        <v>0.59274655759651318</v>
      </c>
      <c r="L30" s="22">
        <f>IF(L124=L119,0,IF(K30="",0,(L119-L124)/(B119-B124)*K30))</f>
        <v>0.4987281660199378</v>
      </c>
      <c r="M30" s="175">
        <f t="shared" si="6"/>
        <v>0.53136547512031007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2.1254619004812403</v>
      </c>
      <c r="Z30" s="122">
        <f>IF($Y30=0,0,AA30/($Y$30))</f>
        <v>0.12423128063281436</v>
      </c>
      <c r="AA30" s="187">
        <f>IF(AA79*4/$I$83+SUM(AA6:AA29)&lt;1,AA79*4/$I$83,1-SUM(AA6:AA29))</f>
        <v>0.26404885383303989</v>
      </c>
      <c r="AB30" s="122">
        <f>IF($Y30=0,0,AC30/($Y$30))</f>
        <v>0.21063907625141029</v>
      </c>
      <c r="AC30" s="187">
        <f>IF(AC79*4/$I$83+SUM(AC6:AC29)&lt;1,AC79*4/$I$83,1-SUM(AC6:AC29))</f>
        <v>0.4477053313249354</v>
      </c>
      <c r="AD30" s="122">
        <f>IF($Y30=0,0,AE30/($Y$30))</f>
        <v>0.20871236308760427</v>
      </c>
      <c r="AE30" s="187">
        <f>IF(AE79*4/$I$83+SUM(AE6:AE29)&lt;1,AE79*4/$I$83,1-SUM(AE6:AE29))</f>
        <v>0.44361017590211005</v>
      </c>
      <c r="AF30" s="122">
        <f>IF($Y30=0,0,AG30/($Y$30))</f>
        <v>0.45641728002817106</v>
      </c>
      <c r="AG30" s="187">
        <f>IF(AG79*4/$I$83+SUM(AG6:AG29)&lt;1,AG79*4/$I$83,1-SUM(AG6:AG29))</f>
        <v>0.97009753942115484</v>
      </c>
      <c r="AH30" s="123">
        <f t="shared" si="12"/>
        <v>0.99999999999999989</v>
      </c>
      <c r="AI30" s="183">
        <f t="shared" si="13"/>
        <v>0.53136547512031007</v>
      </c>
      <c r="AJ30" s="120">
        <f t="shared" si="14"/>
        <v>0.35587709257898764</v>
      </c>
      <c r="AK30" s="119">
        <f t="shared" si="15"/>
        <v>0.70685385766163245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2.8387916944276448E-2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2.3405362576279654</v>
      </c>
      <c r="J32" s="17"/>
      <c r="L32" s="22">
        <f>SUM(L6:L30)</f>
        <v>0.97161208305572355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29300.296822007593</v>
      </c>
      <c r="T32" s="234">
        <f t="shared" si="50"/>
        <v>29426.889547781437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0.22852224597135681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0.5</v>
      </c>
      <c r="F37" s="26">
        <v>1.18</v>
      </c>
      <c r="G37" s="26">
        <v>1</v>
      </c>
      <c r="H37" s="24">
        <f t="shared" ref="H37:H49" si="51">(E37*F37)</f>
        <v>0.59</v>
      </c>
      <c r="I37" s="39">
        <f t="shared" ref="I37:I49" si="52">D37*H37</f>
        <v>3884.1666666666661</v>
      </c>
      <c r="J37" s="38">
        <f t="shared" ref="J37:J49" si="53">J91*I$83</f>
        <v>3884.1666666666665</v>
      </c>
      <c r="K37" s="40">
        <f t="shared" ref="K37:K49" si="54">(B37/B$65)</f>
        <v>0.14252827111402983</v>
      </c>
      <c r="L37" s="22">
        <f t="shared" ref="L37:L49" si="55">(K37*H37)</f>
        <v>8.4091679957277593E-2</v>
      </c>
      <c r="M37" s="24">
        <f t="shared" ref="M37:M49" si="56">J37/B$65</f>
        <v>8.4091679957277593E-2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3884.1666666666665</v>
      </c>
      <c r="AH37" s="123">
        <f>SUM(Z37,AB37,AD37,AF37)</f>
        <v>1</v>
      </c>
      <c r="AI37" s="112">
        <f>SUM(AA37,AC37,AE37,AG37)</f>
        <v>3884.1666666666665</v>
      </c>
      <c r="AJ37" s="148">
        <f>(AA37+AC37)</f>
        <v>0</v>
      </c>
      <c r="AK37" s="147">
        <f>(AE37+AG37)</f>
        <v>3884.1666666666665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0.5</v>
      </c>
      <c r="F38" s="26">
        <v>1.18</v>
      </c>
      <c r="G38" s="22">
        <f t="shared" ref="G38:G64" si="59">(G$37)</f>
        <v>1</v>
      </c>
      <c r="H38" s="24">
        <f t="shared" si="51"/>
        <v>0.59</v>
      </c>
      <c r="I38" s="39">
        <f t="shared" si="52"/>
        <v>393.33333333333331</v>
      </c>
      <c r="J38" s="38">
        <f t="shared" si="53"/>
        <v>772.6432290640829</v>
      </c>
      <c r="K38" s="40">
        <f t="shared" si="54"/>
        <v>3.2474795950032109E-2</v>
      </c>
      <c r="L38" s="22">
        <f t="shared" si="55"/>
        <v>1.9160129610518942E-2</v>
      </c>
      <c r="M38" s="24">
        <f t="shared" si="56"/>
        <v>1.6727620804020009E-2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772.6432290640829</v>
      </c>
      <c r="AH38" s="123">
        <f t="shared" ref="AH38:AI58" si="61">SUM(Z38,AB38,AD38,AF38)</f>
        <v>1</v>
      </c>
      <c r="AI38" s="112">
        <f t="shared" si="61"/>
        <v>772.6432290640829</v>
      </c>
      <c r="AJ38" s="148">
        <f t="shared" ref="AJ38:AJ64" si="62">(AA38+AC38)</f>
        <v>0</v>
      </c>
      <c r="AK38" s="147">
        <f t="shared" ref="AK38:AK64" si="63">(AE38+AG38)</f>
        <v>772.6432290640829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97.94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0.2</v>
      </c>
      <c r="F42" s="26">
        <v>1.4</v>
      </c>
      <c r="G42" s="22">
        <f t="shared" si="59"/>
        <v>1</v>
      </c>
      <c r="H42" s="24">
        <f t="shared" si="51"/>
        <v>0.27999999999999997</v>
      </c>
      <c r="I42" s="39">
        <f t="shared" si="52"/>
        <v>207.2</v>
      </c>
      <c r="J42" s="38">
        <f t="shared" si="53"/>
        <v>176.95807204207716</v>
      </c>
      <c r="K42" s="40">
        <f t="shared" si="54"/>
        <v>1.2989918380012844E-2</v>
      </c>
      <c r="L42" s="22">
        <f t="shared" si="55"/>
        <v>3.637177146403596E-3</v>
      </c>
      <c r="M42" s="24">
        <f t="shared" si="56"/>
        <v>3.8311181875183586E-3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44.239518010519291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88.479036021038581</v>
      </c>
      <c r="AF42" s="122">
        <f t="shared" si="57"/>
        <v>0.25</v>
      </c>
      <c r="AG42" s="147">
        <f t="shared" si="60"/>
        <v>44.239518010519291</v>
      </c>
      <c r="AH42" s="123">
        <f t="shared" si="61"/>
        <v>1</v>
      </c>
      <c r="AI42" s="112">
        <f t="shared" si="61"/>
        <v>176.95807204207716</v>
      </c>
      <c r="AJ42" s="148">
        <f t="shared" si="62"/>
        <v>44.239518010519291</v>
      </c>
      <c r="AK42" s="147">
        <f t="shared" si="63"/>
        <v>132.71855403155786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</v>
      </c>
      <c r="H43" s="24">
        <f t="shared" si="51"/>
        <v>0.27999999999999997</v>
      </c>
      <c r="I43" s="39">
        <f t="shared" si="52"/>
        <v>0</v>
      </c>
      <c r="J43" s="38">
        <f t="shared" si="53"/>
        <v>33.122111572963078</v>
      </c>
      <c r="K43" s="40">
        <f t="shared" si="54"/>
        <v>3.3196458082255047E-3</v>
      </c>
      <c r="L43" s="22">
        <f t="shared" si="55"/>
        <v>9.2950082630314124E-4</v>
      </c>
      <c r="M43" s="24">
        <f t="shared" si="56"/>
        <v>7.1708920984411536E-4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8.2805278932407695</v>
      </c>
      <c r="AB43" s="116">
        <v>0.25</v>
      </c>
      <c r="AC43" s="147">
        <f t="shared" si="65"/>
        <v>8.2805278932407695</v>
      </c>
      <c r="AD43" s="116">
        <v>0.25</v>
      </c>
      <c r="AE43" s="147">
        <f t="shared" si="66"/>
        <v>8.2805278932407695</v>
      </c>
      <c r="AF43" s="122">
        <f t="shared" si="57"/>
        <v>0.25</v>
      </c>
      <c r="AG43" s="147">
        <f t="shared" si="60"/>
        <v>8.2805278932407695</v>
      </c>
      <c r="AH43" s="123">
        <f t="shared" si="61"/>
        <v>1</v>
      </c>
      <c r="AI43" s="112">
        <f t="shared" si="61"/>
        <v>33.122111572963078</v>
      </c>
      <c r="AJ43" s="148">
        <f t="shared" si="62"/>
        <v>16.561055786481539</v>
      </c>
      <c r="AK43" s="147">
        <f t="shared" si="63"/>
        <v>16.561055786481539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0.2</v>
      </c>
      <c r="F44" s="26">
        <v>1.4</v>
      </c>
      <c r="G44" s="22">
        <f t="shared" si="59"/>
        <v>1</v>
      </c>
      <c r="H44" s="24">
        <f t="shared" si="51"/>
        <v>0.27999999999999997</v>
      </c>
      <c r="I44" s="39">
        <f t="shared" si="52"/>
        <v>0</v>
      </c>
      <c r="J44" s="38">
        <f t="shared" si="53"/>
        <v>47.379020467412403</v>
      </c>
      <c r="K44" s="40">
        <f t="shared" si="54"/>
        <v>4.7485368300269181E-3</v>
      </c>
      <c r="L44" s="22">
        <f t="shared" si="55"/>
        <v>1.329590312407537E-3</v>
      </c>
      <c r="M44" s="24">
        <f t="shared" si="56"/>
        <v>1.0257493479944085E-3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11.844755116853101</v>
      </c>
      <c r="AB44" s="116">
        <v>0.25</v>
      </c>
      <c r="AC44" s="147">
        <f t="shared" si="65"/>
        <v>11.844755116853101</v>
      </c>
      <c r="AD44" s="116">
        <v>0.25</v>
      </c>
      <c r="AE44" s="147">
        <f t="shared" si="66"/>
        <v>11.844755116853101</v>
      </c>
      <c r="AF44" s="122">
        <f t="shared" si="57"/>
        <v>0.25</v>
      </c>
      <c r="AG44" s="147">
        <f t="shared" si="60"/>
        <v>11.844755116853101</v>
      </c>
      <c r="AH44" s="123">
        <f t="shared" si="61"/>
        <v>1</v>
      </c>
      <c r="AI44" s="112">
        <f t="shared" si="61"/>
        <v>47.379020467412403</v>
      </c>
      <c r="AJ44" s="148">
        <f t="shared" si="62"/>
        <v>23.689510233706201</v>
      </c>
      <c r="AK44" s="147">
        <f t="shared" si="63"/>
        <v>23.689510233706201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</v>
      </c>
      <c r="H45" s="24">
        <f t="shared" si="51"/>
        <v>0.27999999999999997</v>
      </c>
      <c r="I45" s="39">
        <f t="shared" si="52"/>
        <v>0</v>
      </c>
      <c r="J45" s="38">
        <f t="shared" si="53"/>
        <v>40.322570610563744</v>
      </c>
      <c r="K45" s="40">
        <f t="shared" si="54"/>
        <v>4.0413079404484405E-3</v>
      </c>
      <c r="L45" s="22">
        <f t="shared" si="55"/>
        <v>1.1315662233255632E-3</v>
      </c>
      <c r="M45" s="24">
        <f t="shared" si="56"/>
        <v>8.7297816850587955E-4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10.080642652640936</v>
      </c>
      <c r="AB45" s="116">
        <v>0.25</v>
      </c>
      <c r="AC45" s="147">
        <f t="shared" si="65"/>
        <v>10.080642652640936</v>
      </c>
      <c r="AD45" s="116">
        <v>0.25</v>
      </c>
      <c r="AE45" s="147">
        <f t="shared" si="66"/>
        <v>10.080642652640936</v>
      </c>
      <c r="AF45" s="122">
        <f t="shared" si="57"/>
        <v>0.25</v>
      </c>
      <c r="AG45" s="147">
        <f t="shared" si="60"/>
        <v>10.080642652640936</v>
      </c>
      <c r="AH45" s="123">
        <f t="shared" si="61"/>
        <v>1</v>
      </c>
      <c r="AI45" s="112">
        <f t="shared" si="61"/>
        <v>40.322570610563744</v>
      </c>
      <c r="AJ45" s="148">
        <f t="shared" si="62"/>
        <v>20.161285305281872</v>
      </c>
      <c r="AK45" s="147">
        <f t="shared" si="63"/>
        <v>20.161285305281872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</v>
      </c>
      <c r="H46" s="24">
        <f t="shared" si="51"/>
        <v>0.27999999999999997</v>
      </c>
      <c r="I46" s="39">
        <f t="shared" si="52"/>
        <v>0</v>
      </c>
      <c r="J46" s="38">
        <f t="shared" si="53"/>
        <v>9.7206197007609045</v>
      </c>
      <c r="K46" s="40">
        <f t="shared" si="54"/>
        <v>9.7424387850096334E-4</v>
      </c>
      <c r="L46" s="22">
        <f t="shared" si="55"/>
        <v>2.7278828598026973E-4</v>
      </c>
      <c r="M46" s="24">
        <f t="shared" si="56"/>
        <v>2.1045009419338171E-4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2.4301549251902261</v>
      </c>
      <c r="AB46" s="116">
        <v>0.25</v>
      </c>
      <c r="AC46" s="147">
        <f t="shared" si="65"/>
        <v>2.4301549251902261</v>
      </c>
      <c r="AD46" s="116">
        <v>0.25</v>
      </c>
      <c r="AE46" s="147">
        <f t="shared" si="66"/>
        <v>2.4301549251902261</v>
      </c>
      <c r="AF46" s="122">
        <f t="shared" si="57"/>
        <v>0.25</v>
      </c>
      <c r="AG46" s="147">
        <f t="shared" si="60"/>
        <v>2.4301549251902261</v>
      </c>
      <c r="AH46" s="123">
        <f t="shared" si="61"/>
        <v>1</v>
      </c>
      <c r="AI46" s="112">
        <f t="shared" si="61"/>
        <v>9.7206197007609045</v>
      </c>
      <c r="AJ46" s="148">
        <f t="shared" si="62"/>
        <v>4.8603098503804523</v>
      </c>
      <c r="AK46" s="147">
        <f t="shared" si="63"/>
        <v>4.8603098503804523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0.2</v>
      </c>
      <c r="F47" s="26">
        <v>1.4</v>
      </c>
      <c r="G47" s="22">
        <f t="shared" si="59"/>
        <v>1</v>
      </c>
      <c r="H47" s="24">
        <f t="shared" si="51"/>
        <v>0.27999999999999997</v>
      </c>
      <c r="I47" s="39">
        <f t="shared" si="52"/>
        <v>0</v>
      </c>
      <c r="J47" s="38">
        <f t="shared" si="53"/>
        <v>2.1601377112802007</v>
      </c>
      <c r="K47" s="40">
        <f t="shared" si="54"/>
        <v>2.1649863966688074E-4</v>
      </c>
      <c r="L47" s="22">
        <f t="shared" si="55"/>
        <v>6.0619619106726602E-5</v>
      </c>
      <c r="M47" s="24">
        <f t="shared" si="56"/>
        <v>4.6766687598529261E-5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0.54003442782005018</v>
      </c>
      <c r="AB47" s="116">
        <v>0.25</v>
      </c>
      <c r="AC47" s="147">
        <f t="shared" si="65"/>
        <v>0.54003442782005018</v>
      </c>
      <c r="AD47" s="116">
        <v>0.25</v>
      </c>
      <c r="AE47" s="147">
        <f t="shared" si="66"/>
        <v>0.54003442782005018</v>
      </c>
      <c r="AF47" s="122">
        <f t="shared" si="57"/>
        <v>0.25</v>
      </c>
      <c r="AG47" s="147">
        <f t="shared" si="60"/>
        <v>0.54003442782005018</v>
      </c>
      <c r="AH47" s="123">
        <f t="shared" si="61"/>
        <v>1</v>
      </c>
      <c r="AI47" s="112">
        <f t="shared" si="61"/>
        <v>2.1601377112802007</v>
      </c>
      <c r="AJ47" s="148">
        <f t="shared" si="62"/>
        <v>1.0800688556401004</v>
      </c>
      <c r="AK47" s="147">
        <f t="shared" si="63"/>
        <v>1.0800688556401004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0.2</v>
      </c>
      <c r="F48" s="26">
        <v>1.4</v>
      </c>
      <c r="G48" s="22">
        <f t="shared" si="59"/>
        <v>1</v>
      </c>
      <c r="H48" s="24">
        <f t="shared" si="51"/>
        <v>0.27999999999999997</v>
      </c>
      <c r="I48" s="39">
        <f t="shared" si="52"/>
        <v>4.4799999999999995</v>
      </c>
      <c r="J48" s="38">
        <f t="shared" si="53"/>
        <v>6.6401377112801994</v>
      </c>
      <c r="K48" s="40">
        <f t="shared" si="54"/>
        <v>5.6289646313388987E-4</v>
      </c>
      <c r="L48" s="22">
        <f t="shared" si="55"/>
        <v>1.5761100967748914E-4</v>
      </c>
      <c r="M48" s="24">
        <f t="shared" si="56"/>
        <v>1.437580781692918E-4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1.6600344278200498</v>
      </c>
      <c r="AB48" s="116">
        <v>0.25</v>
      </c>
      <c r="AC48" s="147">
        <f t="shared" si="65"/>
        <v>1.6600344278200498</v>
      </c>
      <c r="AD48" s="116">
        <v>0.25</v>
      </c>
      <c r="AE48" s="147">
        <f t="shared" si="66"/>
        <v>1.6600344278200498</v>
      </c>
      <c r="AF48" s="122">
        <f t="shared" si="57"/>
        <v>0.25</v>
      </c>
      <c r="AG48" s="147">
        <f t="shared" si="60"/>
        <v>1.6600344278200498</v>
      </c>
      <c r="AH48" s="123">
        <f t="shared" si="61"/>
        <v>1</v>
      </c>
      <c r="AI48" s="112">
        <f t="shared" si="61"/>
        <v>6.6401377112801994</v>
      </c>
      <c r="AJ48" s="148">
        <f t="shared" si="62"/>
        <v>3.3200688556400997</v>
      </c>
      <c r="AK48" s="147">
        <f t="shared" si="63"/>
        <v>3.3200688556400997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0.2</v>
      </c>
      <c r="F49" s="26">
        <v>1.4</v>
      </c>
      <c r="G49" s="22">
        <f t="shared" si="59"/>
        <v>1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0.2</v>
      </c>
      <c r="F50" s="26">
        <v>1.4</v>
      </c>
      <c r="G50" s="22">
        <f t="shared" si="59"/>
        <v>1</v>
      </c>
      <c r="H50" s="24">
        <f t="shared" ref="H50:H64" si="68">(E50*F50)</f>
        <v>0.27999999999999997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0.5</v>
      </c>
      <c r="F51" s="26">
        <v>1.1100000000000001</v>
      </c>
      <c r="G51" s="22">
        <f t="shared" si="59"/>
        <v>1</v>
      </c>
      <c r="H51" s="24">
        <f t="shared" si="68"/>
        <v>0.55500000000000005</v>
      </c>
      <c r="I51" s="39">
        <f t="shared" si="69"/>
        <v>710.40000000000009</v>
      </c>
      <c r="J51" s="38">
        <f t="shared" si="70"/>
        <v>710.4</v>
      </c>
      <c r="K51" s="40">
        <f t="shared" si="71"/>
        <v>2.7711825877360735E-2</v>
      </c>
      <c r="L51" s="22">
        <f t="shared" si="72"/>
        <v>1.5380063361935209E-2</v>
      </c>
      <c r="M51" s="24">
        <f t="shared" si="73"/>
        <v>1.5380063361935207E-2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0.5</v>
      </c>
      <c r="F52" s="26">
        <v>1.1100000000000001</v>
      </c>
      <c r="G52" s="22">
        <f t="shared" si="59"/>
        <v>1</v>
      </c>
      <c r="H52" s="24">
        <f t="shared" si="68"/>
        <v>0.55500000000000005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0.5</v>
      </c>
      <c r="F53" s="26">
        <v>1.1100000000000001</v>
      </c>
      <c r="G53" s="22">
        <f t="shared" si="59"/>
        <v>1</v>
      </c>
      <c r="H53" s="24">
        <f t="shared" si="68"/>
        <v>0.55500000000000005</v>
      </c>
      <c r="I53" s="39">
        <f t="shared" si="69"/>
        <v>407.00000000000006</v>
      </c>
      <c r="J53" s="38">
        <f t="shared" si="70"/>
        <v>407.00000000000011</v>
      </c>
      <c r="K53" s="40">
        <f t="shared" si="71"/>
        <v>1.5876566908904589E-2</v>
      </c>
      <c r="L53" s="22">
        <f t="shared" si="72"/>
        <v>8.8114946344420471E-3</v>
      </c>
      <c r="M53" s="24">
        <f t="shared" si="73"/>
        <v>8.8114946344420488E-3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0.6</v>
      </c>
      <c r="F54" s="26">
        <v>1.18</v>
      </c>
      <c r="G54" s="22">
        <f t="shared" si="59"/>
        <v>1</v>
      </c>
      <c r="H54" s="24">
        <f t="shared" si="68"/>
        <v>0.70799999999999996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0.4</v>
      </c>
      <c r="F55" s="26">
        <v>1.18</v>
      </c>
      <c r="G55" s="22">
        <f t="shared" si="59"/>
        <v>1</v>
      </c>
      <c r="H55" s="24">
        <f t="shared" si="68"/>
        <v>0.47199999999999998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46354.566666666658</v>
      </c>
      <c r="J65" s="39">
        <f>SUM(J37:J64)</f>
        <v>46838.499232213748</v>
      </c>
      <c r="K65" s="40">
        <f>SUM(K37:K64)</f>
        <v>0.99999999999999967</v>
      </c>
      <c r="L65" s="22">
        <f>SUM(L37:L64)</f>
        <v>1.0171505892371309</v>
      </c>
      <c r="M65" s="24">
        <f>SUM(M37:M64)</f>
        <v>1.0140471367812516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10339.52733412075</v>
      </c>
      <c r="AB65" s="137"/>
      <c r="AC65" s="153">
        <f>SUM(AC37:AC64)</f>
        <v>10197.347816110232</v>
      </c>
      <c r="AD65" s="137"/>
      <c r="AE65" s="153">
        <f>SUM(AE37:AE64)</f>
        <v>10285.826852131269</v>
      </c>
      <c r="AF65" s="137"/>
      <c r="AG65" s="153">
        <f>SUM(AG37:AG64)</f>
        <v>14898.3972298515</v>
      </c>
      <c r="AH65" s="137"/>
      <c r="AI65" s="153">
        <f>SUM(AI37:AI64)</f>
        <v>45721.099232213746</v>
      </c>
      <c r="AJ65" s="153">
        <f>SUM(AJ37:AJ64)</f>
        <v>20536.875150230982</v>
      </c>
      <c r="AK65" s="153">
        <f>SUM(AK37:AK64)</f>
        <v>25184.224081982768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2201.3141153241154</v>
      </c>
      <c r="K72" s="40">
        <f t="shared" si="78"/>
        <v>0.57562658314630255</v>
      </c>
      <c r="L72" s="22">
        <f t="shared" si="76"/>
        <v>6.0504222271720795E-2</v>
      </c>
      <c r="M72" s="24">
        <f t="shared" si="79"/>
        <v>4.7658151144717401E-2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26007.873829191212</v>
      </c>
      <c r="J74" s="51">
        <f t="shared" si="75"/>
        <v>7326.5500571919538</v>
      </c>
      <c r="K74" s="40">
        <f>B74/B$76</f>
        <v>0.17694178345169689</v>
      </c>
      <c r="L74" s="22">
        <f t="shared" si="76"/>
        <v>0.14887619341221273</v>
      </c>
      <c r="M74" s="24">
        <f>J74/B$76</f>
        <v>0.15861881208333653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910.18669622537573</v>
      </c>
      <c r="AB74" s="156"/>
      <c r="AC74" s="147">
        <f>AC30*$I$83/4</f>
        <v>1543.2577361566305</v>
      </c>
      <c r="AD74" s="156"/>
      <c r="AE74" s="147">
        <f>AE30*$I$83/4</f>
        <v>1529.1415757161551</v>
      </c>
      <c r="AF74" s="156"/>
      <c r="AG74" s="147">
        <f>AG30*$I$83/4</f>
        <v>3343.9640490937927</v>
      </c>
      <c r="AH74" s="155"/>
      <c r="AI74" s="147">
        <f>SUM(AA74,AC74,AE74,AG74)</f>
        <v>7326.5500571919538</v>
      </c>
      <c r="AJ74" s="148">
        <f>(AA74+AC74)</f>
        <v>2453.4444323820062</v>
      </c>
      <c r="AK74" s="147">
        <f>(AE74+AG74)</f>
        <v>4873.1056248099476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10810.427399915357</v>
      </c>
      <c r="AB75" s="158"/>
      <c r="AC75" s="149">
        <f>AA75+AC65-SUM(AC70,AC74)</f>
        <v>14377.844270500098</v>
      </c>
      <c r="AD75" s="158"/>
      <c r="AE75" s="149">
        <f>AC75+AE65-SUM(AE70,AE74)</f>
        <v>18047.856337546349</v>
      </c>
      <c r="AF75" s="158"/>
      <c r="AG75" s="149">
        <f>IF(SUM(AG6:AG29)+((AG65-AG70-$J$75)*4/I$83)&lt;1,0,AG65-AG70-$J$75-(1-SUM(AG6:AG29))*I$83/4)</f>
        <v>6467.7599713888449</v>
      </c>
      <c r="AH75" s="134"/>
      <c r="AI75" s="149">
        <f>AI76-SUM(AI70,AI74)</f>
        <v>18047.856337546349</v>
      </c>
      <c r="AJ75" s="151">
        <f>AJ76-SUM(AJ70,AJ74)</f>
        <v>7910.0842991112513</v>
      </c>
      <c r="AK75" s="149">
        <f>AJ75+AK76-SUM(AK70,AK74)</f>
        <v>18047.856337546349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46354.566666666658</v>
      </c>
      <c r="J76" s="51">
        <f t="shared" si="75"/>
        <v>46838.499232213748</v>
      </c>
      <c r="K76" s="40">
        <f>SUM(K70:K75)</f>
        <v>1.4504136476274592</v>
      </c>
      <c r="L76" s="22">
        <f>SUM(L70:L75)</f>
        <v>1.0171505892371309</v>
      </c>
      <c r="M76" s="24">
        <f>SUM(M70:M75)</f>
        <v>1.0140471367812514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10339.52733412075</v>
      </c>
      <c r="AB76" s="137"/>
      <c r="AC76" s="153">
        <f>AC65</f>
        <v>10197.347816110232</v>
      </c>
      <c r="AD76" s="137"/>
      <c r="AE76" s="153">
        <f>AE65</f>
        <v>10285.826852131269</v>
      </c>
      <c r="AF76" s="137"/>
      <c r="AG76" s="153">
        <f>AG65</f>
        <v>14898.3972298515</v>
      </c>
      <c r="AH76" s="137"/>
      <c r="AI76" s="153">
        <f>SUM(AA76,AC76,AE76,AG76)</f>
        <v>45721.099232213754</v>
      </c>
      <c r="AJ76" s="154">
        <f>SUM(AA76,AC76)</f>
        <v>20536.875150230982</v>
      </c>
      <c r="AK76" s="154">
        <f>SUM(AE76,AG76)</f>
        <v>25184.224081982771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-0.30676281917814663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6467.7599713888449</v>
      </c>
      <c r="AB78" s="112"/>
      <c r="AC78" s="112">
        <f>IF(AA75&lt;0,0,AA75)</f>
        <v>10810.427399915357</v>
      </c>
      <c r="AD78" s="112"/>
      <c r="AE78" s="112">
        <f>AC75</f>
        <v>14377.844270500098</v>
      </c>
      <c r="AF78" s="112"/>
      <c r="AG78" s="112">
        <f>AE75</f>
        <v>18047.856337546349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11720.614096140733</v>
      </c>
      <c r="AB79" s="112"/>
      <c r="AC79" s="112">
        <f>AA79-AA74+AC65-AC70</f>
        <v>15921.102006656729</v>
      </c>
      <c r="AD79" s="112"/>
      <c r="AE79" s="112">
        <f>AC79-AC74+AE65-AE70</f>
        <v>19576.997913262505</v>
      </c>
      <c r="AF79" s="112"/>
      <c r="AG79" s="112">
        <f>AE79-AE74+AG65-AG70</f>
        <v>27859.580358028987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0.59</v>
      </c>
      <c r="I91" s="22">
        <f t="shared" ref="I91" si="82">(D91*H91)</f>
        <v>0.28170312768883743</v>
      </c>
      <c r="J91" s="24">
        <f>IF(I$32&lt;=1+I$131,I91,L91+J$33*(I91-L91))</f>
        <v>0.28170312768883743</v>
      </c>
      <c r="K91" s="22">
        <f t="shared" ref="K91" si="83">IF(B91="",0,B91)</f>
        <v>0.47746292828616516</v>
      </c>
      <c r="L91" s="22">
        <f t="shared" ref="L91" si="84">(K91*H91)</f>
        <v>0.28170312768883743</v>
      </c>
      <c r="M91" s="227">
        <f t="shared" si="80"/>
        <v>0.28170312768883743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0.59</v>
      </c>
      <c r="I92" s="22">
        <f t="shared" ref="I92:I118" si="88">(D92*H92)</f>
        <v>2.8526899006464549E-2</v>
      </c>
      <c r="J92" s="24">
        <f t="shared" ref="J92:J118" si="89">IF(I$32&lt;=1+I$131,I92,L92+J$33*(I92-L92))</f>
        <v>5.6036733975101061E-2</v>
      </c>
      <c r="K92" s="22">
        <f t="shared" ref="K92:K118" si="90">IF(B92="",0,B92)</f>
        <v>0.10878902163482244</v>
      </c>
      <c r="L92" s="22">
        <f t="shared" ref="L92:L118" si="91">(K92*H92)</f>
        <v>6.4185522764545241E-2</v>
      </c>
      <c r="M92" s="227">
        <f t="shared" ref="M92:M118" si="92">(J92)</f>
        <v>5.6036733975101061E-2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0.42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0.27999999999999997</v>
      </c>
      <c r="I96" s="22">
        <f t="shared" si="88"/>
        <v>1.5027390188490138E-2</v>
      </c>
      <c r="J96" s="24">
        <f t="shared" si="89"/>
        <v>1.2834063685228001E-2</v>
      </c>
      <c r="K96" s="22">
        <f t="shared" si="90"/>
        <v>4.3515608653928978E-2</v>
      </c>
      <c r="L96" s="22">
        <f t="shared" si="91"/>
        <v>1.2184370423100112E-2</v>
      </c>
      <c r="M96" s="227">
        <f t="shared" si="92"/>
        <v>1.2834063685228001E-2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0.27999999999999997</v>
      </c>
      <c r="I97" s="22">
        <f t="shared" si="88"/>
        <v>0</v>
      </c>
      <c r="J97" s="24">
        <f t="shared" si="89"/>
        <v>2.4022147416680553E-3</v>
      </c>
      <c r="K97" s="22">
        <f t="shared" si="90"/>
        <v>1.1120655544892961E-2</v>
      </c>
      <c r="L97" s="22">
        <f t="shared" si="91"/>
        <v>3.1137835525700285E-3</v>
      </c>
      <c r="M97" s="227">
        <f t="shared" si="92"/>
        <v>2.4022147416680553E-3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0.27999999999999997</v>
      </c>
      <c r="I98" s="22">
        <f t="shared" si="88"/>
        <v>0</v>
      </c>
      <c r="J98" s="24">
        <f t="shared" si="89"/>
        <v>3.436211521777349E-3</v>
      </c>
      <c r="K98" s="22">
        <f t="shared" si="90"/>
        <v>1.590737249682515E-2</v>
      </c>
      <c r="L98" s="22">
        <f t="shared" si="91"/>
        <v>4.4540642991110413E-3</v>
      </c>
      <c r="M98" s="227">
        <f t="shared" si="92"/>
        <v>3.436211521777349E-3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0.27999999999999997</v>
      </c>
      <c r="I99" s="22">
        <f t="shared" si="88"/>
        <v>0</v>
      </c>
      <c r="J99" s="24">
        <f t="shared" si="89"/>
        <v>2.92443533768285E-3</v>
      </c>
      <c r="K99" s="22">
        <f t="shared" si="90"/>
        <v>1.3538189359000126E-2</v>
      </c>
      <c r="L99" s="22">
        <f t="shared" si="91"/>
        <v>3.7906930205200348E-3</v>
      </c>
      <c r="M99" s="227">
        <f t="shared" si="92"/>
        <v>2.92443533768285E-3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0.27999999999999997</v>
      </c>
      <c r="I100" s="22">
        <f t="shared" si="88"/>
        <v>0</v>
      </c>
      <c r="J100" s="24">
        <f t="shared" si="89"/>
        <v>7.0499780461997282E-4</v>
      </c>
      <c r="K100" s="22">
        <f t="shared" si="90"/>
        <v>3.2636706490446732E-3</v>
      </c>
      <c r="L100" s="22">
        <f t="shared" si="91"/>
        <v>9.1382778173250846E-4</v>
      </c>
      <c r="M100" s="227">
        <f t="shared" si="92"/>
        <v>7.0499780461997282E-4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0.27999999999999997</v>
      </c>
      <c r="I101" s="22">
        <f t="shared" si="88"/>
        <v>0</v>
      </c>
      <c r="J101" s="24">
        <f t="shared" si="89"/>
        <v>1.566661788044384E-4</v>
      </c>
      <c r="K101" s="22">
        <f t="shared" si="90"/>
        <v>7.2526014423214958E-4</v>
      </c>
      <c r="L101" s="22">
        <f t="shared" si="91"/>
        <v>2.0307284038500187E-4</v>
      </c>
      <c r="M101" s="227">
        <f t="shared" si="92"/>
        <v>1.566661788044384E-4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0.27999999999999997</v>
      </c>
      <c r="I102" s="22">
        <f t="shared" si="88"/>
        <v>3.2491654461600298E-4</v>
      </c>
      <c r="J102" s="24">
        <f t="shared" si="89"/>
        <v>4.8158272342044132E-4</v>
      </c>
      <c r="K102" s="22">
        <f t="shared" si="90"/>
        <v>1.8856763750035889E-3</v>
      </c>
      <c r="L102" s="22">
        <f t="shared" si="91"/>
        <v>5.2798938500100479E-4</v>
      </c>
      <c r="M102" s="227">
        <f t="shared" si="92"/>
        <v>4.8158272342044132E-4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0.27999999999999997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0.27999999999999997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0.55500000000000005</v>
      </c>
      <c r="I105" s="22">
        <f t="shared" si="88"/>
        <v>5.1522480646251909E-2</v>
      </c>
      <c r="J105" s="24">
        <f t="shared" si="89"/>
        <v>5.1522480646251909E-2</v>
      </c>
      <c r="K105" s="22">
        <f t="shared" si="90"/>
        <v>9.2833298461715147E-2</v>
      </c>
      <c r="L105" s="22">
        <f t="shared" si="91"/>
        <v>5.1522480646251909E-2</v>
      </c>
      <c r="M105" s="227">
        <f t="shared" si="92"/>
        <v>5.1522480646251909E-2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0.55500000000000005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0.55500000000000005</v>
      </c>
      <c r="I107" s="22">
        <f t="shared" si="88"/>
        <v>2.9518087870248497E-2</v>
      </c>
      <c r="J107" s="24">
        <f t="shared" si="89"/>
        <v>2.9518087870248497E-2</v>
      </c>
      <c r="K107" s="22">
        <f t="shared" si="90"/>
        <v>5.3185743910357644E-2</v>
      </c>
      <c r="L107" s="22">
        <f t="shared" si="91"/>
        <v>2.9518087870248497E-2</v>
      </c>
      <c r="M107" s="227">
        <f t="shared" si="92"/>
        <v>2.9518087870248497E-2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0.70799999999999996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0.47199999999999992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3.3619119706485456</v>
      </c>
      <c r="J119" s="24">
        <f>SUM(J91:J118)</f>
        <v>3.397009670877277</v>
      </c>
      <c r="K119" s="22">
        <f>SUM(K91:K118)</f>
        <v>3.3499524308701583</v>
      </c>
      <c r="L119" s="22">
        <f>SUM(L91:L118)</f>
        <v>3.4074060889759403</v>
      </c>
      <c r="M119" s="57">
        <f t="shared" si="80"/>
        <v>3.397009670877277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0.15965253927802348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0.20268626647705945</v>
      </c>
      <c r="M126" s="240">
        <f t="shared" si="93"/>
        <v>0.15965253927802348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1.8862474324530767</v>
      </c>
      <c r="J128" s="228">
        <f>(J30)</f>
        <v>0.53136547512031007</v>
      </c>
      <c r="K128" s="29">
        <f>(B128)</f>
        <v>0.59274655759651318</v>
      </c>
      <c r="L128" s="29">
        <f>IF(L124=L119,0,(L119-L124)/(B119-B124)*K128)</f>
        <v>0.4987281660199378</v>
      </c>
      <c r="M128" s="240">
        <f t="shared" si="93"/>
        <v>0.53136547512031007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3.3619119706485456</v>
      </c>
      <c r="J130" s="228">
        <f>(J119)</f>
        <v>3.397009670877277</v>
      </c>
      <c r="K130" s="29">
        <f>(B130)</f>
        <v>3.3499524308701583</v>
      </c>
      <c r="L130" s="29">
        <f>(L119)</f>
        <v>3.4074060889759403</v>
      </c>
      <c r="M130" s="240">
        <f t="shared" si="93"/>
        <v>3.397009670877277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1.0276408518064151</v>
      </c>
      <c r="M131" s="237">
        <f>IF(I131&lt;SUM(M126:M127),0,I131-(SUM(M126:M127)))</f>
        <v>1.070674579005451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1.3944482476427681E-2</v>
      </c>
      <c r="J6" s="24">
        <f t="shared" ref="J6:J13" si="3">IF(I$32&lt;=1+I$131,I6,B6*H6+J$33*(I6-B6*H6))</f>
        <v>1.3944482476427681E-2</v>
      </c>
      <c r="K6" s="22">
        <f t="shared" ref="K6:K31" si="4">B6</f>
        <v>6.9722412382138402E-2</v>
      </c>
      <c r="L6" s="22">
        <f t="shared" ref="L6:L29" si="5">IF(K6="","",K6*H6)</f>
        <v>1.3944482476427681E-2</v>
      </c>
      <c r="M6" s="224">
        <f t="shared" ref="M6:M31" si="6">J6</f>
        <v>1.3944482476427681E-2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5.5777929905710726E-2</v>
      </c>
      <c r="Z6" s="156">
        <f>Poor!Z6</f>
        <v>0.17</v>
      </c>
      <c r="AA6" s="121">
        <f>$M6*Z6*4</f>
        <v>9.4822480839708238E-3</v>
      </c>
      <c r="AB6" s="156">
        <f>Poor!AB6</f>
        <v>0.17</v>
      </c>
      <c r="AC6" s="121">
        <f t="shared" ref="AC6:AC29" si="7">$M6*AB6*4</f>
        <v>9.4822480839708238E-3</v>
      </c>
      <c r="AD6" s="156">
        <f>Poor!AD6</f>
        <v>0.33</v>
      </c>
      <c r="AE6" s="121">
        <f t="shared" ref="AE6:AE29" si="8">$M6*AD6*4</f>
        <v>1.8406716868884541E-2</v>
      </c>
      <c r="AF6" s="122">
        <f>1-SUM(Z6,AB6,AD6)</f>
        <v>0.32999999999999996</v>
      </c>
      <c r="AG6" s="121">
        <f>$M6*AF6*4</f>
        <v>1.8406716868884537E-2</v>
      </c>
      <c r="AH6" s="123">
        <f>SUM(Z6,AB6,AD6,AF6)</f>
        <v>1</v>
      </c>
      <c r="AI6" s="183">
        <f>SUM(AA6,AC6,AE6,AG6)/4</f>
        <v>1.3944482476427681E-2</v>
      </c>
      <c r="AJ6" s="120">
        <f>(AA6+AC6)/2</f>
        <v>9.4822480839708238E-3</v>
      </c>
      <c r="AK6" s="119">
        <f>(AE6+AG6)/2</f>
        <v>1.8406716868884537E-2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8.6492564490304232E-3</v>
      </c>
      <c r="J7" s="24">
        <f t="shared" si="3"/>
        <v>8.6492564490304232E-3</v>
      </c>
      <c r="K7" s="22">
        <f t="shared" si="4"/>
        <v>4.3246282245152111E-2</v>
      </c>
      <c r="L7" s="22">
        <f t="shared" si="5"/>
        <v>8.6492564490304232E-3</v>
      </c>
      <c r="M7" s="224">
        <f t="shared" si="6"/>
        <v>8.6492564490304232E-3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554.97829584992712</v>
      </c>
      <c r="T7" s="222">
        <f>IF($B$81=0,0,(SUMIF($N$6:$N$28,$U7,M$6:M$28)+SUMIF($N$91:$N$118,$U7,M$91:M$118))*$I$83*Poor!$B$81/$B$81)</f>
        <v>1007.1685057445457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3.4597025796121693E-2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3.4597025796121693E-2</v>
      </c>
      <c r="AH7" s="123">
        <f t="shared" ref="AH7:AH30" si="12">SUM(Z7,AB7,AD7,AF7)</f>
        <v>1</v>
      </c>
      <c r="AI7" s="183">
        <f t="shared" ref="AI7:AI30" si="13">SUM(AA7,AC7,AE7,AG7)/4</f>
        <v>8.6492564490304232E-3</v>
      </c>
      <c r="AJ7" s="120">
        <f t="shared" ref="AJ7:AJ31" si="14">(AA7+AC7)/2</f>
        <v>0</v>
      </c>
      <c r="AK7" s="119">
        <f t="shared" ref="AK7:AK31" si="15">(AE7+AG7)/2</f>
        <v>1.7298512898060846E-2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2.6111111111111114E-3</v>
      </c>
      <c r="J8" s="24">
        <f t="shared" si="3"/>
        <v>2.6111111111111114E-3</v>
      </c>
      <c r="K8" s="22">
        <f t="shared" si="4"/>
        <v>1.3055555555555556E-2</v>
      </c>
      <c r="L8" s="22">
        <f t="shared" si="5"/>
        <v>2.6111111111111114E-3</v>
      </c>
      <c r="M8" s="224">
        <f t="shared" si="6"/>
        <v>2.6111111111111114E-3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2618.1333333333337</v>
      </c>
      <c r="T8" s="222">
        <f>IF($B$81=0,0,(SUMIF($N$6:$N$28,$U8,M$6:M$28)+SUMIF($N$91:$N$118,$U8,M$91:M$118))*$I$83*Poor!$B$81/$B$81)</f>
        <v>2360.0659582109702</v>
      </c>
      <c r="U8" s="223">
        <v>2</v>
      </c>
      <c r="V8" s="56"/>
      <c r="W8" s="115"/>
      <c r="X8" s="118">
        <f>Poor!X8</f>
        <v>1</v>
      </c>
      <c r="Y8" s="183">
        <f t="shared" si="9"/>
        <v>1.0444444444444445E-2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1.0444444444444445E-2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2.6111111111111114E-3</v>
      </c>
      <c r="AJ8" s="120">
        <f t="shared" si="14"/>
        <v>5.2222222222222227E-3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8.9495894858566086E-2</v>
      </c>
      <c r="J9" s="24">
        <f t="shared" si="3"/>
        <v>4.3643981820897682E-2</v>
      </c>
      <c r="K9" s="22">
        <f t="shared" si="4"/>
        <v>6.1736835082725483E-2</v>
      </c>
      <c r="L9" s="22">
        <f t="shared" si="5"/>
        <v>1.8521050524817645E-2</v>
      </c>
      <c r="M9" s="224">
        <f t="shared" si="6"/>
        <v>4.3643981820897682E-2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311.52599663915959</v>
      </c>
      <c r="T9" s="222">
        <f>IF($B$81=0,0,(SUMIF($N$6:$N$28,$U9,M$6:M$28)+SUMIF($N$91:$N$118,$U9,M$91:M$118))*$I$83*Poor!$B$81/$B$81)</f>
        <v>311.52599663915959</v>
      </c>
      <c r="U9" s="223">
        <v>3</v>
      </c>
      <c r="V9" s="56"/>
      <c r="W9" s="115"/>
      <c r="X9" s="118">
        <f>Poor!X9</f>
        <v>1</v>
      </c>
      <c r="Y9" s="183">
        <f t="shared" si="9"/>
        <v>0.17457592728359073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0.17457592728359073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4.3643981820897682E-2</v>
      </c>
      <c r="AJ9" s="120">
        <f t="shared" si="14"/>
        <v>8.7287963641795363E-2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0.2</v>
      </c>
      <c r="H10" s="24">
        <f t="shared" si="1"/>
        <v>0.2</v>
      </c>
      <c r="I10" s="22">
        <f t="shared" si="2"/>
        <v>3.9138125956235557E-3</v>
      </c>
      <c r="J10" s="24">
        <f t="shared" si="3"/>
        <v>4.2672507589711015E-3</v>
      </c>
      <c r="K10" s="22">
        <f t="shared" si="4"/>
        <v>2.230452339441381E-2</v>
      </c>
      <c r="L10" s="22">
        <f t="shared" si="5"/>
        <v>4.4609046788827624E-3</v>
      </c>
      <c r="M10" s="224">
        <f t="shared" si="6"/>
        <v>4.2672507589711015E-3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1.7069003035884406E-2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1.7069003035884406E-2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4.2672507589711015E-3</v>
      </c>
      <c r="AJ10" s="120">
        <f t="shared" si="14"/>
        <v>8.5345015179422029E-3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0.2</v>
      </c>
      <c r="H11" s="24">
        <f t="shared" si="1"/>
        <v>0.2</v>
      </c>
      <c r="I11" s="22">
        <f t="shared" si="2"/>
        <v>2.8821534246575343E-2</v>
      </c>
      <c r="J11" s="24">
        <f t="shared" si="3"/>
        <v>1.5348057631556597E-2</v>
      </c>
      <c r="K11" s="22">
        <f t="shared" si="4"/>
        <v>3.9828717310087171E-2</v>
      </c>
      <c r="L11" s="22">
        <f t="shared" si="5"/>
        <v>7.9657434620174338E-3</v>
      </c>
      <c r="M11" s="224">
        <f t="shared" si="6"/>
        <v>1.5348057631556597E-2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10766.095238095239</v>
      </c>
      <c r="T11" s="222">
        <f>IF($B$81=0,0,(SUMIF($N$6:$N$28,$U11,M$6:M$28)+SUMIF($N$91:$N$118,$U11,M$91:M$118))*$I$83*Poor!$B$81/$B$81)</f>
        <v>10861.565873264344</v>
      </c>
      <c r="U11" s="223">
        <v>5</v>
      </c>
      <c r="V11" s="56"/>
      <c r="W11" s="115"/>
      <c r="X11" s="118">
        <f>Poor!X11</f>
        <v>1</v>
      </c>
      <c r="Y11" s="183">
        <f t="shared" si="9"/>
        <v>6.1392230526226388E-2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6.1392230526226388E-2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1.5348057631556597E-2</v>
      </c>
      <c r="AJ11" s="120">
        <f t="shared" si="14"/>
        <v>3.0696115263113194E-2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0.2</v>
      </c>
      <c r="H12" s="24">
        <f t="shared" si="1"/>
        <v>0.2</v>
      </c>
      <c r="I12" s="22">
        <f t="shared" si="2"/>
        <v>7.3981142145525703E-4</v>
      </c>
      <c r="J12" s="24">
        <f t="shared" si="3"/>
        <v>6.8721010464853544E-4</v>
      </c>
      <c r="K12" s="22">
        <f t="shared" si="4"/>
        <v>3.2919453833837394E-3</v>
      </c>
      <c r="L12" s="22">
        <f t="shared" si="5"/>
        <v>6.5838907667674796E-4</v>
      </c>
      <c r="M12" s="224">
        <f t="shared" si="6"/>
        <v>6.8721010464853544E-4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75.295167495693178</v>
      </c>
      <c r="U12" s="223">
        <v>6</v>
      </c>
      <c r="V12" s="56"/>
      <c r="W12" s="117"/>
      <c r="X12" s="118"/>
      <c r="Y12" s="183">
        <f t="shared" si="9"/>
        <v>2.7488404185941418E-3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1.8417230804580751E-3</v>
      </c>
      <c r="AF12" s="122">
        <f>1-SUM(Z12,AB12,AD12)</f>
        <v>0.32999999999999996</v>
      </c>
      <c r="AG12" s="121">
        <f>$M12*AF12*4</f>
        <v>9.0711733813606671E-4</v>
      </c>
      <c r="AH12" s="123">
        <f t="shared" si="12"/>
        <v>1</v>
      </c>
      <c r="AI12" s="183">
        <f t="shared" si="13"/>
        <v>6.8721010464853544E-4</v>
      </c>
      <c r="AJ12" s="120">
        <f t="shared" si="14"/>
        <v>0</v>
      </c>
      <c r="AK12" s="119">
        <f t="shared" si="15"/>
        <v>1.3744202092970709E-3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0.2</v>
      </c>
      <c r="H13" s="24">
        <f t="shared" si="1"/>
        <v>0.2</v>
      </c>
      <c r="I13" s="22">
        <f t="shared" si="2"/>
        <v>8.3259206546877797E-5</v>
      </c>
      <c r="J13" s="24">
        <f t="shared" si="3"/>
        <v>8.3259206546877797E-5</v>
      </c>
      <c r="K13" s="22">
        <f t="shared" si="4"/>
        <v>4.1629603273438896E-4</v>
      </c>
      <c r="L13" s="22">
        <f t="shared" si="5"/>
        <v>8.3259206546877797E-5</v>
      </c>
      <c r="M13" s="225">
        <f t="shared" si="6"/>
        <v>8.3259206546877797E-5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26893.71428571429</v>
      </c>
      <c r="T13" s="222">
        <f>IF($B$81=0,0,(SUMIF($N$6:$N$28,$U13,M$6:M$28)+SUMIF($N$91:$N$118,$U13,M$91:M$118))*$I$83*Poor!$B$81/$B$81)</f>
        <v>26893.71428571429</v>
      </c>
      <c r="U13" s="223">
        <v>7</v>
      </c>
      <c r="V13" s="56"/>
      <c r="W13" s="110"/>
      <c r="X13" s="118"/>
      <c r="Y13" s="183">
        <f t="shared" si="9"/>
        <v>3.3303682618751119E-4</v>
      </c>
      <c r="Z13" s="156">
        <f>Poor!Z13</f>
        <v>1</v>
      </c>
      <c r="AA13" s="121">
        <f>$M13*Z13*4</f>
        <v>3.3303682618751119E-4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8.3259206546877797E-5</v>
      </c>
      <c r="AJ13" s="120">
        <f t="shared" si="14"/>
        <v>1.6651841309375559E-4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3.5938996619818541E-3</v>
      </c>
      <c r="J14" s="24">
        <f>IF(I$32&lt;=1+I131,I14,B14*H14+J$33*(I14-B14*H14))</f>
        <v>3.5938996619818541E-3</v>
      </c>
      <c r="K14" s="22">
        <f t="shared" si="4"/>
        <v>1.7969498309909269E-2</v>
      </c>
      <c r="L14" s="22">
        <f t="shared" si="5"/>
        <v>3.5938996619818541E-3</v>
      </c>
      <c r="M14" s="225">
        <f t="shared" si="6"/>
        <v>3.5938996619818541E-3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14791.131428571429</v>
      </c>
      <c r="T14" s="222">
        <f>IF($B$81=0,0,(SUMIF($N$6:$N$28,$U14,M$6:M$28)+SUMIF($N$91:$N$118,$U14,M$91:M$118))*$I$83*Poor!$B$81/$B$81)</f>
        <v>14791.131428571429</v>
      </c>
      <c r="U14" s="223">
        <v>8</v>
      </c>
      <c r="V14" s="56"/>
      <c r="W14" s="110"/>
      <c r="X14" s="118"/>
      <c r="Y14" s="183">
        <f>M14*4</f>
        <v>1.4375598647927416E-2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1.4375598647927416E-2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3.5938996619818541E-3</v>
      </c>
      <c r="AJ14" s="120">
        <f t="shared" si="14"/>
        <v>7.1877993239637082E-3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0.2</v>
      </c>
      <c r="F16" s="22"/>
      <c r="H16" s="24">
        <f t="shared" si="1"/>
        <v>0.2</v>
      </c>
      <c r="I16" s="22">
        <f t="shared" si="2"/>
        <v>1.8503824942181109E-4</v>
      </c>
      <c r="J16" s="24">
        <f>IF(I$32&lt;=1+I131,I16,B16*H16+J$33*(I16-B16*H16))</f>
        <v>1.6578720760146722E-4</v>
      </c>
      <c r="K16" s="22">
        <f t="shared" si="4"/>
        <v>7.7619640633339265E-4</v>
      </c>
      <c r="L16" s="22">
        <f t="shared" si="5"/>
        <v>1.5523928126667854E-4</v>
      </c>
      <c r="M16" s="224">
        <f t="shared" si="6"/>
        <v>1.6578720760146722E-4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6.6314883040586887E-4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6.6314883040586887E-4</v>
      </c>
      <c r="AH16" s="123">
        <f t="shared" si="12"/>
        <v>1</v>
      </c>
      <c r="AI16" s="183">
        <f t="shared" si="13"/>
        <v>1.6578720760146722E-4</v>
      </c>
      <c r="AJ16" s="120">
        <f t="shared" si="14"/>
        <v>0</v>
      </c>
      <c r="AK16" s="119">
        <f t="shared" si="15"/>
        <v>3.3157441520293443E-4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0.2</v>
      </c>
      <c r="F17" s="22"/>
      <c r="H17" s="24">
        <f t="shared" si="1"/>
        <v>0.2</v>
      </c>
      <c r="I17" s="22">
        <f t="shared" si="2"/>
        <v>7.7464365771215101E-4</v>
      </c>
      <c r="J17" s="24">
        <f t="shared" ref="J17:J25" si="17">IF(I$32&lt;=1+I131,I17,B17*H17+J$33*(I17-B17*H17))</f>
        <v>7.5379184866509812E-4</v>
      </c>
      <c r="K17" s="22">
        <f t="shared" si="4"/>
        <v>3.7118341932040563E-3</v>
      </c>
      <c r="L17" s="22">
        <f t="shared" si="5"/>
        <v>7.4236683864081126E-4</v>
      </c>
      <c r="M17" s="225">
        <f t="shared" si="6"/>
        <v>7.5379184866509812E-4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3.0151673946603925E-3</v>
      </c>
      <c r="Z17" s="156">
        <f>Poor!Z17</f>
        <v>0.29409999999999997</v>
      </c>
      <c r="AA17" s="121">
        <f t="shared" si="16"/>
        <v>8.8676073076962136E-4</v>
      </c>
      <c r="AB17" s="156">
        <f>Poor!AB17</f>
        <v>0.17649999999999999</v>
      </c>
      <c r="AC17" s="121">
        <f t="shared" si="7"/>
        <v>5.3217704515755922E-4</v>
      </c>
      <c r="AD17" s="156">
        <f>Poor!AD17</f>
        <v>0.23530000000000001</v>
      </c>
      <c r="AE17" s="121">
        <f t="shared" si="8"/>
        <v>7.0946888796359034E-4</v>
      </c>
      <c r="AF17" s="122">
        <f t="shared" si="10"/>
        <v>0.29410000000000003</v>
      </c>
      <c r="AG17" s="121">
        <f t="shared" si="11"/>
        <v>8.8676073076962147E-4</v>
      </c>
      <c r="AH17" s="123">
        <f t="shared" si="12"/>
        <v>1</v>
      </c>
      <c r="AI17" s="183">
        <f t="shared" si="13"/>
        <v>7.5379184866509802E-4</v>
      </c>
      <c r="AJ17" s="120">
        <f t="shared" si="14"/>
        <v>7.0946888796359023E-4</v>
      </c>
      <c r="AK17" s="119">
        <f t="shared" si="15"/>
        <v>7.981148093666059E-4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4.968866749688667E-4</v>
      </c>
      <c r="J18" s="24">
        <f t="shared" si="17"/>
        <v>4.968866749688667E-4</v>
      </c>
      <c r="K18" s="22">
        <f t="shared" ref="K18:K25" si="21">B18</f>
        <v>2.4844333748443334E-3</v>
      </c>
      <c r="L18" s="22">
        <f t="shared" ref="L18:L25" si="22">IF(K18="","",K18*H18)</f>
        <v>4.968866749688667E-4</v>
      </c>
      <c r="M18" s="225">
        <f t="shared" ref="M18:M25" si="23">J18</f>
        <v>4.968866749688667E-4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0.2</v>
      </c>
      <c r="F19" s="22"/>
      <c r="H19" s="24">
        <f t="shared" si="19"/>
        <v>0.2</v>
      </c>
      <c r="I19" s="22">
        <f t="shared" si="20"/>
        <v>2.1852576647097195E-3</v>
      </c>
      <c r="J19" s="24">
        <f t="shared" si="17"/>
        <v>1.3946815472875979E-3</v>
      </c>
      <c r="K19" s="22">
        <f t="shared" si="21"/>
        <v>4.8075668623613821E-3</v>
      </c>
      <c r="L19" s="22">
        <f t="shared" si="22"/>
        <v>9.6151337247227643E-4</v>
      </c>
      <c r="M19" s="225">
        <f t="shared" si="23"/>
        <v>1.3946815472875979E-3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5.4608584037910309E-3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5.4608584037910309E-3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73608.817379921791</v>
      </c>
      <c r="T23" s="179">
        <f>SUM(T7:T22)</f>
        <v>73904.532205076306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3.3024628270619034E-2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3.3024628270619034E-2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0.13209851308247614</v>
      </c>
      <c r="Z27" s="156">
        <f>Poor!Z27</f>
        <v>0.25</v>
      </c>
      <c r="AA27" s="121">
        <f t="shared" si="16"/>
        <v>3.3024628270619034E-2</v>
      </c>
      <c r="AB27" s="156">
        <f>Poor!AB27</f>
        <v>0.25</v>
      </c>
      <c r="AC27" s="121">
        <f t="shared" si="7"/>
        <v>3.3024628270619034E-2</v>
      </c>
      <c r="AD27" s="156">
        <f>Poor!AD27</f>
        <v>0.25</v>
      </c>
      <c r="AE27" s="121">
        <f t="shared" si="8"/>
        <v>3.3024628270619034E-2</v>
      </c>
      <c r="AF27" s="122">
        <f t="shared" si="10"/>
        <v>0.25</v>
      </c>
      <c r="AG27" s="121">
        <f t="shared" si="11"/>
        <v>3.3024628270619034E-2</v>
      </c>
      <c r="AH27" s="123">
        <f t="shared" si="12"/>
        <v>1</v>
      </c>
      <c r="AI27" s="183">
        <f t="shared" si="13"/>
        <v>3.3024628270619034E-2</v>
      </c>
      <c r="AJ27" s="120">
        <f t="shared" si="14"/>
        <v>3.3024628270619034E-2</v>
      </c>
      <c r="AK27" s="119">
        <f t="shared" si="15"/>
        <v>3.3024628270619034E-2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0.24637013518384851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0.24637013518384851</v>
      </c>
      <c r="N29" s="229"/>
      <c r="P29" s="22"/>
      <c r="V29" s="56"/>
      <c r="W29" s="110"/>
      <c r="X29" s="118"/>
      <c r="Y29" s="183">
        <f t="shared" si="9"/>
        <v>0.98548054073539404</v>
      </c>
      <c r="Z29" s="156">
        <f>Poor!Z29</f>
        <v>0.25</v>
      </c>
      <c r="AA29" s="121">
        <f t="shared" si="16"/>
        <v>0.24637013518384851</v>
      </c>
      <c r="AB29" s="156">
        <f>Poor!AB29</f>
        <v>0.25</v>
      </c>
      <c r="AC29" s="121">
        <f t="shared" si="7"/>
        <v>0.24637013518384851</v>
      </c>
      <c r="AD29" s="156">
        <f>Poor!AD29</f>
        <v>0.25</v>
      </c>
      <c r="AE29" s="121">
        <f t="shared" si="8"/>
        <v>0.24637013518384851</v>
      </c>
      <c r="AF29" s="122">
        <f t="shared" si="10"/>
        <v>0.25</v>
      </c>
      <c r="AG29" s="121">
        <f t="shared" si="11"/>
        <v>0.24637013518384851</v>
      </c>
      <c r="AH29" s="123">
        <f t="shared" si="12"/>
        <v>1</v>
      </c>
      <c r="AI29" s="183">
        <f t="shared" si="13"/>
        <v>0.24637013518384851</v>
      </c>
      <c r="AJ29" s="120">
        <f t="shared" si="14"/>
        <v>0.24637013518384851</v>
      </c>
      <c r="AK29" s="119">
        <f t="shared" si="15"/>
        <v>0.24637013518384851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3.6257125366101723</v>
      </c>
      <c r="J30" s="231">
        <f>IF(I$32&lt;=1,I30,1-SUM(J6:J29))</f>
        <v>0.48350364660412981</v>
      </c>
      <c r="K30" s="22">
        <f t="shared" si="4"/>
        <v>0.63059345561288027</v>
      </c>
      <c r="L30" s="22">
        <f>IF(L124=L119,0,IF(K30="",0,(L119-L124)/(B119-B124)*K30))</f>
        <v>0.32790834144009262</v>
      </c>
      <c r="M30" s="175">
        <f t="shared" si="6"/>
        <v>0.48350364660412981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1.9340145864165192</v>
      </c>
      <c r="Z30" s="122">
        <f>IF($Y30=0,0,AA30/($Y$30))</f>
        <v>0.16050577527013962</v>
      </c>
      <c r="AA30" s="187">
        <f>IF(AA79*4/$I$84+SUM(AA6:AA29)&lt;1,AA79*4/$I$84,1-SUM(AA6:AA29))</f>
        <v>0.31042051057654185</v>
      </c>
      <c r="AB30" s="122">
        <f>IF($Y30=0,0,AC30/($Y$30))</f>
        <v>0.2896638637915161</v>
      </c>
      <c r="AC30" s="187">
        <f>IF(AC79*4/$I$84+SUM(AC6:AC29)&lt;1,AC79*4/$I$84,1-SUM(AC6:AC29))</f>
        <v>0.56021413773055995</v>
      </c>
      <c r="AD30" s="122">
        <f>IF($Y30=0,0,AE30/($Y$30))</f>
        <v>0.29143847033474224</v>
      </c>
      <c r="AE30" s="187">
        <f>IF(AE79*4/$I$84+SUM(AE6:AE29)&lt;1,AE79*4/$I$84,1-SUM(AE6:AE29))</f>
        <v>0.56364625267030954</v>
      </c>
      <c r="AF30" s="122">
        <f>IF($Y30=0,0,AG30/($Y$30))</f>
        <v>0.27359844939108385</v>
      </c>
      <c r="AG30" s="187">
        <f>IF(AG79*4/$I$84+SUM(AG6:AG29)&lt;1,AG79*4/$I$84,1-SUM(AG6:AG29))</f>
        <v>0.52914339194329796</v>
      </c>
      <c r="AH30" s="123">
        <f t="shared" si="12"/>
        <v>1.0152065587874819</v>
      </c>
      <c r="AI30" s="183">
        <f t="shared" si="13"/>
        <v>0.49085607323017733</v>
      </c>
      <c r="AJ30" s="120">
        <f t="shared" si="14"/>
        <v>0.4353173241535509</v>
      </c>
      <c r="AK30" s="119">
        <f t="shared" si="15"/>
        <v>0.54639482230680381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0.15889289347356117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4.1482273251408754</v>
      </c>
      <c r="J32" s="17"/>
      <c r="L32" s="22">
        <f>SUM(L6:L30)</f>
        <v>0.84110710652643883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5764.957334264167</v>
      </c>
      <c r="T32" s="234">
        <f t="shared" si="24"/>
        <v>5469.242509109652</v>
      </c>
      <c r="V32" s="56"/>
      <c r="W32" s="110"/>
      <c r="X32" s="118"/>
      <c r="Y32" s="115">
        <f>SUM(Y6:Y31)</f>
        <v>3.9705902934958099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0.35396951598714693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0.5</v>
      </c>
      <c r="F37" s="75">
        <f>Poor!F37</f>
        <v>1.18</v>
      </c>
      <c r="G37" s="75">
        <f>Poor!G37</f>
        <v>1</v>
      </c>
      <c r="H37" s="24">
        <f t="shared" ref="H37" si="26">(E37*F37)</f>
        <v>0.59</v>
      </c>
      <c r="I37" s="39">
        <f t="shared" ref="I37" si="27">D37*H37</f>
        <v>6293.333333333333</v>
      </c>
      <c r="J37" s="38">
        <f>J91*I$83</f>
        <v>6801.5439807567773</v>
      </c>
      <c r="K37" s="40">
        <f>(B37/B$65)</f>
        <v>0.12293738389247078</v>
      </c>
      <c r="L37" s="22">
        <f t="shared" ref="L37" si="28">(K37*H37)</f>
        <v>7.2533056496557752E-2</v>
      </c>
      <c r="M37" s="24">
        <f>J37/B$65</f>
        <v>6.9680335285318321E-2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0.20069645346623691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1365.0457550325164</v>
      </c>
      <c r="AD37" s="122">
        <f>IF($J37=0,0,AE37/($J37))</f>
        <v>0.10862911270713269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738.84568766814789</v>
      </c>
      <c r="AF37" s="122">
        <f t="shared" ref="AF37:AF64" si="29">1-SUM(Z37,AB37,AD37)</f>
        <v>0.69067443382663041</v>
      </c>
      <c r="AG37" s="147">
        <f>$J37*AF37</f>
        <v>4697.6525380561134</v>
      </c>
      <c r="AH37" s="123">
        <f>SUM(Z37,AB37,AD37,AF37)</f>
        <v>1</v>
      </c>
      <c r="AI37" s="112">
        <f>SUM(AA37,AC37,AE37,AG37)</f>
        <v>6801.5439807567782</v>
      </c>
      <c r="AJ37" s="148">
        <f>(AA37+AC37)</f>
        <v>1365.0457550325164</v>
      </c>
      <c r="AK37" s="147">
        <f>(AE37+AG37)</f>
        <v>5436.4982257242609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0.5</v>
      </c>
      <c r="F38" s="75">
        <f>Poor!F38</f>
        <v>1.18</v>
      </c>
      <c r="G38" s="75">
        <f>Poor!G38</f>
        <v>1</v>
      </c>
      <c r="H38" s="24">
        <f t="shared" ref="H38:H64" si="30">(E38*F38)</f>
        <v>0.59</v>
      </c>
      <c r="I38" s="39">
        <f t="shared" ref="I38:I64" si="31">D38*H38</f>
        <v>2497.6666666666665</v>
      </c>
      <c r="J38" s="38">
        <f t="shared" ref="J38:J64" si="32">J92*I$83</f>
        <v>1836.992825016189</v>
      </c>
      <c r="K38" s="40">
        <f t="shared" ref="K38:K64" si="33">(B38/B$65)</f>
        <v>2.5611954977598078E-2</v>
      </c>
      <c r="L38" s="22">
        <f t="shared" ref="L38:L64" si="34">(K38*H38)</f>
        <v>1.5111053436782866E-2</v>
      </c>
      <c r="M38" s="24">
        <f t="shared" ref="M38:M64" si="35">J38/B$65</f>
        <v>1.8819591011394136E-2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0.20069645346623688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368.67794502367263</v>
      </c>
      <c r="AD38" s="122">
        <f>IF($J38=0,0,AE38/($J38))</f>
        <v>0.10862911270713269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199.55090063087766</v>
      </c>
      <c r="AF38" s="122">
        <f t="shared" si="29"/>
        <v>0.69067443382663041</v>
      </c>
      <c r="AG38" s="147">
        <f t="shared" ref="AG38:AG64" si="36">$J38*AF38</f>
        <v>1268.7639793616388</v>
      </c>
      <c r="AH38" s="123">
        <f t="shared" ref="AH38:AI58" si="37">SUM(Z38,AB38,AD38,AF38)</f>
        <v>1</v>
      </c>
      <c r="AI38" s="112">
        <f t="shared" si="37"/>
        <v>1836.992825016189</v>
      </c>
      <c r="AJ38" s="148">
        <f t="shared" ref="AJ38:AJ64" si="38">(AA38+AC38)</f>
        <v>368.67794502367263</v>
      </c>
      <c r="AK38" s="147">
        <f t="shared" ref="AK38:AK64" si="39">(AE38+AG38)</f>
        <v>1468.3148799925166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0.5</v>
      </c>
      <c r="F39" s="75">
        <f>Poor!F39</f>
        <v>1.18</v>
      </c>
      <c r="G39" s="75">
        <f>Poor!G39</f>
        <v>1</v>
      </c>
      <c r="H39" s="24">
        <f t="shared" si="30"/>
        <v>0.59</v>
      </c>
      <c r="I39" s="39">
        <f t="shared" si="31"/>
        <v>314.66666666666669</v>
      </c>
      <c r="J39" s="38">
        <f t="shared" si="32"/>
        <v>314.66666666666669</v>
      </c>
      <c r="K39" s="40">
        <f t="shared" si="33"/>
        <v>5.463883728554257E-3</v>
      </c>
      <c r="L39" s="22">
        <f t="shared" si="34"/>
        <v>3.2236913998470113E-3</v>
      </c>
      <c r="M39" s="24">
        <f t="shared" si="35"/>
        <v>3.2236913998470117E-3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314.66666666666669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314.66666666666669</v>
      </c>
      <c r="AJ39" s="148">
        <f t="shared" si="38"/>
        <v>314.66666666666669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</v>
      </c>
      <c r="H41" s="24">
        <f t="shared" si="30"/>
        <v>0.42</v>
      </c>
      <c r="I41" s="39">
        <f t="shared" si="31"/>
        <v>0</v>
      </c>
      <c r="J41" s="38">
        <f t="shared" si="32"/>
        <v>248.7217363449484</v>
      </c>
      <c r="K41" s="40">
        <f t="shared" si="33"/>
        <v>9.3910501584526292E-3</v>
      </c>
      <c r="L41" s="22">
        <f t="shared" si="34"/>
        <v>3.9442410665501042E-3</v>
      </c>
      <c r="M41" s="24">
        <f t="shared" si="35"/>
        <v>2.5480999652867354E-3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248.7217363449484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248.7217363449484</v>
      </c>
      <c r="AJ41" s="148">
        <f t="shared" si="38"/>
        <v>248.7217363449484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0.2</v>
      </c>
      <c r="F42" s="75">
        <f>Poor!F42</f>
        <v>1.4</v>
      </c>
      <c r="G42" s="75">
        <f>Poor!G42</f>
        <v>1</v>
      </c>
      <c r="H42" s="24">
        <f t="shared" si="30"/>
        <v>0.27999999999999997</v>
      </c>
      <c r="I42" s="39">
        <f t="shared" si="31"/>
        <v>1652.9333333333334</v>
      </c>
      <c r="J42" s="38">
        <f t="shared" si="32"/>
        <v>1637.2563269212878</v>
      </c>
      <c r="K42" s="40">
        <f t="shared" si="33"/>
        <v>5.9590481914544864E-2</v>
      </c>
      <c r="L42" s="22">
        <f t="shared" si="34"/>
        <v>1.6685334936072559E-2</v>
      </c>
      <c r="M42" s="24">
        <f t="shared" si="35"/>
        <v>1.677333413275825E-2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409.31408173032196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818.62816346064392</v>
      </c>
      <c r="AF42" s="122">
        <f t="shared" si="29"/>
        <v>0.25</v>
      </c>
      <c r="AG42" s="147">
        <f t="shared" si="36"/>
        <v>409.31408173032196</v>
      </c>
      <c r="AH42" s="123">
        <f t="shared" si="37"/>
        <v>1</v>
      </c>
      <c r="AI42" s="112">
        <f t="shared" si="37"/>
        <v>1637.2563269212878</v>
      </c>
      <c r="AJ42" s="148">
        <f t="shared" si="38"/>
        <v>409.31408173032196</v>
      </c>
      <c r="AK42" s="147">
        <f t="shared" si="39"/>
        <v>1227.9422451909659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</v>
      </c>
      <c r="H43" s="24">
        <f t="shared" si="30"/>
        <v>0.27999999999999997</v>
      </c>
      <c r="I43" s="39">
        <f t="shared" si="31"/>
        <v>0</v>
      </c>
      <c r="J43" s="38">
        <f t="shared" si="32"/>
        <v>150.74044626966568</v>
      </c>
      <c r="K43" s="40">
        <f t="shared" si="33"/>
        <v>8.5373183258660272E-3</v>
      </c>
      <c r="L43" s="22">
        <f t="shared" si="34"/>
        <v>2.3904491312424876E-3</v>
      </c>
      <c r="M43" s="24">
        <f t="shared" si="35"/>
        <v>1.5443030092646879E-3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37.685111567416421</v>
      </c>
      <c r="AB43" s="156">
        <f>Poor!AB43</f>
        <v>0.25</v>
      </c>
      <c r="AC43" s="147">
        <f t="shared" si="41"/>
        <v>37.685111567416421</v>
      </c>
      <c r="AD43" s="156">
        <f>Poor!AD43</f>
        <v>0.25</v>
      </c>
      <c r="AE43" s="147">
        <f t="shared" si="42"/>
        <v>37.685111567416421</v>
      </c>
      <c r="AF43" s="122">
        <f t="shared" si="29"/>
        <v>0.25</v>
      </c>
      <c r="AG43" s="147">
        <f t="shared" si="36"/>
        <v>37.685111567416421</v>
      </c>
      <c r="AH43" s="123">
        <f t="shared" si="37"/>
        <v>1</v>
      </c>
      <c r="AI43" s="112">
        <f t="shared" si="37"/>
        <v>150.74044626966568</v>
      </c>
      <c r="AJ43" s="148">
        <f t="shared" si="38"/>
        <v>75.370223134832841</v>
      </c>
      <c r="AK43" s="147">
        <f t="shared" si="39"/>
        <v>75.370223134832841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</v>
      </c>
      <c r="H44" s="24">
        <f t="shared" si="30"/>
        <v>0.27999999999999997</v>
      </c>
      <c r="I44" s="39">
        <f t="shared" si="31"/>
        <v>0</v>
      </c>
      <c r="J44" s="38">
        <f t="shared" si="32"/>
        <v>16.882929982202558</v>
      </c>
      <c r="K44" s="40">
        <f t="shared" si="33"/>
        <v>9.5617965249699495E-4</v>
      </c>
      <c r="L44" s="22">
        <f t="shared" si="34"/>
        <v>2.6773030269915853E-4</v>
      </c>
      <c r="M44" s="24">
        <f t="shared" si="35"/>
        <v>1.7296193703764505E-4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4.2207324955506396</v>
      </c>
      <c r="AB44" s="156">
        <f>Poor!AB44</f>
        <v>0.25</v>
      </c>
      <c r="AC44" s="147">
        <f t="shared" si="41"/>
        <v>4.2207324955506396</v>
      </c>
      <c r="AD44" s="156">
        <f>Poor!AD44</f>
        <v>0.25</v>
      </c>
      <c r="AE44" s="147">
        <f t="shared" si="42"/>
        <v>4.2207324955506396</v>
      </c>
      <c r="AF44" s="122">
        <f t="shared" si="29"/>
        <v>0.25</v>
      </c>
      <c r="AG44" s="147">
        <f t="shared" si="36"/>
        <v>4.2207324955506396</v>
      </c>
      <c r="AH44" s="123">
        <f t="shared" si="37"/>
        <v>1</v>
      </c>
      <c r="AI44" s="112">
        <f t="shared" si="37"/>
        <v>16.882929982202558</v>
      </c>
      <c r="AJ44" s="148">
        <f t="shared" si="38"/>
        <v>8.4414649911012791</v>
      </c>
      <c r="AK44" s="147">
        <f t="shared" si="39"/>
        <v>8.4414649911012791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</v>
      </c>
      <c r="H46" s="24">
        <f t="shared" si="30"/>
        <v>0.27999999999999997</v>
      </c>
      <c r="I46" s="39">
        <f t="shared" si="31"/>
        <v>0</v>
      </c>
      <c r="J46" s="38">
        <f t="shared" si="32"/>
        <v>5.1251751731686337</v>
      </c>
      <c r="K46" s="40">
        <f t="shared" si="33"/>
        <v>2.9026882307944487E-4</v>
      </c>
      <c r="L46" s="22">
        <f t="shared" si="34"/>
        <v>8.1275270462244557E-5</v>
      </c>
      <c r="M46" s="24">
        <f t="shared" si="35"/>
        <v>5.2506302314999391E-5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1.2812937932921584</v>
      </c>
      <c r="AB46" s="156">
        <f>Poor!AB46</f>
        <v>0.25</v>
      </c>
      <c r="AC46" s="147">
        <f t="shared" si="41"/>
        <v>1.2812937932921584</v>
      </c>
      <c r="AD46" s="156">
        <f>Poor!AD46</f>
        <v>0.25</v>
      </c>
      <c r="AE46" s="147">
        <f t="shared" si="42"/>
        <v>1.2812937932921584</v>
      </c>
      <c r="AF46" s="122">
        <f t="shared" si="29"/>
        <v>0.25</v>
      </c>
      <c r="AG46" s="147">
        <f t="shared" si="36"/>
        <v>1.2812937932921584</v>
      </c>
      <c r="AH46" s="123">
        <f t="shared" si="37"/>
        <v>1</v>
      </c>
      <c r="AI46" s="112">
        <f t="shared" si="37"/>
        <v>5.1251751731686337</v>
      </c>
      <c r="AJ46" s="148">
        <f t="shared" si="38"/>
        <v>2.5625875865843168</v>
      </c>
      <c r="AK46" s="147">
        <f t="shared" si="39"/>
        <v>2.5625875865843168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</v>
      </c>
      <c r="H48" s="24">
        <f t="shared" si="30"/>
        <v>0.27999999999999997</v>
      </c>
      <c r="I48" s="39">
        <f t="shared" si="31"/>
        <v>0</v>
      </c>
      <c r="J48" s="38">
        <f t="shared" si="32"/>
        <v>1.5074044626966574</v>
      </c>
      <c r="K48" s="40">
        <f t="shared" si="33"/>
        <v>8.5373183258660265E-5</v>
      </c>
      <c r="L48" s="22">
        <f t="shared" si="34"/>
        <v>2.390449131242487E-5</v>
      </c>
      <c r="M48" s="24">
        <f t="shared" si="35"/>
        <v>1.5443030092646885E-5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0.37685111567416435</v>
      </c>
      <c r="AB48" s="156">
        <f>Poor!AB48</f>
        <v>0.25</v>
      </c>
      <c r="AC48" s="147">
        <f t="shared" si="41"/>
        <v>0.37685111567416435</v>
      </c>
      <c r="AD48" s="156">
        <f>Poor!AD48</f>
        <v>0.25</v>
      </c>
      <c r="AE48" s="147">
        <f t="shared" si="42"/>
        <v>0.37685111567416435</v>
      </c>
      <c r="AF48" s="122">
        <f t="shared" si="29"/>
        <v>0.25</v>
      </c>
      <c r="AG48" s="147">
        <f t="shared" si="36"/>
        <v>0.37685111567416435</v>
      </c>
      <c r="AH48" s="123">
        <f t="shared" si="37"/>
        <v>1</v>
      </c>
      <c r="AI48" s="112">
        <f t="shared" si="37"/>
        <v>1.5074044626966574</v>
      </c>
      <c r="AJ48" s="148">
        <f t="shared" si="38"/>
        <v>0.7537022313483287</v>
      </c>
      <c r="AK48" s="147">
        <f t="shared" si="39"/>
        <v>0.7537022313483287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</v>
      </c>
      <c r="H49" s="24">
        <f t="shared" si="30"/>
        <v>0.27999999999999997</v>
      </c>
      <c r="I49" s="39">
        <f t="shared" si="31"/>
        <v>0</v>
      </c>
      <c r="J49" s="38">
        <f t="shared" si="32"/>
        <v>4.8236942806293026</v>
      </c>
      <c r="K49" s="40">
        <f t="shared" si="33"/>
        <v>2.7319418642771288E-4</v>
      </c>
      <c r="L49" s="22">
        <f t="shared" si="34"/>
        <v>7.6494372199759596E-5</v>
      </c>
      <c r="M49" s="24">
        <f t="shared" si="35"/>
        <v>4.9417696296470024E-5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1.2059235701573257</v>
      </c>
      <c r="AB49" s="156">
        <f>Poor!AB49</f>
        <v>0.25</v>
      </c>
      <c r="AC49" s="147">
        <f t="shared" si="41"/>
        <v>1.2059235701573257</v>
      </c>
      <c r="AD49" s="156">
        <f>Poor!AD49</f>
        <v>0.25</v>
      </c>
      <c r="AE49" s="147">
        <f t="shared" si="42"/>
        <v>1.2059235701573257</v>
      </c>
      <c r="AF49" s="122">
        <f t="shared" si="29"/>
        <v>0.25</v>
      </c>
      <c r="AG49" s="147">
        <f t="shared" si="36"/>
        <v>1.2059235701573257</v>
      </c>
      <c r="AH49" s="123">
        <f t="shared" si="37"/>
        <v>1</v>
      </c>
      <c r="AI49" s="112">
        <f t="shared" si="37"/>
        <v>4.8236942806293026</v>
      </c>
      <c r="AJ49" s="148">
        <f t="shared" si="38"/>
        <v>2.4118471403146513</v>
      </c>
      <c r="AK49" s="147">
        <f t="shared" si="39"/>
        <v>2.4118471403146513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0.5</v>
      </c>
      <c r="F52" s="75">
        <f>Poor!F52</f>
        <v>1.1100000000000001</v>
      </c>
      <c r="G52" s="75">
        <f>Poor!G52</f>
        <v>1</v>
      </c>
      <c r="H52" s="24">
        <f t="shared" si="30"/>
        <v>0.55500000000000005</v>
      </c>
      <c r="I52" s="39">
        <f t="shared" si="31"/>
        <v>19980</v>
      </c>
      <c r="J52" s="38">
        <f t="shared" si="32"/>
        <v>19980.000000000004</v>
      </c>
      <c r="K52" s="40">
        <f t="shared" si="33"/>
        <v>0.36881215167741233</v>
      </c>
      <c r="L52" s="22">
        <f t="shared" si="34"/>
        <v>0.20469074418096386</v>
      </c>
      <c r="M52" s="24">
        <f t="shared" si="35"/>
        <v>0.20469074418096389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4995.0000000000009</v>
      </c>
      <c r="AB52" s="156">
        <f>Poor!AB57</f>
        <v>0.25</v>
      </c>
      <c r="AC52" s="147">
        <f t="shared" si="41"/>
        <v>4995.0000000000009</v>
      </c>
      <c r="AD52" s="156">
        <f>Poor!AD57</f>
        <v>0.25</v>
      </c>
      <c r="AE52" s="147">
        <f t="shared" si="42"/>
        <v>4995.0000000000009</v>
      </c>
      <c r="AF52" s="122">
        <f t="shared" si="29"/>
        <v>0.25</v>
      </c>
      <c r="AG52" s="147">
        <f t="shared" si="36"/>
        <v>4995.0000000000009</v>
      </c>
      <c r="AH52" s="123">
        <f t="shared" si="37"/>
        <v>1</v>
      </c>
      <c r="AI52" s="112">
        <f t="shared" si="37"/>
        <v>19980.000000000004</v>
      </c>
      <c r="AJ52" s="148">
        <f t="shared" si="38"/>
        <v>9990.0000000000018</v>
      </c>
      <c r="AK52" s="147">
        <f t="shared" si="39"/>
        <v>9990.0000000000018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0.5</v>
      </c>
      <c r="F53" s="75">
        <f>Poor!F53</f>
        <v>1.1100000000000001</v>
      </c>
      <c r="G53" s="75">
        <f>Poor!G53</f>
        <v>1</v>
      </c>
      <c r="H53" s="24">
        <f t="shared" si="30"/>
        <v>0.55500000000000005</v>
      </c>
      <c r="I53" s="39">
        <f t="shared" si="31"/>
        <v>3552.0000000000005</v>
      </c>
      <c r="J53" s="38">
        <f t="shared" si="32"/>
        <v>3552</v>
      </c>
      <c r="K53" s="40">
        <f t="shared" si="33"/>
        <v>6.556660474265108E-2</v>
      </c>
      <c r="L53" s="22">
        <f t="shared" si="34"/>
        <v>3.6389465632171353E-2</v>
      </c>
      <c r="M53" s="24">
        <f t="shared" si="35"/>
        <v>3.6389465632171353E-2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0.6</v>
      </c>
      <c r="F54" s="75">
        <f>Poor!F54</f>
        <v>1.18</v>
      </c>
      <c r="G54" s="75">
        <f>Poor!G54</f>
        <v>1</v>
      </c>
      <c r="H54" s="24">
        <f t="shared" si="30"/>
        <v>0.70799999999999996</v>
      </c>
      <c r="I54" s="39">
        <f t="shared" si="31"/>
        <v>10421.76</v>
      </c>
      <c r="J54" s="38">
        <f t="shared" si="32"/>
        <v>10421.76</v>
      </c>
      <c r="K54" s="40">
        <f t="shared" si="33"/>
        <v>0.15080319090809749</v>
      </c>
      <c r="L54" s="22">
        <f t="shared" si="34"/>
        <v>0.10676865916293302</v>
      </c>
      <c r="M54" s="24">
        <f t="shared" si="35"/>
        <v>0.10676865916293303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0.4</v>
      </c>
      <c r="F55" s="75">
        <f>Poor!F55</f>
        <v>1.18</v>
      </c>
      <c r="G55" s="75">
        <f>Poor!G55</f>
        <v>1</v>
      </c>
      <c r="H55" s="24">
        <f t="shared" si="30"/>
        <v>0.47199999999999998</v>
      </c>
      <c r="I55" s="39">
        <f t="shared" si="31"/>
        <v>2520.48</v>
      </c>
      <c r="J55" s="38">
        <f t="shared" si="32"/>
        <v>2520.4799999999996</v>
      </c>
      <c r="K55" s="40">
        <f t="shared" si="33"/>
        <v>5.4707135832149499E-2</v>
      </c>
      <c r="L55" s="22">
        <f t="shared" si="34"/>
        <v>2.5821768112774562E-2</v>
      </c>
      <c r="M55" s="24">
        <f t="shared" si="35"/>
        <v>2.5821768112774559E-2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61546.260000000009</v>
      </c>
      <c r="J65" s="39">
        <f>SUM(J37:J64)</f>
        <v>61805.921185874242</v>
      </c>
      <c r="K65" s="40">
        <f>SUM(K37:K64)</f>
        <v>1</v>
      </c>
      <c r="L65" s="22">
        <f>SUM(L37:L64)</f>
        <v>0.63464573543874991</v>
      </c>
      <c r="M65" s="24">
        <f>SUM(M37:M64)</f>
        <v>0.63318818830463452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8043.8473972840284</v>
      </c>
      <c r="AB65" s="137"/>
      <c r="AC65" s="153">
        <f>SUM(AC37:AC64)</f>
        <v>8254.2019459316143</v>
      </c>
      <c r="AD65" s="137"/>
      <c r="AE65" s="153">
        <f>SUM(AE37:AE64)</f>
        <v>8277.5029976350943</v>
      </c>
      <c r="AF65" s="137"/>
      <c r="AG65" s="153">
        <f>SUM(AG37:AG64)</f>
        <v>12896.208845023501</v>
      </c>
      <c r="AH65" s="137"/>
      <c r="AI65" s="153">
        <f>SUM(AI37:AI64)</f>
        <v>37471.761185874231</v>
      </c>
      <c r="AJ65" s="153">
        <f>SUM(AJ37:AJ64)</f>
        <v>16298.049343215642</v>
      </c>
      <c r="AK65" s="153">
        <f>SUM(AK37:AK64)</f>
        <v>21173.711842658595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23325.819771334416</v>
      </c>
      <c r="K72" s="40">
        <f t="shared" si="47"/>
        <v>0.23833973063053221</v>
      </c>
      <c r="L72" s="22">
        <f t="shared" si="45"/>
        <v>0.25965699836390954</v>
      </c>
      <c r="M72" s="24">
        <f t="shared" si="48"/>
        <v>0.23896793831959368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0.10597373237897498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43742.903767208954</v>
      </c>
      <c r="J74" s="51">
        <f t="shared" si="44"/>
        <v>5833.2957373043491</v>
      </c>
      <c r="K74" s="40">
        <f>B74/B$76</f>
        <v>7.7941080355359765E-2</v>
      </c>
      <c r="L74" s="22">
        <f t="shared" si="45"/>
        <v>4.0529330207741181E-2</v>
      </c>
      <c r="M74" s="24">
        <f>J74/B$76</f>
        <v>5.9760843117941512E-2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2107.483139038618</v>
      </c>
      <c r="AB74" s="156"/>
      <c r="AC74" s="147">
        <f>AC30*$I$84/4</f>
        <v>3803.3628877338524</v>
      </c>
      <c r="AD74" s="156"/>
      <c r="AE74" s="147">
        <f>AE30*$I$84/4</f>
        <v>3826.6639394373328</v>
      </c>
      <c r="AF74" s="156"/>
      <c r="AG74" s="147">
        <f>AG30*$I$84/4</f>
        <v>3592.4197617709697</v>
      </c>
      <c r="AH74" s="155"/>
      <c r="AI74" s="147">
        <f>SUM(AA74,AC74,AE74,AG74)</f>
        <v>13329.929727980772</v>
      </c>
      <c r="AJ74" s="148">
        <f>(AA74+AC74)</f>
        <v>5910.8460267724704</v>
      </c>
      <c r="AK74" s="147">
        <f>(AE74+AG74)</f>
        <v>7419.083701208303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0.31859470670479817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8334.9143183073029</v>
      </c>
      <c r="AB75" s="158"/>
      <c r="AC75" s="149">
        <f>AA75+AC65-SUM(AC70,AC74)</f>
        <v>8334.9143183073029</v>
      </c>
      <c r="AD75" s="158"/>
      <c r="AE75" s="149">
        <f>AC75+AE65-SUM(AE70,AE74)</f>
        <v>8334.9143183073011</v>
      </c>
      <c r="AF75" s="158"/>
      <c r="AG75" s="149">
        <f>IF(SUM(AG6:AG29)+((AG65-AG70-$J$75)*4/I$83)&lt;1,0,AG65-AG70-$J$75-(1-SUM(AG6:AG29))*I$83/4)</f>
        <v>6849.3891182596517</v>
      </c>
      <c r="AH75" s="134"/>
      <c r="AI75" s="149">
        <f>AI76-SUM(AI70,AI74)</f>
        <v>6338.475225102422</v>
      </c>
      <c r="AJ75" s="151">
        <f>AJ76-SUM(AJ70,AJ74)</f>
        <v>1485.5252000476503</v>
      </c>
      <c r="AK75" s="149">
        <f>AJ75+AK76-SUM(AK70,AK74)</f>
        <v>6338.4752251024202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61546.26</v>
      </c>
      <c r="J76" s="51">
        <f t="shared" si="44"/>
        <v>61805.921185874227</v>
      </c>
      <c r="K76" s="40">
        <f>SUM(K70:K75)</f>
        <v>0.99999999999999989</v>
      </c>
      <c r="L76" s="22">
        <f>SUM(L70:L75)</f>
        <v>0.63464573543874991</v>
      </c>
      <c r="M76" s="24">
        <f>SUM(M70:M75)</f>
        <v>0.63318818830463441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8043.8473972840284</v>
      </c>
      <c r="AB76" s="137"/>
      <c r="AC76" s="153">
        <f>AC65</f>
        <v>8254.2019459316143</v>
      </c>
      <c r="AD76" s="137"/>
      <c r="AE76" s="153">
        <f>AE65</f>
        <v>8277.5029976350943</v>
      </c>
      <c r="AF76" s="137"/>
      <c r="AG76" s="153">
        <f>AG65</f>
        <v>12896.208845023501</v>
      </c>
      <c r="AH76" s="137"/>
      <c r="AI76" s="153">
        <f>SUM(AA76,AC76,AE76,AG76)</f>
        <v>37471.761185874238</v>
      </c>
      <c r="AJ76" s="154">
        <f>SUM(AA76,AC76)</f>
        <v>16298.049343215644</v>
      </c>
      <c r="AK76" s="154">
        <f>SUM(AE76,AG76)</f>
        <v>21173.711842658595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14843.449444444415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6849.3891182596517</v>
      </c>
      <c r="AB78" s="112"/>
      <c r="AC78" s="112">
        <f>IF(AA75&lt;0,0,AA75)</f>
        <v>8334.9143183073029</v>
      </c>
      <c r="AD78" s="112"/>
      <c r="AE78" s="112">
        <f>AC75</f>
        <v>8334.9143183073029</v>
      </c>
      <c r="AF78" s="112"/>
      <c r="AG78" s="112">
        <f>AE75</f>
        <v>8334.9143183073011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10442.39745734592</v>
      </c>
      <c r="AB79" s="112"/>
      <c r="AC79" s="112">
        <f>AA79-AA74+AC65-AC70</f>
        <v>12138.277206041155</v>
      </c>
      <c r="AD79" s="112"/>
      <c r="AE79" s="112">
        <f>AC79-AC74+AE65-AE70</f>
        <v>12161.578257744633</v>
      </c>
      <c r="AF79" s="112"/>
      <c r="AG79" s="112">
        <f>AE79-AE74+AG65-AG70</f>
        <v>16780.28410513304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0.59</v>
      </c>
      <c r="I91" s="22">
        <f t="shared" ref="I91" si="52">(D91*H91)</f>
        <v>0.52163472468963756</v>
      </c>
      <c r="J91" s="24">
        <f>IF(I$32&lt;=1+I$131,I91,L91+J$33*(I91-L91))</f>
        <v>0.56375871639828223</v>
      </c>
      <c r="K91" s="22">
        <f t="shared" ref="K91" si="53">(B91)</f>
        <v>0.9946424835183767</v>
      </c>
      <c r="L91" s="22">
        <f t="shared" ref="L91" si="54">(K91*H91)</f>
        <v>0.58683906527584218</v>
      </c>
      <c r="M91" s="227">
        <f t="shared" si="49"/>
        <v>0.56375871639828223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0.59</v>
      </c>
      <c r="I92" s="22">
        <f t="shared" ref="I92:I118" si="58">(D92*H92)</f>
        <v>0.20702378136119989</v>
      </c>
      <c r="J92" s="24">
        <f t="shared" ref="J92:J118" si="59">IF(I$32&lt;=1+I$131,I92,L92+J$33*(I92-L92))</f>
        <v>0.15226259213996174</v>
      </c>
      <c r="K92" s="22">
        <f t="shared" ref="K92:K118" si="60">(B92)</f>
        <v>0.20721718406632847</v>
      </c>
      <c r="L92" s="22">
        <f t="shared" ref="L92:L118" si="61">(K92*H92)</f>
        <v>0.12225813859913379</v>
      </c>
      <c r="M92" s="227">
        <f t="shared" ref="M92:M118" si="62">(J92)</f>
        <v>0.15226259213996174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0.59</v>
      </c>
      <c r="I93" s="22">
        <f t="shared" si="58"/>
        <v>2.608173623448188E-2</v>
      </c>
      <c r="J93" s="24">
        <f t="shared" si="59"/>
        <v>2.608173623448188E-2</v>
      </c>
      <c r="K93" s="22">
        <f t="shared" si="60"/>
        <v>4.4206332600816745E-2</v>
      </c>
      <c r="L93" s="22">
        <f t="shared" si="61"/>
        <v>2.608173623448188E-2</v>
      </c>
      <c r="M93" s="227">
        <f t="shared" si="62"/>
        <v>2.608173623448188E-2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0.42</v>
      </c>
      <c r="I95" s="22">
        <f t="shared" si="58"/>
        <v>0</v>
      </c>
      <c r="J95" s="24">
        <f t="shared" si="59"/>
        <v>2.0615767128595197E-2</v>
      </c>
      <c r="K95" s="22">
        <f t="shared" si="60"/>
        <v>7.5979634157653769E-2</v>
      </c>
      <c r="L95" s="22">
        <f t="shared" si="61"/>
        <v>3.1911446346214581E-2</v>
      </c>
      <c r="M95" s="227">
        <f t="shared" si="62"/>
        <v>2.0615767128595197E-2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0.27999999999999997</v>
      </c>
      <c r="I96" s="22">
        <f t="shared" si="58"/>
        <v>0.13700647631308127</v>
      </c>
      <c r="J96" s="24">
        <f t="shared" si="59"/>
        <v>0.13570705826376375</v>
      </c>
      <c r="K96" s="22">
        <f t="shared" si="60"/>
        <v>0.48212531492765759</v>
      </c>
      <c r="L96" s="22">
        <f t="shared" si="61"/>
        <v>0.13499508817974412</v>
      </c>
      <c r="M96" s="227">
        <f t="shared" si="62"/>
        <v>0.13570705826376375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0.27999999999999997</v>
      </c>
      <c r="I97" s="22">
        <f t="shared" si="58"/>
        <v>0</v>
      </c>
      <c r="J97" s="24">
        <f t="shared" si="59"/>
        <v>1.2494404320360725E-2</v>
      </c>
      <c r="K97" s="22">
        <f t="shared" si="60"/>
        <v>6.9072394688776156E-2</v>
      </c>
      <c r="L97" s="22">
        <f t="shared" si="61"/>
        <v>1.9340270512857322E-2</v>
      </c>
      <c r="M97" s="227">
        <f t="shared" si="62"/>
        <v>1.2494404320360725E-2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0.27999999999999997</v>
      </c>
      <c r="I98" s="22">
        <f t="shared" si="58"/>
        <v>0</v>
      </c>
      <c r="J98" s="24">
        <f t="shared" si="59"/>
        <v>1.3993732838804012E-3</v>
      </c>
      <c r="K98" s="22">
        <f t="shared" si="60"/>
        <v>7.7361082051429289E-3</v>
      </c>
      <c r="L98" s="22">
        <f t="shared" si="61"/>
        <v>2.1661102974400198E-3</v>
      </c>
      <c r="M98" s="227">
        <f t="shared" si="62"/>
        <v>1.3993732838804012E-3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0.27999999999999997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0.27999999999999997</v>
      </c>
      <c r="I100" s="22">
        <f t="shared" si="58"/>
        <v>0</v>
      </c>
      <c r="J100" s="24">
        <f t="shared" si="59"/>
        <v>4.2480974689226467E-4</v>
      </c>
      <c r="K100" s="22">
        <f t="shared" si="60"/>
        <v>2.3484614194183894E-3</v>
      </c>
      <c r="L100" s="22">
        <f t="shared" si="61"/>
        <v>6.5756919743714898E-4</v>
      </c>
      <c r="M100" s="227">
        <f t="shared" si="62"/>
        <v>4.2480974689226467E-4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0.27999999999999997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0.27999999999999997</v>
      </c>
      <c r="I102" s="22">
        <f t="shared" si="58"/>
        <v>0</v>
      </c>
      <c r="J102" s="24">
        <f t="shared" si="59"/>
        <v>1.2494404320360729E-4</v>
      </c>
      <c r="K102" s="22">
        <f t="shared" si="60"/>
        <v>6.9072394688776163E-4</v>
      </c>
      <c r="L102" s="22">
        <f t="shared" si="61"/>
        <v>1.9340270512857325E-4</v>
      </c>
      <c r="M102" s="227">
        <f t="shared" si="62"/>
        <v>1.2494404320360729E-4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0.27999999999999997</v>
      </c>
      <c r="I103" s="22">
        <f t="shared" si="58"/>
        <v>0</v>
      </c>
      <c r="J103" s="24">
        <f t="shared" si="59"/>
        <v>3.9982093825154325E-4</v>
      </c>
      <c r="K103" s="22">
        <f t="shared" si="60"/>
        <v>2.2103166300408371E-3</v>
      </c>
      <c r="L103" s="22">
        <f t="shared" si="61"/>
        <v>6.1888865641143438E-4</v>
      </c>
      <c r="M103" s="227">
        <f t="shared" si="62"/>
        <v>3.9982093825154325E-4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0.27999999999999997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0.55500000000000005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0.55500000000000005</v>
      </c>
      <c r="I106" s="22">
        <f t="shared" si="58"/>
        <v>1.6560797350580974</v>
      </c>
      <c r="J106" s="24">
        <f t="shared" si="59"/>
        <v>1.6560797350580974</v>
      </c>
      <c r="K106" s="22">
        <f t="shared" si="60"/>
        <v>2.9839274505551301</v>
      </c>
      <c r="L106" s="22">
        <f t="shared" si="61"/>
        <v>1.6560797350580974</v>
      </c>
      <c r="M106" s="227">
        <f t="shared" si="62"/>
        <v>1.6560797350580974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0.55500000000000005</v>
      </c>
      <c r="I107" s="22">
        <f t="shared" si="58"/>
        <v>0.29441417512143947</v>
      </c>
      <c r="J107" s="24">
        <f t="shared" si="59"/>
        <v>0.29441417512143947</v>
      </c>
      <c r="K107" s="22">
        <f t="shared" si="60"/>
        <v>0.53047599120980082</v>
      </c>
      <c r="L107" s="22">
        <f t="shared" si="61"/>
        <v>0.29441417512143947</v>
      </c>
      <c r="M107" s="227">
        <f t="shared" si="62"/>
        <v>0.29441417512143947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0.70799999999999996</v>
      </c>
      <c r="I108" s="22">
        <f t="shared" si="58"/>
        <v>0.8638271040860398</v>
      </c>
      <c r="J108" s="24">
        <f t="shared" si="59"/>
        <v>0.8638271040860398</v>
      </c>
      <c r="K108" s="22">
        <f t="shared" si="60"/>
        <v>1.2200947797825421</v>
      </c>
      <c r="L108" s="22">
        <f t="shared" si="61"/>
        <v>0.8638271040860398</v>
      </c>
      <c r="M108" s="227">
        <f t="shared" si="62"/>
        <v>0.8638271040860398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0.47199999999999992</v>
      </c>
      <c r="I109" s="22">
        <f t="shared" si="58"/>
        <v>0.2089147072381998</v>
      </c>
      <c r="J109" s="24">
        <f t="shared" si="59"/>
        <v>0.2089147072381998</v>
      </c>
      <c r="K109" s="22">
        <f t="shared" si="60"/>
        <v>0.44261590516567761</v>
      </c>
      <c r="L109" s="22">
        <f t="shared" si="61"/>
        <v>0.2089147072381998</v>
      </c>
      <c r="M109" s="227">
        <f t="shared" si="62"/>
        <v>0.2089147072381998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5.1013770748056437</v>
      </c>
      <c r="J119" s="24">
        <f>SUM(J91:J118)</f>
        <v>5.1228995787049163</v>
      </c>
      <c r="K119" s="22">
        <f>SUM(K91:K118)</f>
        <v>8.0906429926014791</v>
      </c>
      <c r="L119" s="22">
        <f>SUM(L91:L118)</f>
        <v>5.1346920722119345</v>
      </c>
      <c r="M119" s="57">
        <f t="shared" si="49"/>
        <v>5.1228995787049163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1.933404275621843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2.1007920742928983</v>
      </c>
      <c r="M126" s="57">
        <f t="shared" si="65"/>
        <v>1.933404275621843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3.6257125366101723</v>
      </c>
      <c r="J128" s="228">
        <f>(J30)</f>
        <v>0.48350364660412981</v>
      </c>
      <c r="K128" s="22">
        <f>(B128)</f>
        <v>0.63059345561288027</v>
      </c>
      <c r="L128" s="22">
        <f>IF(L124=L119,0,(L119-L124)/(B119-B124)*K128)</f>
        <v>0.32790834144009262</v>
      </c>
      <c r="M128" s="57">
        <f t="shared" si="63"/>
        <v>0.48350364660412981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2.5776360312810986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5.1013770748056437</v>
      </c>
      <c r="J130" s="228">
        <f>(J119)</f>
        <v>5.1228995787049163</v>
      </c>
      <c r="K130" s="22">
        <f>(B130)</f>
        <v>8.0906429926014791</v>
      </c>
      <c r="L130" s="22">
        <f>(L119)</f>
        <v>5.1346920722119345</v>
      </c>
      <c r="M130" s="57">
        <f t="shared" si="63"/>
        <v>5.1228995787049163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1.2303271182834719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8.4480074719800752E-3</v>
      </c>
      <c r="J6" s="24">
        <f t="shared" ref="J6:J13" si="3">IF(I$32&lt;=1+I$131,I6,B6*H6+J$33*(I6-B6*H6))</f>
        <v>8.4480074719800752E-3</v>
      </c>
      <c r="K6" s="22">
        <f t="shared" ref="K6:K31" si="4">B6</f>
        <v>4.2240037359900375E-2</v>
      </c>
      <c r="L6" s="22">
        <f t="shared" ref="L6:L29" si="5">IF(K6="","",K6*H6)</f>
        <v>8.4480074719800752E-3</v>
      </c>
      <c r="M6" s="177">
        <f t="shared" ref="M6:M31" si="6">J6</f>
        <v>8.4480074719800752E-3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3.3792029887920301E-2</v>
      </c>
      <c r="Z6" s="156">
        <f>Poor!Z6</f>
        <v>0.17</v>
      </c>
      <c r="AA6" s="121">
        <f>$M6*Z6*4</f>
        <v>5.7446450809464514E-3</v>
      </c>
      <c r="AB6" s="156">
        <f>Poor!AB6</f>
        <v>0.17</v>
      </c>
      <c r="AC6" s="121">
        <f t="shared" ref="AC6:AC29" si="7">$M6*AB6*4</f>
        <v>5.7446450809464514E-3</v>
      </c>
      <c r="AD6" s="156">
        <f>Poor!AD6</f>
        <v>0.33</v>
      </c>
      <c r="AE6" s="121">
        <f t="shared" ref="AE6:AE29" si="8">$M6*AD6*4</f>
        <v>1.11513698630137E-2</v>
      </c>
      <c r="AF6" s="122">
        <f>1-SUM(Z6,AB6,AD6)</f>
        <v>0.32999999999999996</v>
      </c>
      <c r="AG6" s="121">
        <f>$M6*AF6*4</f>
        <v>1.1151369863013698E-2</v>
      </c>
      <c r="AH6" s="123">
        <f>SUM(Z6,AB6,AD6,AF6)</f>
        <v>1</v>
      </c>
      <c r="AI6" s="183">
        <f>SUM(AA6,AC6,AE6,AG6)/4</f>
        <v>8.4480074719800752E-3</v>
      </c>
      <c r="AJ6" s="120">
        <f>(AA6+AC6)/2</f>
        <v>5.7446450809464514E-3</v>
      </c>
      <c r="AK6" s="119">
        <f>(AE6+AG6)/2</f>
        <v>1.11513698630137E-2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1.7395033001245331E-2</v>
      </c>
      <c r="J7" s="24">
        <f t="shared" si="3"/>
        <v>1.7395033001245331E-2</v>
      </c>
      <c r="K7" s="22">
        <f t="shared" si="4"/>
        <v>8.6975165006226651E-2</v>
      </c>
      <c r="L7" s="22">
        <f t="shared" si="5"/>
        <v>1.7395033001245331E-2</v>
      </c>
      <c r="M7" s="177">
        <f t="shared" si="6"/>
        <v>1.7395033001245331E-2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357.04522419492463</v>
      </c>
      <c r="T7" s="222">
        <f>IF($B$81=0,0,(SUMIF($N$6:$N$28,$U7,M$6:M$28)+SUMIF($N$91:$N$118,$U7,M$91:M$118))*$I$83*Poor!$B$81/$B$81)</f>
        <v>352.52518981708039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6.9580132004981324E-2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6.9580132004981324E-2</v>
      </c>
      <c r="AH7" s="123">
        <f t="shared" ref="AH7:AH30" si="12">SUM(Z7,AB7,AD7,AF7)</f>
        <v>1</v>
      </c>
      <c r="AI7" s="183">
        <f t="shared" ref="AI7:AI30" si="13">SUM(AA7,AC7,AE7,AG7)/4</f>
        <v>1.7395033001245331E-2</v>
      </c>
      <c r="AJ7" s="120">
        <f t="shared" ref="AJ7:AJ31" si="14">(AA7+AC7)/2</f>
        <v>0</v>
      </c>
      <c r="AK7" s="119">
        <f t="shared" ref="AK7:AK31" si="15">(AE7+AG7)/2</f>
        <v>3.4790066002490662E-2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4.999999999999999E-4</v>
      </c>
      <c r="J8" s="24">
        <f t="shared" si="3"/>
        <v>4.999999999999999E-4</v>
      </c>
      <c r="K8" s="22">
        <f t="shared" si="4"/>
        <v>2.4999999999999996E-3</v>
      </c>
      <c r="L8" s="22">
        <f t="shared" si="5"/>
        <v>4.999999999999999E-4</v>
      </c>
      <c r="M8" s="224">
        <f t="shared" si="6"/>
        <v>4.999999999999999E-4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5320.6399999999994</v>
      </c>
      <c r="T8" s="222">
        <f>IF($B$81=0,0,(SUMIF($N$6:$N$28,$U8,M$6:M$28)+SUMIF($N$91:$N$118,$U8,M$91:M$118))*$I$83*Poor!$B$81/$B$81)</f>
        <v>5322.8859544946199</v>
      </c>
      <c r="U8" s="223">
        <v>2</v>
      </c>
      <c r="V8" s="56"/>
      <c r="W8" s="115"/>
      <c r="X8" s="118">
        <f>Poor!X8</f>
        <v>1</v>
      </c>
      <c r="Y8" s="183">
        <f t="shared" si="9"/>
        <v>1.9999999999999996E-3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1.9999999999999996E-3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4.999999999999999E-4</v>
      </c>
      <c r="AJ8" s="120">
        <f t="shared" si="14"/>
        <v>9.999999999999998E-4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0.14620819427148193</v>
      </c>
      <c r="J9" s="24">
        <f t="shared" si="3"/>
        <v>1.2818674014411847E-2</v>
      </c>
      <c r="K9" s="22">
        <f t="shared" si="4"/>
        <v>4.3767753735990039E-2</v>
      </c>
      <c r="L9" s="22">
        <f t="shared" si="5"/>
        <v>1.3130326120797011E-2</v>
      </c>
      <c r="M9" s="224">
        <f t="shared" si="6"/>
        <v>1.2818674014411847E-2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356.32787322935076</v>
      </c>
      <c r="T9" s="222">
        <f>IF($B$81=0,0,(SUMIF($N$6:$N$28,$U9,M$6:M$28)+SUMIF($N$91:$N$118,$U9,M$91:M$118))*$I$83*Poor!$B$81/$B$81)</f>
        <v>356.32787322935076</v>
      </c>
      <c r="U9" s="223">
        <v>3</v>
      </c>
      <c r="V9" s="56"/>
      <c r="W9" s="115"/>
      <c r="X9" s="118">
        <f>Poor!X9</f>
        <v>1</v>
      </c>
      <c r="Y9" s="183">
        <f t="shared" si="9"/>
        <v>5.1274696057647388E-2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5.1274696057647388E-2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1.2818674014411847E-2</v>
      </c>
      <c r="AJ9" s="120">
        <f t="shared" si="14"/>
        <v>2.5637348028823694E-2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0.2</v>
      </c>
      <c r="H10" s="24">
        <f t="shared" si="1"/>
        <v>0.2</v>
      </c>
      <c r="I10" s="22">
        <f t="shared" si="2"/>
        <v>7.202677696139477E-3</v>
      </c>
      <c r="J10" s="24">
        <f t="shared" si="3"/>
        <v>7.202677696139477E-3</v>
      </c>
      <c r="K10" s="22">
        <f t="shared" si="4"/>
        <v>3.6013388480697385E-2</v>
      </c>
      <c r="L10" s="22">
        <f t="shared" si="5"/>
        <v>7.202677696139477E-3</v>
      </c>
      <c r="M10" s="224">
        <f t="shared" si="6"/>
        <v>7.202677696139477E-3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2.8810710784557908E-2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2.8810710784557908E-2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7.202677696139477E-3</v>
      </c>
      <c r="AJ10" s="120">
        <f t="shared" si="14"/>
        <v>1.4405355392278954E-2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0.2</v>
      </c>
      <c r="H11" s="24">
        <f t="shared" si="1"/>
        <v>0.2</v>
      </c>
      <c r="I11" s="22">
        <f t="shared" si="2"/>
        <v>1.0267980074719799E-2</v>
      </c>
      <c r="J11" s="24">
        <f t="shared" si="3"/>
        <v>4.3415167614800588E-3</v>
      </c>
      <c r="K11" s="22">
        <f t="shared" si="4"/>
        <v>2.1776816936488169E-2</v>
      </c>
      <c r="L11" s="22">
        <f t="shared" si="5"/>
        <v>4.3553633872976342E-3</v>
      </c>
      <c r="M11" s="224">
        <f t="shared" si="6"/>
        <v>4.3415167614800588E-3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15019.714285714284</v>
      </c>
      <c r="T11" s="222">
        <f>IF($B$81=0,0,(SUMIF($N$6:$N$28,$U11,M$6:M$28)+SUMIF($N$91:$N$118,$U11,M$91:M$118))*$I$83*Poor!$B$81/$B$81)</f>
        <v>15015.687594097477</v>
      </c>
      <c r="U11" s="223">
        <v>5</v>
      </c>
      <c r="V11" s="56"/>
      <c r="W11" s="115"/>
      <c r="X11" s="118">
        <f>Poor!X11</f>
        <v>1</v>
      </c>
      <c r="Y11" s="183">
        <f t="shared" si="9"/>
        <v>1.7366067045920235E-2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1.7366067045920235E-2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4.3415167614800588E-3</v>
      </c>
      <c r="AJ11" s="120">
        <f t="shared" si="14"/>
        <v>8.6830335229601176E-3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0.2</v>
      </c>
      <c r="H12" s="24">
        <f t="shared" si="1"/>
        <v>0.2</v>
      </c>
      <c r="I12" s="22">
        <f t="shared" si="2"/>
        <v>2.855790784557908E-4</v>
      </c>
      <c r="J12" s="24">
        <f t="shared" si="3"/>
        <v>2.855790784557908E-4</v>
      </c>
      <c r="K12" s="22">
        <f t="shared" si="4"/>
        <v>1.4278953922789539E-3</v>
      </c>
      <c r="L12" s="22">
        <f t="shared" si="5"/>
        <v>2.855790784557908E-4</v>
      </c>
      <c r="M12" s="224">
        <f t="shared" si="6"/>
        <v>2.855790784557908E-4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1.1423163138231632E-3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7.6535193026151934E-4</v>
      </c>
      <c r="AF12" s="122">
        <f>1-SUM(Z12,AB12,AD12)</f>
        <v>0.32999999999999996</v>
      </c>
      <c r="AG12" s="121">
        <f>$M12*AF12*4</f>
        <v>3.769643835616438E-4</v>
      </c>
      <c r="AH12" s="123">
        <f t="shared" si="12"/>
        <v>1</v>
      </c>
      <c r="AI12" s="183">
        <f t="shared" si="13"/>
        <v>2.855790784557908E-4</v>
      </c>
      <c r="AJ12" s="120">
        <f t="shared" si="14"/>
        <v>0</v>
      </c>
      <c r="AK12" s="119">
        <f t="shared" si="15"/>
        <v>5.711581569115816E-4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78648.685714285719</v>
      </c>
      <c r="T14" s="222">
        <f>IF($B$81=0,0,(SUMIF($N$6:$N$28,$U14,M$6:M$28)+SUMIF($N$91:$N$118,$U14,M$91:M$118))*$I$83*Poor!$B$81/$B$81)</f>
        <v>78648.685714285719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0.2</v>
      </c>
      <c r="F16" s="22"/>
      <c r="H16" s="24">
        <f t="shared" si="1"/>
        <v>0.2</v>
      </c>
      <c r="I16" s="22">
        <f t="shared" si="2"/>
        <v>2.0084682440846824E-4</v>
      </c>
      <c r="J16" s="24">
        <f>IF(I$32&lt;=1+I131,I16,B16*H16+J$33*(I16-B16*H16))</f>
        <v>2.0084682440846824E-4</v>
      </c>
      <c r="K16" s="22">
        <f t="shared" si="4"/>
        <v>1.0042341220423412E-3</v>
      </c>
      <c r="L16" s="22">
        <f t="shared" si="5"/>
        <v>2.0084682440846824E-4</v>
      </c>
      <c r="M16" s="224">
        <f t="shared" si="6"/>
        <v>2.0084682440846824E-4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8.0338729763387298E-4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8.0338729763387298E-4</v>
      </c>
      <c r="AH16" s="123">
        <f t="shared" si="12"/>
        <v>1</v>
      </c>
      <c r="AI16" s="183">
        <f t="shared" si="13"/>
        <v>2.0084682440846824E-4</v>
      </c>
      <c r="AJ16" s="120">
        <f t="shared" si="14"/>
        <v>0</v>
      </c>
      <c r="AK16" s="119">
        <f t="shared" si="15"/>
        <v>4.0169364881693649E-4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1.2115068493150686E-3</v>
      </c>
      <c r="J19" s="24">
        <f t="shared" si="17"/>
        <v>2.1795262632451538E-4</v>
      </c>
      <c r="K19" s="22">
        <f t="shared" si="21"/>
        <v>1.1013698630136985E-3</v>
      </c>
      <c r="L19" s="22">
        <f t="shared" si="22"/>
        <v>2.2027397260273972E-4</v>
      </c>
      <c r="M19" s="225">
        <f t="shared" si="23"/>
        <v>2.1795262632451538E-4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0.2</v>
      </c>
      <c r="F20" s="22"/>
      <c r="H20" s="24">
        <f t="shared" si="19"/>
        <v>0.2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178304.30252569186</v>
      </c>
      <c r="T23" s="179">
        <f>SUM(T7:T22)</f>
        <v>178298.00175419182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4.6280896541718422E-2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4.6280896541718422E-2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0.18512358616687369</v>
      </c>
      <c r="Z27" s="156">
        <f>Poor!Z27</f>
        <v>0.25</v>
      </c>
      <c r="AA27" s="121">
        <f t="shared" si="16"/>
        <v>4.6280896541718422E-2</v>
      </c>
      <c r="AB27" s="156">
        <f>Poor!AB27</f>
        <v>0.25</v>
      </c>
      <c r="AC27" s="121">
        <f t="shared" si="7"/>
        <v>4.6280896541718422E-2</v>
      </c>
      <c r="AD27" s="156">
        <f>Poor!AD27</f>
        <v>0.25</v>
      </c>
      <c r="AE27" s="121">
        <f t="shared" si="8"/>
        <v>4.6280896541718422E-2</v>
      </c>
      <c r="AF27" s="122">
        <f t="shared" si="10"/>
        <v>0.25</v>
      </c>
      <c r="AG27" s="121">
        <f t="shared" si="11"/>
        <v>4.6280896541718422E-2</v>
      </c>
      <c r="AH27" s="123">
        <f t="shared" si="12"/>
        <v>1</v>
      </c>
      <c r="AI27" s="183">
        <f t="shared" si="13"/>
        <v>4.6280896541718422E-2</v>
      </c>
      <c r="AJ27" s="120">
        <f t="shared" si="14"/>
        <v>4.6280896541718422E-2</v>
      </c>
      <c r="AK27" s="119">
        <f t="shared" si="15"/>
        <v>4.6280896541718422E-2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0.43886776070132438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0.43886776070132438</v>
      </c>
      <c r="N29" s="229"/>
      <c r="P29" s="22"/>
      <c r="V29" s="56"/>
      <c r="W29" s="110"/>
      <c r="X29" s="118"/>
      <c r="Y29" s="183">
        <f t="shared" si="9"/>
        <v>1.7554710428052975</v>
      </c>
      <c r="Z29" s="156">
        <f>Poor!Z29</f>
        <v>0.25</v>
      </c>
      <c r="AA29" s="121">
        <f t="shared" si="16"/>
        <v>0.43886776070132438</v>
      </c>
      <c r="AB29" s="156">
        <f>Poor!AB29</f>
        <v>0.25</v>
      </c>
      <c r="AC29" s="121">
        <f t="shared" si="7"/>
        <v>0.43886776070132438</v>
      </c>
      <c r="AD29" s="156">
        <f>Poor!AD29</f>
        <v>0.25</v>
      </c>
      <c r="AE29" s="121">
        <f t="shared" si="8"/>
        <v>0.43886776070132438</v>
      </c>
      <c r="AF29" s="122">
        <f t="shared" si="10"/>
        <v>0.25</v>
      </c>
      <c r="AG29" s="121">
        <f t="shared" si="11"/>
        <v>0.43886776070132438</v>
      </c>
      <c r="AH29" s="123">
        <f t="shared" si="12"/>
        <v>1</v>
      </c>
      <c r="AI29" s="183">
        <f t="shared" si="13"/>
        <v>0.43886776070132438</v>
      </c>
      <c r="AJ29" s="120">
        <f t="shared" si="14"/>
        <v>0.43886776070132438</v>
      </c>
      <c r="AK29" s="119">
        <f t="shared" si="15"/>
        <v>0.43886776070132438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11.435636199640369</v>
      </c>
      <c r="J30" s="231">
        <f>IF(I$32&lt;=1,I30,1-SUM(J6:J29))</f>
        <v>0.43963153147298784</v>
      </c>
      <c r="K30" s="22">
        <f t="shared" si="4"/>
        <v>0.68160895442092151</v>
      </c>
      <c r="L30" s="22">
        <f>IF(L124=L119,0,IF(K30="",0,(L119-L124)/(B119-B124)*K30))</f>
        <v>0.46154787089919447</v>
      </c>
      <c r="M30" s="175">
        <f t="shared" si="6"/>
        <v>0.43963153147298784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1.7585261258919513</v>
      </c>
      <c r="Z30" s="122">
        <f>IF($Y30=0,0,AA30/($Y$30))</f>
        <v>0.21941425509538828</v>
      </c>
      <c r="AA30" s="187">
        <f>IF(AA79*4/$I$83+SUM(AA6:AA29)&lt;1,AA79*4/$I$83,1-SUM(AA6:AA29))</f>
        <v>0.38584569997836149</v>
      </c>
      <c r="AB30" s="122">
        <f>IF($Y30=0,0,AC30/($Y$30))</f>
        <v>0.27596813417846539</v>
      </c>
      <c r="AC30" s="187">
        <f>IF(AC79*4/$I$83+SUM(AC6:AC29)&lt;1,AC79*4/$I$83,1-SUM(AC6:AC29))</f>
        <v>0.48529717386648696</v>
      </c>
      <c r="AD30" s="122">
        <f>IF($Y30=0,0,AE30/($Y$30))</f>
        <v>0.27245833320283408</v>
      </c>
      <c r="AE30" s="187">
        <f>IF(AE79*4/$I$83+SUM(AE6:AE29)&lt;1,AE79*4/$I$83,1-SUM(AE6:AE29))</f>
        <v>0.47912509715415819</v>
      </c>
      <c r="AF30" s="122">
        <f>IF($Y30=0,0,AG30/($Y$30))</f>
        <v>0.23265503956657221</v>
      </c>
      <c r="AG30" s="187">
        <f>IF(AG79*4/$I$83+SUM(AG6:AG29)&lt;1,AG79*4/$I$83,1-SUM(AG6:AG29))</f>
        <v>0.40912996539824287</v>
      </c>
      <c r="AH30" s="123">
        <f t="shared" si="12"/>
        <v>1.00049576204326</v>
      </c>
      <c r="AI30" s="183">
        <f t="shared" si="13"/>
        <v>0.43984948409931235</v>
      </c>
      <c r="AJ30" s="120">
        <f t="shared" si="14"/>
        <v>0.43557143692242423</v>
      </c>
      <c r="AK30" s="119">
        <f t="shared" si="15"/>
        <v>0.44412753127620053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-2.1635886666377058E-2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11.875968710373414</v>
      </c>
      <c r="J32" s="17"/>
      <c r="L32" s="22">
        <f>SUM(L6:L30)</f>
        <v>1.0216358866663771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3.9991281894947019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-2.3418778097067027E-3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0.5</v>
      </c>
      <c r="F37" s="75">
        <f>Middle!F37</f>
        <v>1.18</v>
      </c>
      <c r="G37" s="75">
        <f>Middle!G37</f>
        <v>1</v>
      </c>
      <c r="H37" s="24">
        <f t="shared" ref="H37:H52" si="26">(E37*F37)</f>
        <v>0.59</v>
      </c>
      <c r="I37" s="39">
        <f t="shared" ref="I37:I52" si="27">D37*H37</f>
        <v>10133.25</v>
      </c>
      <c r="J37" s="38">
        <f>J91*I$83</f>
        <v>9541.8682920922729</v>
      </c>
      <c r="K37" s="40">
        <f t="shared" ref="K37:K52" si="28">(B37/B$65)</f>
        <v>7.5064274510167908E-2</v>
      </c>
      <c r="L37" s="22">
        <f t="shared" ref="L37:L52" si="29">(K37*H37)</f>
        <v>4.4287921960999066E-2</v>
      </c>
      <c r="M37" s="24">
        <f t="shared" ref="M37:M52" si="30">J37/B$65</f>
        <v>4.4281509787788643E-2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5.349115039656499E-2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510.4055118765225</v>
      </c>
      <c r="AD37" s="122">
        <f>IF($J37=0,0,AE37/($J37))</f>
        <v>1.1111007985683383E-2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106.01977479177631</v>
      </c>
      <c r="AF37" s="122">
        <f t="shared" ref="AF37:AF64" si="31">1-SUM(Z37,AB37,AD37)</f>
        <v>0.93539784161775164</v>
      </c>
      <c r="AG37" s="147">
        <f>$J37*AF37</f>
        <v>8925.4430054239747</v>
      </c>
      <c r="AH37" s="123">
        <f>SUM(Z37,AB37,AD37,AF37)</f>
        <v>1</v>
      </c>
      <c r="AI37" s="112">
        <f>SUM(AA37,AC37,AE37,AG37)</f>
        <v>9541.8682920922729</v>
      </c>
      <c r="AJ37" s="148">
        <f>(AA37+AC37)</f>
        <v>510.4055118765225</v>
      </c>
      <c r="AK37" s="147">
        <f>(AE37+AG37)</f>
        <v>9031.4627802157502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0.5</v>
      </c>
      <c r="F38" s="75">
        <f>Middle!F38</f>
        <v>1.18</v>
      </c>
      <c r="G38" s="22">
        <f t="shared" ref="G38:G64" si="32">(G$37)</f>
        <v>1</v>
      </c>
      <c r="H38" s="24">
        <f t="shared" si="26"/>
        <v>0.59</v>
      </c>
      <c r="I38" s="39">
        <f t="shared" si="27"/>
        <v>3805.5</v>
      </c>
      <c r="J38" s="38">
        <f t="shared" ref="J38:J64" si="33">J92*I$83</f>
        <v>2888.8583527430228</v>
      </c>
      <c r="K38" s="40">
        <f t="shared" si="28"/>
        <v>2.2739718398752565E-2</v>
      </c>
      <c r="L38" s="22">
        <f t="shared" si="29"/>
        <v>1.3416433855264013E-2</v>
      </c>
      <c r="M38" s="24">
        <f t="shared" si="30"/>
        <v>1.3406494986787865E-2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5.349115039656499E-2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154.52835662095003</v>
      </c>
      <c r="AD38" s="122">
        <f>IF($J38=0,0,AE38/($J38))</f>
        <v>1.1111007985683385E-2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32.098128226835875</v>
      </c>
      <c r="AF38" s="122">
        <f t="shared" si="31"/>
        <v>0.93539784161775164</v>
      </c>
      <c r="AG38" s="147">
        <f t="shared" ref="AG38:AG64" si="34">$J38*AF38</f>
        <v>2702.231867895237</v>
      </c>
      <c r="AH38" s="123">
        <f t="shared" ref="AH38:AI58" si="35">SUM(Z38,AB38,AD38,AF38)</f>
        <v>1</v>
      </c>
      <c r="AI38" s="112">
        <f t="shared" si="35"/>
        <v>2888.8583527430228</v>
      </c>
      <c r="AJ38" s="148">
        <f t="shared" ref="AJ38:AJ64" si="36">(AA38+AC38)</f>
        <v>154.52835662095003</v>
      </c>
      <c r="AK38" s="147">
        <f t="shared" ref="AK38:AK64" si="37">(AE38+AG38)</f>
        <v>2734.3299961220728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5.5689106282659339E-3</v>
      </c>
      <c r="L39" s="22">
        <f t="shared" si="29"/>
        <v>3.285657270676901E-3</v>
      </c>
      <c r="M39" s="24">
        <f t="shared" si="30"/>
        <v>3.285657270676901E-3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</v>
      </c>
      <c r="H41" s="24">
        <f t="shared" si="26"/>
        <v>0.42</v>
      </c>
      <c r="I41" s="39">
        <f t="shared" si="27"/>
        <v>0</v>
      </c>
      <c r="J41" s="38">
        <f t="shared" si="33"/>
        <v>757.7704596241382</v>
      </c>
      <c r="K41" s="40">
        <f t="shared" si="28"/>
        <v>8.3533659423989017E-3</v>
      </c>
      <c r="L41" s="22">
        <f t="shared" si="29"/>
        <v>3.5084136958075385E-3</v>
      </c>
      <c r="M41" s="24">
        <f t="shared" si="30"/>
        <v>3.5166299719890208E-3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757.7704596241382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757.7704596241382</v>
      </c>
      <c r="AJ41" s="148">
        <f t="shared" si="36"/>
        <v>757.7704596241382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0.2</v>
      </c>
      <c r="F42" s="75">
        <f>Middle!F42</f>
        <v>1.4</v>
      </c>
      <c r="G42" s="22">
        <f t="shared" si="32"/>
        <v>1</v>
      </c>
      <c r="H42" s="24">
        <f t="shared" si="26"/>
        <v>0.27999999999999997</v>
      </c>
      <c r="I42" s="39">
        <f t="shared" si="27"/>
        <v>1016.3999999999999</v>
      </c>
      <c r="J42" s="38">
        <f t="shared" si="33"/>
        <v>1016.3999999999999</v>
      </c>
      <c r="K42" s="40">
        <f t="shared" si="28"/>
        <v>1.6845954650504452E-2</v>
      </c>
      <c r="L42" s="22">
        <f t="shared" si="29"/>
        <v>4.7168673021412465E-3</v>
      </c>
      <c r="M42" s="24">
        <f t="shared" si="30"/>
        <v>4.7168673021412456E-3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254.09999999999997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508.19999999999993</v>
      </c>
      <c r="AF42" s="122">
        <f t="shared" si="31"/>
        <v>0.25</v>
      </c>
      <c r="AG42" s="147">
        <f t="shared" si="34"/>
        <v>254.09999999999997</v>
      </c>
      <c r="AH42" s="123">
        <f t="shared" si="35"/>
        <v>1</v>
      </c>
      <c r="AI42" s="112">
        <f t="shared" si="35"/>
        <v>1016.3999999999999</v>
      </c>
      <c r="AJ42" s="148">
        <f t="shared" si="36"/>
        <v>254.09999999999997</v>
      </c>
      <c r="AK42" s="147">
        <f t="shared" si="37"/>
        <v>762.3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</v>
      </c>
      <c r="H43" s="24">
        <f t="shared" si="26"/>
        <v>0.27999999999999997</v>
      </c>
      <c r="I43" s="39">
        <f t="shared" si="27"/>
        <v>0</v>
      </c>
      <c r="J43" s="38">
        <f t="shared" si="33"/>
        <v>60.621636769931044</v>
      </c>
      <c r="K43" s="40">
        <f t="shared" si="28"/>
        <v>1.0024039130878681E-3</v>
      </c>
      <c r="L43" s="22">
        <f t="shared" si="29"/>
        <v>2.8067309566460303E-4</v>
      </c>
      <c r="M43" s="24">
        <f t="shared" si="30"/>
        <v>2.8133039775912164E-4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15.155409192482761</v>
      </c>
      <c r="AB43" s="156">
        <f>Poor!AB43</f>
        <v>0.25</v>
      </c>
      <c r="AC43" s="147">
        <f t="shared" si="39"/>
        <v>15.155409192482761</v>
      </c>
      <c r="AD43" s="156">
        <f>Poor!AD43</f>
        <v>0.25</v>
      </c>
      <c r="AE43" s="147">
        <f t="shared" si="40"/>
        <v>15.155409192482761</v>
      </c>
      <c r="AF43" s="122">
        <f t="shared" si="31"/>
        <v>0.25</v>
      </c>
      <c r="AG43" s="147">
        <f t="shared" si="34"/>
        <v>15.155409192482761</v>
      </c>
      <c r="AH43" s="123">
        <f t="shared" si="35"/>
        <v>1</v>
      </c>
      <c r="AI43" s="112">
        <f t="shared" si="35"/>
        <v>60.621636769931044</v>
      </c>
      <c r="AJ43" s="148">
        <f t="shared" si="36"/>
        <v>30.310818384965522</v>
      </c>
      <c r="AK43" s="147">
        <f t="shared" si="37"/>
        <v>30.310818384965522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</v>
      </c>
      <c r="H44" s="24">
        <f t="shared" si="26"/>
        <v>0.27999999999999997</v>
      </c>
      <c r="I44" s="39">
        <f t="shared" si="27"/>
        <v>0</v>
      </c>
      <c r="J44" s="38">
        <f t="shared" si="33"/>
        <v>22.733113788724143</v>
      </c>
      <c r="K44" s="40">
        <f t="shared" si="28"/>
        <v>3.7590146740795055E-4</v>
      </c>
      <c r="L44" s="22">
        <f t="shared" si="29"/>
        <v>1.0525241087422615E-4</v>
      </c>
      <c r="M44" s="24">
        <f t="shared" si="30"/>
        <v>1.0549889915967061E-4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5.6832784471810358</v>
      </c>
      <c r="AB44" s="156">
        <f>Poor!AB44</f>
        <v>0.25</v>
      </c>
      <c r="AC44" s="147">
        <f t="shared" si="39"/>
        <v>5.6832784471810358</v>
      </c>
      <c r="AD44" s="156">
        <f>Poor!AD44</f>
        <v>0.25</v>
      </c>
      <c r="AE44" s="147">
        <f t="shared" si="40"/>
        <v>5.6832784471810358</v>
      </c>
      <c r="AF44" s="122">
        <f t="shared" si="31"/>
        <v>0.25</v>
      </c>
      <c r="AG44" s="147">
        <f t="shared" si="34"/>
        <v>5.6832784471810358</v>
      </c>
      <c r="AH44" s="123">
        <f t="shared" si="35"/>
        <v>1</v>
      </c>
      <c r="AI44" s="112">
        <f t="shared" si="35"/>
        <v>22.733113788724143</v>
      </c>
      <c r="AJ44" s="148">
        <f t="shared" si="36"/>
        <v>11.366556894362072</v>
      </c>
      <c r="AK44" s="147">
        <f t="shared" si="37"/>
        <v>11.366556894362072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</v>
      </c>
      <c r="H47" s="24">
        <f t="shared" si="26"/>
        <v>0.27999999999999997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0.2</v>
      </c>
      <c r="F48" s="75">
        <f>Middle!F48</f>
        <v>1.4</v>
      </c>
      <c r="G48" s="22">
        <f t="shared" si="32"/>
        <v>1</v>
      </c>
      <c r="H48" s="24">
        <f t="shared" si="26"/>
        <v>0.27999999999999997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</v>
      </c>
      <c r="H49" s="24">
        <f t="shared" si="26"/>
        <v>0.27999999999999997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0.2</v>
      </c>
      <c r="F50" s="75">
        <f>Middle!F50</f>
        <v>1.4</v>
      </c>
      <c r="G50" s="22">
        <f t="shared" si="32"/>
        <v>1</v>
      </c>
      <c r="H50" s="24">
        <f t="shared" si="26"/>
        <v>0.27999999999999997</v>
      </c>
      <c r="I50" s="39">
        <f t="shared" si="27"/>
        <v>2799.9999999999995</v>
      </c>
      <c r="J50" s="38">
        <f t="shared" si="33"/>
        <v>2799.9999999999995</v>
      </c>
      <c r="K50" s="40">
        <f t="shared" si="28"/>
        <v>4.6407588568882781E-2</v>
      </c>
      <c r="L50" s="22">
        <f t="shared" si="29"/>
        <v>1.2994124799287177E-2</v>
      </c>
      <c r="M50" s="24">
        <f t="shared" si="30"/>
        <v>1.2994124799287177E-2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699.99999999999989</v>
      </c>
      <c r="AB50" s="156">
        <f>Poor!AB55</f>
        <v>0.25</v>
      </c>
      <c r="AC50" s="147">
        <f t="shared" si="39"/>
        <v>699.99999999999989</v>
      </c>
      <c r="AD50" s="156">
        <f>Poor!AD55</f>
        <v>0.25</v>
      </c>
      <c r="AE50" s="147">
        <f t="shared" si="40"/>
        <v>699.99999999999989</v>
      </c>
      <c r="AF50" s="122">
        <f t="shared" si="31"/>
        <v>0.25</v>
      </c>
      <c r="AG50" s="147">
        <f t="shared" si="34"/>
        <v>699.99999999999989</v>
      </c>
      <c r="AH50" s="123">
        <f t="shared" si="35"/>
        <v>1</v>
      </c>
      <c r="AI50" s="112">
        <f t="shared" si="35"/>
        <v>2799.9999999999995</v>
      </c>
      <c r="AJ50" s="148">
        <f t="shared" si="36"/>
        <v>1399.9999999999998</v>
      </c>
      <c r="AK50" s="147">
        <f t="shared" si="37"/>
        <v>1399.9999999999998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0.5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0.55500000000000005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0.6</v>
      </c>
      <c r="F54" s="75">
        <f>Middle!F54</f>
        <v>1.18</v>
      </c>
      <c r="G54" s="22">
        <f t="shared" si="32"/>
        <v>1</v>
      </c>
      <c r="H54" s="24">
        <f t="shared" si="41"/>
        <v>0.70799999999999996</v>
      </c>
      <c r="I54" s="39">
        <f t="shared" si="42"/>
        <v>50976</v>
      </c>
      <c r="J54" s="38">
        <f t="shared" si="33"/>
        <v>50976</v>
      </c>
      <c r="K54" s="40">
        <f t="shared" si="43"/>
        <v>0.33413463769595603</v>
      </c>
      <c r="L54" s="22">
        <f t="shared" si="44"/>
        <v>0.23656732348873685</v>
      </c>
      <c r="M54" s="24">
        <f t="shared" si="45"/>
        <v>0.23656732348873688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0.4</v>
      </c>
      <c r="F55" s="75">
        <f>Middle!F55</f>
        <v>1.18</v>
      </c>
      <c r="G55" s="22">
        <f t="shared" si="32"/>
        <v>1</v>
      </c>
      <c r="H55" s="24">
        <f t="shared" si="41"/>
        <v>0.47199999999999998</v>
      </c>
      <c r="I55" s="39">
        <f t="shared" si="42"/>
        <v>17841.599999999999</v>
      </c>
      <c r="J55" s="38">
        <f t="shared" si="33"/>
        <v>17841.599999999999</v>
      </c>
      <c r="K55" s="40">
        <f t="shared" si="43"/>
        <v>0.17542068479037692</v>
      </c>
      <c r="L55" s="22">
        <f t="shared" si="44"/>
        <v>8.27985632210579E-2</v>
      </c>
      <c r="M55" s="24">
        <f t="shared" si="45"/>
        <v>8.27985632210579E-2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155770.15</v>
      </c>
      <c r="J65" s="39">
        <f>SUM(J37:J64)</f>
        <v>155103.25185501808</v>
      </c>
      <c r="K65" s="40">
        <f>SUM(K37:K64)</f>
        <v>1.0000000000000002</v>
      </c>
      <c r="L65" s="22">
        <f>SUM(L37:L64)</f>
        <v>0.71980402075347349</v>
      </c>
      <c r="M65" s="24">
        <f>SUM(M37:M64)</f>
        <v>0.71979678977834849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6969.5091472638014</v>
      </c>
      <c r="AB65" s="137"/>
      <c r="AC65" s="153">
        <f>SUM(AC37:AC64)</f>
        <v>5914.5725561371364</v>
      </c>
      <c r="AD65" s="137"/>
      <c r="AE65" s="153">
        <f>SUM(AE37:AE64)</f>
        <v>5895.9565906582757</v>
      </c>
      <c r="AF65" s="137"/>
      <c r="AG65" s="153">
        <f>SUM(AG37:AG64)</f>
        <v>17131.413560958874</v>
      </c>
      <c r="AH65" s="137"/>
      <c r="AI65" s="153">
        <f>SUM(AI37:AI64)</f>
        <v>35911.451855018095</v>
      </c>
      <c r="AJ65" s="153">
        <f>SUM(AJ37:AJ64)</f>
        <v>12884.081703400938</v>
      </c>
      <c r="AK65" s="153">
        <f>SUM(AK37:AK64)</f>
        <v>23027.37015161715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137966.79376720899</v>
      </c>
      <c r="J74" s="51">
        <f>J128*I$83</f>
        <v>5303.9946162508595</v>
      </c>
      <c r="K74" s="40">
        <f>B74/B$76</f>
        <v>3.8162650535183681E-2</v>
      </c>
      <c r="L74" s="22">
        <f>(L128*G$37*F$9/F$7)/B$130</f>
        <v>2.5841635424740515E-2</v>
      </c>
      <c r="M74" s="24">
        <f>J74/B$76</f>
        <v>2.4614559992253923E-2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1163.7720277546321</v>
      </c>
      <c r="AB74" s="156"/>
      <c r="AC74" s="147">
        <f>AC30*$I$83/4</f>
        <v>1463.7334979393752</v>
      </c>
      <c r="AD74" s="156"/>
      <c r="AE74" s="147">
        <f>AE30*$I$83/4</f>
        <v>1445.1175324605147</v>
      </c>
      <c r="AF74" s="156"/>
      <c r="AG74" s="147">
        <f>AG30*$I$83/4</f>
        <v>1234.0010773047297</v>
      </c>
      <c r="AH74" s="155"/>
      <c r="AI74" s="147">
        <f>SUM(AA74,AC74,AE74,AG74)</f>
        <v>5306.6241354592512</v>
      </c>
      <c r="AJ74" s="148">
        <f>(AA74+AC74)</f>
        <v>2627.5055256940072</v>
      </c>
      <c r="AK74" s="147">
        <f>(AE74+AG74)</f>
        <v>2679.1186097652444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70208.216561531764</v>
      </c>
      <c r="K75" s="40">
        <f>B75/B$76</f>
        <v>0.65982081226975331</v>
      </c>
      <c r="L75" s="22">
        <f>(L129*G$37*F$9/F$7)/B$130</f>
        <v>0.32459955837689741</v>
      </c>
      <c r="M75" s="24">
        <f>J75/B$76</f>
        <v>0.32581940283425886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1354.8980613114084</v>
      </c>
      <c r="AB75" s="158"/>
      <c r="AC75" s="149">
        <f>AA75+AC65-SUM(AC70,AC74)</f>
        <v>1354.8980613114081</v>
      </c>
      <c r="AD75" s="158"/>
      <c r="AE75" s="149">
        <f>AC75+AE65-SUM(AE70,AE74)</f>
        <v>1354.8980613114081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12801.47148676779</v>
      </c>
      <c r="AJ75" s="151">
        <f>AJ76-SUM(AJ70,AJ74)</f>
        <v>1354.898061311409</v>
      </c>
      <c r="AK75" s="149">
        <f>AJ75+AK76-SUM(AK70,AK74)</f>
        <v>12801.471486767794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155770.15000000002</v>
      </c>
      <c r="J76" s="51">
        <f>J130*I$83</f>
        <v>155103.25185501808</v>
      </c>
      <c r="K76" s="40">
        <f>SUM(K70:K75)</f>
        <v>0.83365805754334743</v>
      </c>
      <c r="L76" s="22">
        <f>SUM(L70:L75)</f>
        <v>0.52352052865462351</v>
      </c>
      <c r="M76" s="24">
        <f>SUM(M70:M75)</f>
        <v>0.52351329767949839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6969.5091472638014</v>
      </c>
      <c r="AB76" s="137"/>
      <c r="AC76" s="153">
        <f>AC65</f>
        <v>5914.5725561371364</v>
      </c>
      <c r="AD76" s="137"/>
      <c r="AE76" s="153">
        <f>AE65</f>
        <v>5895.9565906582757</v>
      </c>
      <c r="AF76" s="137"/>
      <c r="AG76" s="153">
        <f>AG65</f>
        <v>17131.413560958874</v>
      </c>
      <c r="AH76" s="137"/>
      <c r="AI76" s="153">
        <f>SUM(AA76,AC76,AE76,AG76)</f>
        <v>35911.451855018087</v>
      </c>
      <c r="AJ76" s="154">
        <f>SUM(AA76,AC76)</f>
        <v>12884.081703400938</v>
      </c>
      <c r="AK76" s="154">
        <f>SUM(AE76,AG76)</f>
        <v>23027.37015161715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1354.8980613114084</v>
      </c>
      <c r="AD78" s="112"/>
      <c r="AE78" s="112">
        <f>AC75</f>
        <v>1354.8980613114081</v>
      </c>
      <c r="AF78" s="112"/>
      <c r="AG78" s="112">
        <f>AE75</f>
        <v>1354.8980613114081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2518.6700890660404</v>
      </c>
      <c r="AB79" s="112"/>
      <c r="AC79" s="112">
        <f>AA79-AA74+AC65-AC70</f>
        <v>2818.6315592507835</v>
      </c>
      <c r="AD79" s="112"/>
      <c r="AE79" s="112">
        <f>AC79-AC74+AE65-AE70</f>
        <v>2800.0155937719228</v>
      </c>
      <c r="AF79" s="112"/>
      <c r="AG79" s="112">
        <f>AE79-AE74+AG65-AG70</f>
        <v>14035.472564072519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0.59</v>
      </c>
      <c r="I91" s="22">
        <f t="shared" ref="I91" si="52">(D91*H91)</f>
        <v>0.83991341217604909</v>
      </c>
      <c r="J91" s="24">
        <f>IF(I$32&lt;=1+I$131,I91,L91+J$33*(I91-L91))</f>
        <v>0.79089563128765905</v>
      </c>
      <c r="K91" s="22">
        <f t="shared" ref="K91" si="53">(B91)</f>
        <v>1.3406951809091452</v>
      </c>
      <c r="L91" s="22">
        <f t="shared" ref="L91" si="54">(K91*H91)</f>
        <v>0.79101015673639563</v>
      </c>
      <c r="M91" s="227">
        <f t="shared" si="50"/>
        <v>0.79089563128765905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0.59</v>
      </c>
      <c r="I92" s="22">
        <f t="shared" ref="I92:I118" si="59">(D92*H92)</f>
        <v>0.31542599758576517</v>
      </c>
      <c r="J92" s="24">
        <f t="shared" ref="J92:J118" si="60">IF(I$32&lt;=1+I$131,I92,L92+J$33*(I92-L92))</f>
        <v>0.23944843720876058</v>
      </c>
      <c r="K92" s="22">
        <f t="shared" ref="K92:K118" si="61">(B92)</f>
        <v>0.40614568077000379</v>
      </c>
      <c r="L92" s="22">
        <f t="shared" ref="L92:L118" si="62">(K92*H92)</f>
        <v>0.23962595165430223</v>
      </c>
      <c r="M92" s="227">
        <f t="shared" ref="M92:M118" si="63">(J92)</f>
        <v>0.23944843720876058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0.59</v>
      </c>
      <c r="I93" s="22">
        <f t="shared" si="59"/>
        <v>5.868390652758422E-2</v>
      </c>
      <c r="J93" s="24">
        <f t="shared" si="60"/>
        <v>5.868390652758422E-2</v>
      </c>
      <c r="K93" s="22">
        <f t="shared" si="61"/>
        <v>9.9464248351837661E-2</v>
      </c>
      <c r="L93" s="22">
        <f t="shared" si="62"/>
        <v>5.868390652758422E-2</v>
      </c>
      <c r="M93" s="227">
        <f t="shared" si="63"/>
        <v>5.868390652758422E-2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0.42</v>
      </c>
      <c r="I95" s="22">
        <f t="shared" si="59"/>
        <v>0</v>
      </c>
      <c r="J95" s="24">
        <f t="shared" si="60"/>
        <v>6.2809224324784543E-2</v>
      </c>
      <c r="K95" s="22">
        <f t="shared" si="61"/>
        <v>0.1491963725277565</v>
      </c>
      <c r="L95" s="22">
        <f t="shared" si="62"/>
        <v>6.2662476461657721E-2</v>
      </c>
      <c r="M95" s="227">
        <f t="shared" si="63"/>
        <v>6.2809224324784543E-2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0.27999999999999997</v>
      </c>
      <c r="I96" s="22">
        <f t="shared" si="59"/>
        <v>8.4246218354006489E-2</v>
      </c>
      <c r="J96" s="24">
        <f t="shared" si="60"/>
        <v>8.4246218354006489E-2</v>
      </c>
      <c r="K96" s="22">
        <f t="shared" si="61"/>
        <v>0.30087935126430893</v>
      </c>
      <c r="L96" s="22">
        <f t="shared" si="62"/>
        <v>8.4246218354006489E-2</v>
      </c>
      <c r="M96" s="227">
        <f t="shared" si="63"/>
        <v>8.4246218354006489E-2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0.27999999999999997</v>
      </c>
      <c r="I97" s="22">
        <f t="shared" si="59"/>
        <v>0</v>
      </c>
      <c r="J97" s="24">
        <f t="shared" si="60"/>
        <v>5.0247379459827631E-3</v>
      </c>
      <c r="K97" s="22">
        <f t="shared" si="61"/>
        <v>1.7903564703330779E-2</v>
      </c>
      <c r="L97" s="22">
        <f t="shared" si="62"/>
        <v>5.0129981169326175E-3</v>
      </c>
      <c r="M97" s="227">
        <f t="shared" si="63"/>
        <v>5.0247379459827631E-3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0.27999999999999997</v>
      </c>
      <c r="I98" s="22">
        <f t="shared" si="59"/>
        <v>0</v>
      </c>
      <c r="J98" s="24">
        <f t="shared" si="60"/>
        <v>1.8842767297435363E-3</v>
      </c>
      <c r="K98" s="22">
        <f t="shared" si="61"/>
        <v>6.7138367637490422E-3</v>
      </c>
      <c r="L98" s="22">
        <f t="shared" si="62"/>
        <v>1.8798742938497316E-3</v>
      </c>
      <c r="M98" s="227">
        <f t="shared" si="63"/>
        <v>1.8842767297435363E-3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0.27999999999999997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0.27999999999999997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0.27999999999999997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0.27999999999999997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0.27999999999999997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0.27999999999999997</v>
      </c>
      <c r="I104" s="22">
        <f t="shared" si="59"/>
        <v>0.23208324615428785</v>
      </c>
      <c r="J104" s="24">
        <f t="shared" si="60"/>
        <v>0.23208324615428785</v>
      </c>
      <c r="K104" s="22">
        <f t="shared" si="61"/>
        <v>0.82886873626531388</v>
      </c>
      <c r="L104" s="22">
        <f t="shared" si="62"/>
        <v>0.23208324615428785</v>
      </c>
      <c r="M104" s="227">
        <f t="shared" si="63"/>
        <v>0.23208324615428785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0.55500000000000005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0.55500000000000005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0.55500000000000005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0.70799999999999996</v>
      </c>
      <c r="I108" s="22">
        <f t="shared" si="59"/>
        <v>4.2252412699860642</v>
      </c>
      <c r="J108" s="24">
        <f t="shared" si="60"/>
        <v>4.2252412699860642</v>
      </c>
      <c r="K108" s="22">
        <f t="shared" si="61"/>
        <v>5.9678549011102602</v>
      </c>
      <c r="L108" s="22">
        <f t="shared" si="62"/>
        <v>4.2252412699860642</v>
      </c>
      <c r="M108" s="227">
        <f t="shared" si="63"/>
        <v>4.2252412699860642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0.47199999999999992</v>
      </c>
      <c r="I109" s="22">
        <f t="shared" si="59"/>
        <v>1.4788344444951222</v>
      </c>
      <c r="J109" s="24">
        <f t="shared" si="60"/>
        <v>1.4788344444951222</v>
      </c>
      <c r="K109" s="22">
        <f t="shared" si="61"/>
        <v>3.1331238230828866</v>
      </c>
      <c r="L109" s="22">
        <f t="shared" si="62"/>
        <v>1.4788344444951222</v>
      </c>
      <c r="M109" s="227">
        <f t="shared" si="63"/>
        <v>1.4788344444951222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12.911300737835839</v>
      </c>
      <c r="J119" s="24">
        <f>SUM(J91:J118)</f>
        <v>12.856023635570955</v>
      </c>
      <c r="K119" s="22">
        <f>SUM(K91:K118)</f>
        <v>17.86062930279224</v>
      </c>
      <c r="L119" s="22">
        <f>SUM(L91:L118)</f>
        <v>12.856152785337164</v>
      </c>
      <c r="M119" s="57">
        <f t="shared" si="50"/>
        <v>12.856023635570955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11.435636199640369</v>
      </c>
      <c r="J128" s="228">
        <f>(J30)</f>
        <v>0.43963153147298784</v>
      </c>
      <c r="K128" s="22">
        <f>(B128)</f>
        <v>0.68160895442092151</v>
      </c>
      <c r="L128" s="22">
        <f>IF(L124=L119,0,(L119-L124)/(B119-B124)*K128)</f>
        <v>0.46154787089919447</v>
      </c>
      <c r="M128" s="57">
        <f t="shared" si="90"/>
        <v>0.43963153147298784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5.8193395736798319</v>
      </c>
      <c r="K129" s="29">
        <f>(B129)</f>
        <v>11.784814934217332</v>
      </c>
      <c r="L129" s="60">
        <f>IF(SUM(L124:L128)&gt;L130,0,L130-SUM(L124:L128))</f>
        <v>5.7975523840198342</v>
      </c>
      <c r="M129" s="57">
        <f t="shared" si="90"/>
        <v>5.8193395736798319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12.911300737835839</v>
      </c>
      <c r="J130" s="228">
        <f>(J119)</f>
        <v>12.856023635570955</v>
      </c>
      <c r="K130" s="22">
        <f>(B130)</f>
        <v>17.86062930279224</v>
      </c>
      <c r="L130" s="22">
        <f>(L119)</f>
        <v>12.856152785337164</v>
      </c>
      <c r="M130" s="57">
        <f t="shared" si="90"/>
        <v>12.856023635570955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350.05663850639343</v>
      </c>
      <c r="G72" s="109">
        <f>Poor!T7</f>
        <v>719.16936201777662</v>
      </c>
      <c r="H72" s="109">
        <f>Middle!T7</f>
        <v>1007.1685057445457</v>
      </c>
      <c r="I72" s="109">
        <f>Rich!T7</f>
        <v>352.52518981708039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4.4799999999999995</v>
      </c>
      <c r="G73" s="109">
        <f>Poor!T8</f>
        <v>316.30266981633775</v>
      </c>
      <c r="H73" s="109">
        <f>Middle!T8</f>
        <v>2360.0659582109702</v>
      </c>
      <c r="I73" s="109">
        <f>Rich!T8</f>
        <v>5322.8859544946199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97.67916250578088</v>
      </c>
      <c r="G74" s="109">
        <f>Poor!T9</f>
        <v>178.07168754085009</v>
      </c>
      <c r="H74" s="109">
        <f>Middle!T9</f>
        <v>311.52599663915959</v>
      </c>
      <c r="I74" s="109">
        <f>Rich!T9</f>
        <v>356.32787322935076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870.24999999999989</v>
      </c>
      <c r="G76" s="109">
        <f>Poor!T11</f>
        <v>4754.7498957307489</v>
      </c>
      <c r="H76" s="109">
        <f>Middle!T11</f>
        <v>10861.565873264344</v>
      </c>
      <c r="I76" s="109">
        <f>Rich!T11</f>
        <v>15015.687594097477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104.13223635110471</v>
      </c>
      <c r="H77" s="109">
        <f>Middle!T12</f>
        <v>75.295167495693178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2439.2501496340528</v>
      </c>
      <c r="G78" s="109">
        <f>Poor!T13</f>
        <v>1117.4000000000001</v>
      </c>
      <c r="H78" s="109">
        <f>Middle!T13</f>
        <v>26893.71428571429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14791.131428571429</v>
      </c>
      <c r="I79" s="109">
        <f>Rich!T14</f>
        <v>78648.685714285719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34469.076766786195</v>
      </c>
      <c r="G88" s="109">
        <f>Poor!T23</f>
        <v>49946.885166404507</v>
      </c>
      <c r="H88" s="109">
        <f>Middle!T23</f>
        <v>73904.532205076306</v>
      </c>
      <c r="I88" s="109">
        <f>Rich!T23</f>
        <v>178298.00175419182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13530.85794739976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44904.697947399764</v>
      </c>
      <c r="G100" s="239">
        <f t="shared" si="0"/>
        <v>29426.889547781437</v>
      </c>
      <c r="H100" s="239">
        <f t="shared" si="0"/>
        <v>5469.242509109652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2016-06-04T22:13:58Z</dcterms:modified>
  <cp:category/>
</cp:coreProperties>
</file>