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<sst xmlns="http://schemas.openxmlformats.org/spreadsheetml/2006/main" count="790" uniqueCount="145">
  <si>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</si>
  <si>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</si>
  <si>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</si>
  <si>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</si>
  <si>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</si>
  <si>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</si>
  <si>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</si>
  <si>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</si>
  <si>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</si>
  <si>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</si>
  <si>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</si>
  <si>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</si>
  <si>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</si>
  <si>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</si>
  <si>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</si>
  <si>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</si>
  <si>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</si>
  <si>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</si>
  <si>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</si>
  <si>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</si>
  <si>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</si>
  <si>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</si>
  <si>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</si>
  <si>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</si>
  <si>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</si>
  <si>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</si>
  <si>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</si>
  <si>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</si>
  <si>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</si>
  <si>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</si>
  <si>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</si>
  <si>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</si>
  <si>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</si>
  <si>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</si>
  <si>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</si>
  <si>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</si>
  <si>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</si>
  <si>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</si>
  <si>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</si>
  <si>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</si>
  <si>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</si>
  <si>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</si>
  <si>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</si>
  <si>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</si>
  <si>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</si>
  <si>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</si>
  <si>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</si>
  <si>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</si>
  <si>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</si>
  <si>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</si>
  <si>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</si>
  <si>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</si>
  <si>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</si>
  <si>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</si>
  <si>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</si>
  <si>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</si>
  <si>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</si>
  <si>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</si>
  <si>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</si>
  <si>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</si>
  <si>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</si>
  <si>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</si>
  <si>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</si>
  <si>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</si>
  <si>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</si>
  <si>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</si>
  <si>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</si>
  <si>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</si>
  <si>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</si>
  <si>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</si>
  <si>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</si>
  <si>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</si>
  <si>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</si>
  <si>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</si>
  <si>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</si>
  <si>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</si>
  <si>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</si>
  <si>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</si>
  <si>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</si>
  <si>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</si>
  <si>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</si>
  <si>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</si>
  <si>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</si>
  <si>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</si>
  <si>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</si>
  <si>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</si>
  <si>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</si>
  <si>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</si>
  <si>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</si>
  <si>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</si>
  <si>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</si>
  <si>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</si>
  <si>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</si>
  <si>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</si>
  <si>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</si>
  <si>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</si>
  <si>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</si>
  <si>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</si>
  <si>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</si>
  <si>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</si>
  <si>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</si>
  <si>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</si>
  <si>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</si>
  <si>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</si>
  <si>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</si>
  <si>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</si>
  <si>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</si>
  <si>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</si>
  <si>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</si>
  <si>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</si>
  <si>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</si>
  <si>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</si>
  <si>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</si>
  <si>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</si>
  <si>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</si>
  <si>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</si>
  <si>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</si>
  <si>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</si>
  <si>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</si>
  <si>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</si>
  <si>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</si>
  <si>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</si>
  <si>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</si>
  <si>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</si>
  <si>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</si>
  <si>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</si>
  <si>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</si>
  <si>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</si>
  <si>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</si>
  <si>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</si>
  <si>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</si>
  <si>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</si>
  <si>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</si>
  <si>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</si>
  <si>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</si>
  <si>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</si>
  <si>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</si>
  <si>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</si>
  <si>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</si>
  <si>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</si>
  <si>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t>Baseline: Q4</t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</si>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</sst>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766984"/>
        <c:axId val="2143536024"/>
      </c:barChart>
      <c:catAx>
        <c:axId val="214276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53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53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6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234792"/>
        <c:axId val="2079236872"/>
      </c:barChart>
      <c:catAx>
        <c:axId val="207923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23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23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23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082008"/>
        <c:axId val="2143289896"/>
      </c:barChart>
      <c:catAx>
        <c:axId val="214108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8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28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8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432248"/>
        <c:axId val="-2145436536"/>
      </c:barChart>
      <c:catAx>
        <c:axId val="-214543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43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43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432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672968"/>
        <c:axId val="-21456808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72968"/>
        <c:axId val="-2145680840"/>
      </c:lineChart>
      <c:catAx>
        <c:axId val="-214567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8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68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7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46507048126113"/>
          <c:y val="0.0203488372093023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823480"/>
        <c:axId val="-21458253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23480"/>
        <c:axId val="-2145825368"/>
      </c:lineChart>
      <c:catAx>
        <c:axId val="-21458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82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82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8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245016"/>
        <c:axId val="21432312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45016"/>
        <c:axId val="2143231256"/>
      </c:lineChart>
      <c:catAx>
        <c:axId val="2143245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3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23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4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646808"/>
        <c:axId val="2140650152"/>
      </c:barChart>
      <c:catAx>
        <c:axId val="214064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65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65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64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196888"/>
        <c:axId val="2143642488"/>
      </c:barChart>
      <c:catAx>
        <c:axId val="209219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64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64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19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677080"/>
        <c:axId val="2140680600"/>
      </c:barChart>
      <c:catAx>
        <c:axId val="214067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68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68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67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522408"/>
        <c:axId val="2143502104"/>
      </c:barChart>
      <c:catAx>
        <c:axId val="214352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50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50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52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627880"/>
        <c:axId val="2143630872"/>
      </c:barChart>
      <c:catAx>
        <c:axId val="214362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63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63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62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91528"/>
        <c:axId val="2140210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91528"/>
        <c:axId val="2140210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91528"/>
        <c:axId val="2140210744"/>
      </c:scatterChart>
      <c:catAx>
        <c:axId val="2140191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210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0210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1915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820792"/>
        <c:axId val="20774589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20792"/>
        <c:axId val="2077458984"/>
      </c:lineChart>
      <c:catAx>
        <c:axId val="-2088820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458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7458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88207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81288"/>
        <c:axId val="-21458933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96872"/>
        <c:axId val="-2145901336"/>
      </c:scatterChart>
      <c:valAx>
        <c:axId val="-21458812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93352"/>
        <c:crosses val="autoZero"/>
        <c:crossBetween val="midCat"/>
      </c:valAx>
      <c:valAx>
        <c:axId val="-2145893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81288"/>
        <c:crosses val="autoZero"/>
        <c:crossBetween val="midCat"/>
      </c:valAx>
      <c:valAx>
        <c:axId val="-2145896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5901336"/>
        <c:crosses val="autoZero"/>
        <c:crossBetween val="midCat"/>
      </c:valAx>
      <c:valAx>
        <c:axId val="-21459013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96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17224"/>
        <c:axId val="-214612756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17224"/>
        <c:axId val="-2146127560"/>
      </c:lineChart>
      <c:catAx>
        <c:axId val="-214611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27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127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172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461704"/>
        <c:axId val="2143465000"/>
      </c:barChart>
      <c:catAx>
        <c:axId val="214346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46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46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46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846232"/>
        <c:axId val="2079121640"/>
      </c:barChart>
      <c:catAx>
        <c:axId val="207884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12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12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84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450760"/>
        <c:axId val="2078454392"/>
      </c:barChart>
      <c:catAx>
        <c:axId val="2078450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54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845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5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606904"/>
        <c:axId val="2078462888"/>
      </c:barChart>
      <c:catAx>
        <c:axId val="2078606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62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84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0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551048"/>
        <c:axId val="2078546296"/>
      </c:barChart>
      <c:catAx>
        <c:axId val="2078551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546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854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551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773704"/>
        <c:axId val="2078777016"/>
      </c:barChart>
      <c:catAx>
        <c:axId val="2078773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7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877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7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162824"/>
        <c:axId val="2079162168"/>
      </c:barChart>
      <c:catAx>
        <c:axId val="207916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16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16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162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8952.7375066721161</v>
      </c>
      <c r="T23" s="178">
        <f>SUM(T7:T22)</f>
        <v>9420.7375066721161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4">
        <f t="shared" si="6"/>
        <v>0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10248.786287303885</v>
      </c>
      <c r="T30" s="233">
        <f t="shared" si="24"/>
        <v>9780.7862873038848</v>
      </c>
      <c r="V30" s="56"/>
      <c r="W30" s="110"/>
      <c r="X30" s="118"/>
      <c r="Y30" s="182">
        <f>M30*4</f>
        <v>0</v>
      </c>
      <c r="Z30" s="122">
        <f>IF($Y30=0,0,AA30/($Y$30))</f>
        <v>0</v>
      </c>
      <c r="AA30" s="186" t="e">
        <f>IF(AA79*4/$I$83+SUM(AA6:AA29)&lt;1,AA79*4/$I$83,1-SUM(AA6:AA29))</f>
        <v>#DIV/0!</v>
      </c>
      <c r="AB30" s="122">
        <f>IF($Y30=0,0,AC30/($Y$30))</f>
        <v>0</v>
      </c>
      <c r="AC30" s="186" t="e">
        <f>IF(AC79*4/$I$83+SUM(AC6:AC29)&lt;1,AC79*4/$I$83,1-SUM(AC6:AC29))</f>
        <v>#DIV/0!</v>
      </c>
      <c r="AD30" s="122">
        <f>IF($Y30=0,0,AE30/($Y$30))</f>
        <v>0</v>
      </c>
      <c r="AE30" s="186" t="e">
        <f>IF(AE79*4/$I$83+SUM(AE6:AE29)&lt;1,AE79*4/$I$83,1-SUM(AE6:AE29))</f>
        <v>#DIV/0!</v>
      </c>
      <c r="AF30" s="122">
        <f>IF($Y30=0,0,AG30/($Y$30))</f>
        <v>0</v>
      </c>
      <c r="AG30" s="186" t="e">
        <f>IF(AG79*4/$I$83+SUM(AG6:AG29)&lt;1,AG79*4/$I$83,1-SUM(AG6:AG29))</f>
        <v>#DIV/0!</v>
      </c>
      <c r="AH30" s="123">
        <f t="shared" si="12"/>
        <v>0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0">
        <f t="shared" si="6"/>
        <v>0.65631560701038394</v>
      </c>
      <c r="N31" s="167">
        <f>M31*I83</f>
        <v>7387.1439435989087</v>
      </c>
      <c r="P31" s="22"/>
      <c r="Q31" s="237" t="s">
        <v>134</v>
      </c>
      <c r="R31" s="233">
        <f t="shared" si="24"/>
        <v>0</v>
      </c>
      <c r="S31" s="233">
        <f t="shared" si="24"/>
        <v>19440.199620637221</v>
      </c>
      <c r="T31" s="233">
        <f>IF(T25&gt;T$23,T25-T$23,0)</f>
        <v>18972.199620637221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35809.15962063722</v>
      </c>
      <c r="T32" s="233">
        <f t="shared" si="24"/>
        <v>35341.15962063722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11585.05567703831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8080.7999999999993</v>
      </c>
      <c r="J65" s="39">
        <f>SUM(J37:J64)</f>
        <v>8080.7999999999993</v>
      </c>
      <c r="K65" s="40">
        <f>SUM(K37:K64)</f>
        <v>1</v>
      </c>
      <c r="L65" s="22">
        <f>SUM(L37:L64)</f>
        <v>0.39749373433583957</v>
      </c>
      <c r="M65" s="24">
        <f>SUM(M37:M64)</f>
        <v>0.42192982456140349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8080.8000000000011</v>
      </c>
      <c r="J70" s="51">
        <f t="shared" ref="J70:J77" si="44">J124*I$83</f>
        <v>8080.8000000000011</v>
      </c>
      <c r="K70" s="40">
        <f>B70/B$76</f>
        <v>0.39065082138773188</v>
      </c>
      <c r="L70" s="22">
        <f t="shared" ref="L70:L74" si="45">(L124*G$37*F$9/F$7)/B$130</f>
        <v>0.39749373433583962</v>
      </c>
      <c r="M70" s="24">
        <f>J70/B$76</f>
        <v>0.42192982456140354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2020.2000000000003</v>
      </c>
      <c r="AB70" s="156">
        <f>'Q2'!AB70</f>
        <v>0.25</v>
      </c>
      <c r="AC70" s="147">
        <f>$J70*AB70</f>
        <v>2020.2000000000003</v>
      </c>
      <c r="AD70" s="156">
        <f>'Q2'!AD70</f>
        <v>0.25</v>
      </c>
      <c r="AE70" s="147">
        <f>$J70*AD70</f>
        <v>2020.2000000000003</v>
      </c>
      <c r="AF70" s="156">
        <f>'Q2'!AF70</f>
        <v>0.25</v>
      </c>
      <c r="AG70" s="147">
        <f>$J70*AF70</f>
        <v>2020.2000000000003</v>
      </c>
      <c r="AH70" s="155">
        <f>SUM(Z70,AB70,AD70,AF70)</f>
        <v>1</v>
      </c>
      <c r="AI70" s="147">
        <f>SUM(AA70,AC70,AE70,AG70)</f>
        <v>8080.8000000000011</v>
      </c>
      <c r="AJ70" s="148">
        <f>(AA70+AC70)</f>
        <v>4040.4000000000005</v>
      </c>
      <c r="AK70" s="147">
        <f>(AE70+AG70)</f>
        <v>4040.4000000000005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8080.8000000000011</v>
      </c>
      <c r="J76" s="51">
        <f t="shared" si="44"/>
        <v>8080.8000000000011</v>
      </c>
      <c r="K76" s="40">
        <f>SUM(K70:K75)</f>
        <v>1.7388212946888948</v>
      </c>
      <c r="L76" s="22">
        <f>SUM(L70:L75)</f>
        <v>0.39749373433583962</v>
      </c>
      <c r="M76" s="24">
        <f>SUM(M70:M75)</f>
        <v>0.42192982456140354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11585.05567703831</v>
      </c>
      <c r="J77" s="100">
        <f t="shared" si="44"/>
        <v>11585.05567703831</v>
      </c>
      <c r="K77" s="40"/>
      <c r="L77" s="22">
        <f>-(L131*G$37*F$9/F$7)/B$130</f>
        <v>-0.60490056793224256</v>
      </c>
      <c r="M77" s="24">
        <f>-J77/B$76</f>
        <v>-0.60490056793224256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7">
        <f t="shared" si="49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0.7179439303771975</v>
      </c>
      <c r="J119" s="24">
        <f>SUM(J91:J118)</f>
        <v>0.7179439303771975</v>
      </c>
      <c r="K119" s="22">
        <f>SUM(K91:K118)</f>
        <v>2.8075936237827617</v>
      </c>
      <c r="L119" s="22">
        <f>SUM(L91:L118)</f>
        <v>0.67636416606963778</v>
      </c>
      <c r="M119" s="57">
        <f t="shared" si="49"/>
        <v>0.7179439303771975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0.7179439303771975</v>
      </c>
      <c r="J124" s="236">
        <f>IF(SUMPRODUCT($B$124:$B124,$H$124:$H124)&lt;J$119,($B124*$H124),J$119)</f>
        <v>0.7179439303771975</v>
      </c>
      <c r="K124" s="29">
        <f>(B124)</f>
        <v>1.0967887552536943</v>
      </c>
      <c r="L124" s="29">
        <f>IF(SUMPRODUCT($B$124:$B124,$H$124:$H124)&lt;L$119,($B124*$H124),L$119)</f>
        <v>0.67636416606963778</v>
      </c>
      <c r="M124" s="239">
        <f t="shared" si="66"/>
        <v>0.7179439303771975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0.7179439303771975</v>
      </c>
      <c r="J130" s="227">
        <f>(J119)</f>
        <v>0.7179439303771975</v>
      </c>
      <c r="K130" s="29">
        <f>(B130)</f>
        <v>2.8075936237827617</v>
      </c>
      <c r="L130" s="29">
        <f>(L119)</f>
        <v>0.67636416606963778</v>
      </c>
      <c r="M130" s="239">
        <f t="shared" si="66"/>
        <v>0.7179439303771975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1.0292818045752337</v>
      </c>
      <c r="J131" s="236">
        <f>IF(SUMPRODUCT($B124:$B125,$H124:$H125)&gt;(J119-J128),SUMPRODUCT($B124:$B125,$H124:$H125)+J128-J119,0)</f>
        <v>1.0292818045752337</v>
      </c>
      <c r="K131" s="29"/>
      <c r="L131" s="29">
        <f>IF(I131&lt;SUM(L126:L127),0,I131-(SUM(L126:L127)))</f>
        <v>1.0292818045752337</v>
      </c>
      <c r="M131" s="236">
        <f>IF(I131&lt;SUM(M126:M127),0,I131-(SUM(M126:M127)))</f>
        <v>1.0292818045752337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9" sqref="E3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97</v>
      </c>
      <c r="AA1" s="260"/>
      <c r="AB1" s="259" t="s">
        <v>98</v>
      </c>
      <c r="AC1" s="260"/>
      <c r="AD1" s="259" t="s">
        <v>99</v>
      </c>
      <c r="AE1" s="260"/>
      <c r="AF1" s="259" t="s">
        <v>100</v>
      </c>
      <c r="AG1" s="260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101</v>
      </c>
      <c r="AA2" s="261"/>
      <c r="AB2" s="257" t="s">
        <v>102</v>
      </c>
      <c r="AC2" s="261"/>
      <c r="AD2" s="257" t="s">
        <v>103</v>
      </c>
      <c r="AE2" s="261"/>
      <c r="AF2" s="257" t="s">
        <v>104</v>
      </c>
      <c r="AG2" s="261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6552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17958.317506672116</v>
      </c>
      <c r="T23" s="178">
        <f>SUM(T7:T22)</f>
        <v>19050.317506672112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0.64288158609603208</v>
      </c>
      <c r="J30" s="230">
        <f>IF(I$32&lt;=1,I30,1-SUM(J6:J29))</f>
        <v>0.64288158609603208</v>
      </c>
      <c r="K30" s="22">
        <f t="shared" si="4"/>
        <v>0.55751374053549196</v>
      </c>
      <c r="L30" s="22">
        <f>IF(L124=L119,0,IF(K30="",0,(L119-L124)/(B119-B124)*K30))</f>
        <v>9.3535796921425426E-2</v>
      </c>
      <c r="M30" s="174">
        <f t="shared" si="6"/>
        <v>0.64288158609603208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1243.2062873038849</v>
      </c>
      <c r="T30" s="233">
        <f t="shared" si="50"/>
        <v>151.20628730388853</v>
      </c>
      <c r="V30" s="56"/>
      <c r="W30" s="110"/>
      <c r="X30" s="118"/>
      <c r="Y30" s="182">
        <f>M30*4</f>
        <v>2.5715263443841283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1.3434020914351863E-2</v>
      </c>
      <c r="K31" s="22" t="str">
        <f t="shared" si="4"/>
        <v/>
      </c>
      <c r="L31" s="22">
        <f>(1-SUM(L6:L30))</f>
        <v>0.42633115376943631</v>
      </c>
      <c r="M31" s="177">
        <f t="shared" si="6"/>
        <v>1.3434020914351863E-2</v>
      </c>
      <c r="N31" s="167">
        <f>M31*I83</f>
        <v>151.20628730388447</v>
      </c>
      <c r="P31" s="22"/>
      <c r="Q31" s="237" t="s">
        <v>134</v>
      </c>
      <c r="R31" s="233">
        <f t="shared" si="50"/>
        <v>0</v>
      </c>
      <c r="S31" s="233">
        <f t="shared" si="50"/>
        <v>10434.619620637219</v>
      </c>
      <c r="T31" s="233">
        <f>IF(T25&gt;T$23,T25-T$23,0)</f>
        <v>9342.6196206372224</v>
      </c>
      <c r="V31" s="56"/>
      <c r="W31" s="129" t="s">
        <v>84</v>
      </c>
      <c r="X31" s="130"/>
      <c r="Y31" s="121">
        <f>M31*4</f>
        <v>5.3736083657407452E-2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0.98656597908564814</v>
      </c>
      <c r="J32" s="17"/>
      <c r="L32" s="22">
        <f>SUM(L6:L30)</f>
        <v>0.57366884623056369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26803.579620637218</v>
      </c>
      <c r="T32" s="233">
        <f t="shared" si="50"/>
        <v>25711.579620637222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1.3288465848163067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17710.38</v>
      </c>
      <c r="J65" s="39">
        <f>SUM(J37:J64)</f>
        <v>17710.379999999997</v>
      </c>
      <c r="K65" s="40">
        <f>SUM(K37:K64)</f>
        <v>1</v>
      </c>
      <c r="L65" s="22">
        <f>SUM(L37:L64)</f>
        <v>0.55999393449251922</v>
      </c>
      <c r="M65" s="24">
        <f>SUM(M37:M64)</f>
        <v>0.59679134654266075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7235.9376562950247</v>
      </c>
      <c r="J71" s="51">
        <f t="shared" si="75"/>
        <v>7235.9376562950247</v>
      </c>
      <c r="K71" s="40">
        <f t="shared" ref="K71:K72" si="78">B71/B$76</f>
        <v>0.2624792200206677</v>
      </c>
      <c r="L71" s="22">
        <f t="shared" si="76"/>
        <v>0.20703388786544763</v>
      </c>
      <c r="M71" s="24">
        <f t="shared" ref="M71:M72" si="79">J71/B$76</f>
        <v>0.24383129991558919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7235.9376562950247</v>
      </c>
      <c r="J74" s="51">
        <f t="shared" si="75"/>
        <v>7235.9376562950247</v>
      </c>
      <c r="K74" s="40">
        <f>B74/B$76</f>
        <v>0.12815338994473646</v>
      </c>
      <c r="L74" s="22">
        <f t="shared" si="76"/>
        <v>3.5476136578260743E-2</v>
      </c>
      <c r="M74" s="24">
        <f>J74/B$76</f>
        <v>0.24383129991558919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17710.38</v>
      </c>
      <c r="J76" s="51">
        <f t="shared" si="75"/>
        <v>17710.38</v>
      </c>
      <c r="K76" s="40">
        <f>SUM(K70:K75)</f>
        <v>1.1495200790049596</v>
      </c>
      <c r="L76" s="22">
        <f>SUM(L70:L75)</f>
        <v>0.59547007107077987</v>
      </c>
      <c r="M76" s="24">
        <f>SUM(M70:M75)</f>
        <v>0.84062264645824991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-0.30972547962438796</v>
      </c>
      <c r="M77" s="24">
        <f>-J77/B$76</f>
        <v>-0.3097254796243879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0.58211670030583573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6">
        <f t="shared" si="9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1.5734902269173485</v>
      </c>
      <c r="J119" s="24">
        <f>SUM(J91:J118)</f>
        <v>1.5734902269173485</v>
      </c>
      <c r="K119" s="22">
        <f>SUM(K91:K118)</f>
        <v>4.35036280176364</v>
      </c>
      <c r="L119" s="22">
        <f>SUM(L91:L118)</f>
        <v>1.4764707768663758</v>
      </c>
      <c r="M119" s="57">
        <f t="shared" si="80"/>
        <v>1.5734902269173485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0.64288158609603208</v>
      </c>
      <c r="J125" s="236">
        <f>IF(SUMPRODUCT($B$124:$B125,$H$124:$H125)&lt;J$119,($B125*$H125),IF(SUMPRODUCT($B$124:$B124,$H$124:$H124)&lt;J$119,J$119-SUMPRODUCT($B$124:$B124,$H$124:$H124),0))</f>
        <v>0.64288158609603208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0.5458621360450594</v>
      </c>
      <c r="M125" s="239">
        <f t="shared" si="93"/>
        <v>0.64288158609603208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0.64288158609603208</v>
      </c>
      <c r="J128" s="227">
        <f>(J30)</f>
        <v>0.64288158609603208</v>
      </c>
      <c r="K128" s="29">
        <f>(B128)</f>
        <v>0.55751374053549196</v>
      </c>
      <c r="L128" s="29">
        <f>IF(L124=L119,0,(L119-L124)/(B119-B124)*K128)</f>
        <v>9.3535796921425426E-2</v>
      </c>
      <c r="M128" s="239">
        <f t="shared" si="93"/>
        <v>0.64288158609603208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1.5734902269173485</v>
      </c>
      <c r="J130" s="227">
        <f>(J119)</f>
        <v>1.5734902269173485</v>
      </c>
      <c r="K130" s="29">
        <f>(B130)</f>
        <v>4.35036280176364</v>
      </c>
      <c r="L130" s="29">
        <f>(L119)</f>
        <v>1.4764707768663758</v>
      </c>
      <c r="M130" s="239">
        <f t="shared" si="93"/>
        <v>1.5734902269173485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0.81661709413111483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7295.0429868591054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34897.037506672117</v>
      </c>
      <c r="T23" s="178">
        <f>SUM(T7:T22)</f>
        <v>35172.080493531219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2.1319053794898419E-2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2.1319053794898419E-2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8.5276215179593676E-2</v>
      </c>
      <c r="Z27" s="156">
        <f>'Q2'!Z27</f>
        <v>0.25</v>
      </c>
      <c r="AA27" s="121">
        <f t="shared" si="16"/>
        <v>2.1319053794898419E-2</v>
      </c>
      <c r="AB27" s="156">
        <f>'Q2'!AB27</f>
        <v>0.25</v>
      </c>
      <c r="AC27" s="121">
        <f t="shared" si="7"/>
        <v>2.1319053794898419E-2</v>
      </c>
      <c r="AD27" s="156">
        <f>'Q2'!AD27</f>
        <v>0.25</v>
      </c>
      <c r="AE27" s="121">
        <f t="shared" si="8"/>
        <v>2.1319053794898419E-2</v>
      </c>
      <c r="AF27" s="122">
        <f t="shared" si="10"/>
        <v>0.25</v>
      </c>
      <c r="AG27" s="121">
        <f t="shared" si="11"/>
        <v>2.1319053794898419E-2</v>
      </c>
      <c r="AH27" s="123">
        <f t="shared" si="12"/>
        <v>1</v>
      </c>
      <c r="AI27" s="182">
        <f t="shared" si="13"/>
        <v>2.1319053794898419E-2</v>
      </c>
      <c r="AJ27" s="120">
        <f t="shared" si="14"/>
        <v>2.1319053794898419E-2</v>
      </c>
      <c r="AK27" s="119">
        <f t="shared" si="15"/>
        <v>2.1319053794898419E-2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0.40896140501511863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0.40896140501511863</v>
      </c>
      <c r="N29" s="228"/>
      <c r="P29" s="22"/>
      <c r="V29" s="56"/>
      <c r="W29" s="110"/>
      <c r="X29" s="118"/>
      <c r="Y29" s="182">
        <f t="shared" si="9"/>
        <v>1.6358456200604745</v>
      </c>
      <c r="Z29" s="156">
        <f>'Q2'!Z29</f>
        <v>0.25</v>
      </c>
      <c r="AA29" s="121">
        <f t="shared" si="16"/>
        <v>0.40896140501511863</v>
      </c>
      <c r="AB29" s="156">
        <f>'Q2'!AB29</f>
        <v>0.25</v>
      </c>
      <c r="AC29" s="121">
        <f t="shared" si="7"/>
        <v>0.40896140501511863</v>
      </c>
      <c r="AD29" s="156">
        <f>'Q2'!AD29</f>
        <v>0.25</v>
      </c>
      <c r="AE29" s="121">
        <f t="shared" si="8"/>
        <v>0.40896140501511863</v>
      </c>
      <c r="AF29" s="122">
        <f t="shared" si="10"/>
        <v>0.25</v>
      </c>
      <c r="AG29" s="121">
        <f t="shared" si="11"/>
        <v>0.40896140501511863</v>
      </c>
      <c r="AH29" s="123">
        <f t="shared" si="12"/>
        <v>1</v>
      </c>
      <c r="AI29" s="182">
        <f t="shared" si="13"/>
        <v>0.40896140501511863</v>
      </c>
      <c r="AJ29" s="120">
        <f t="shared" si="14"/>
        <v>0.40896140501511863</v>
      </c>
      <c r="AK29" s="119">
        <f t="shared" si="15"/>
        <v>0.40896140501511863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2.1755330214287376</v>
      </c>
      <c r="J30" s="230">
        <f>IF(I$32&lt;=1,I30,1-SUM(J6:J29))</f>
        <v>0.45067192214236385</v>
      </c>
      <c r="K30" s="22">
        <f t="shared" si="4"/>
        <v>0.57900237422166878</v>
      </c>
      <c r="L30" s="22">
        <f>IF(L124=L119,0,IF(K30="",0,(L119-L124)/(B119-B124)*K30))</f>
        <v>0.2494881997055009</v>
      </c>
      <c r="M30" s="174">
        <f t="shared" si="6"/>
        <v>0.45067192214236385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1.8026876885694554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0.15108362769768946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2.5192174144183537</v>
      </c>
      <c r="J32" s="17"/>
      <c r="L32" s="22">
        <f>SUM(L6:L30)</f>
        <v>0.84891637230231054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9864.8596206372094</v>
      </c>
      <c r="T32" s="233">
        <f t="shared" si="24"/>
        <v>9589.8166337781076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0.19589956328996203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7295.0429868591054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0.18261347218531854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7295.0429868591054</v>
      </c>
      <c r="AH41" s="123">
        <f t="shared" si="37"/>
        <v>1</v>
      </c>
      <c r="AI41" s="112">
        <f t="shared" si="37"/>
        <v>7295.0429868591054</v>
      </c>
      <c r="AJ41" s="148">
        <f t="shared" si="38"/>
        <v>0</v>
      </c>
      <c r="AK41" s="147">
        <f t="shared" si="39"/>
        <v>7295.0429868591054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34961.1</v>
      </c>
      <c r="J65" s="39">
        <f>SUM(J37:J64)</f>
        <v>33832.142986859108</v>
      </c>
      <c r="K65" s="40">
        <f>SUM(K37:K64)</f>
        <v>1</v>
      </c>
      <c r="L65" s="22">
        <f>SUM(L37:L64)</f>
        <v>0.84001952538299784</v>
      </c>
      <c r="M65" s="24">
        <f>SUM(M37:M64)</f>
        <v>0.84690455058724101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9093.7607316872181</v>
      </c>
      <c r="K72" s="40">
        <f t="shared" si="47"/>
        <v>0.34725142685491139</v>
      </c>
      <c r="L72" s="22">
        <f t="shared" si="45"/>
        <v>0.27743907365571896</v>
      </c>
      <c r="M72" s="24">
        <f t="shared" si="48"/>
        <v>0.22763995022747618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24486.657656295025</v>
      </c>
      <c r="J74" s="51">
        <f t="shared" si="44"/>
        <v>5072.5265781335738</v>
      </c>
      <c r="K74" s="40">
        <f>B74/B$76</f>
        <v>9.8870149079307149E-2</v>
      </c>
      <c r="L74" s="22">
        <f t="shared" si="45"/>
        <v>7.029408752786194E-2</v>
      </c>
      <c r="M74" s="24">
        <f>J74/B$76</f>
        <v>0.12697823616034778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34961.1</v>
      </c>
      <c r="J76" s="51">
        <f t="shared" si="44"/>
        <v>33832.142986859108</v>
      </c>
      <c r="K76" s="40">
        <f>SUM(K70:K75)</f>
        <v>1</v>
      </c>
      <c r="L76" s="22">
        <f>SUM(L70:L75)</f>
        <v>0.84001952538299784</v>
      </c>
      <c r="M76" s="24">
        <f>SUM(M70:M75)</f>
        <v>0.84690455058724101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0.64813283762204676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0.64813283762204676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6">
        <f t="shared" si="6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3.1061416622500539</v>
      </c>
      <c r="J119" s="24">
        <f>SUM(J91:J118)</f>
        <v>3.0058387423360262</v>
      </c>
      <c r="K119" s="22">
        <f>SUM(K91:K118)</f>
        <v>5.8561899583789554</v>
      </c>
      <c r="L119" s="22">
        <f>SUM(L91:L118)</f>
        <v>2.981402369327375</v>
      </c>
      <c r="M119" s="57">
        <f t="shared" si="49"/>
        <v>3.0058387423360262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0.80794108524123098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0.98468843466944289</v>
      </c>
      <c r="M126" s="57">
        <f t="shared" si="65"/>
        <v>0.80794108524123098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2.1755330214287376</v>
      </c>
      <c r="J128" s="227">
        <f>(J30)</f>
        <v>0.45067192214236385</v>
      </c>
      <c r="K128" s="22">
        <f>(B128)</f>
        <v>0.57900237422166878</v>
      </c>
      <c r="L128" s="22">
        <f>IF(L124=L119,0,(L119-L124)/(B119-B124)*K128)</f>
        <v>0.2494881997055009</v>
      </c>
      <c r="M128" s="57">
        <f t="shared" si="63"/>
        <v>0.45067192214236385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3.1061416622500539</v>
      </c>
      <c r="J130" s="227">
        <f>(J119)</f>
        <v>3.0058387423360262</v>
      </c>
      <c r="K130" s="22">
        <f>(B130)</f>
        <v>5.8561899583789554</v>
      </c>
      <c r="L130" s="22">
        <f>(L119)</f>
        <v>2.981402369327375</v>
      </c>
      <c r="M130" s="57">
        <f t="shared" si="63"/>
        <v>3.0058387423360262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8.6760088898838461E-3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'Q1'!A3</f>
        <v>Sources of Food : Very Poor HHs</v>
      </c>
      <c r="C3" s="265"/>
      <c r="D3" s="265"/>
      <c r="E3" s="265"/>
      <c r="F3" s="244"/>
      <c r="G3" s="262" t="str">
        <f>'Q2'!A3</f>
        <v>Sources of Food : Poor HHs</v>
      </c>
      <c r="H3" s="262"/>
      <c r="I3" s="262"/>
      <c r="J3" s="262"/>
      <c r="K3" s="245"/>
      <c r="L3" s="262" t="str">
        <f>'Q3'!A3</f>
        <v>Sources of Food : Middle HHs</v>
      </c>
      <c r="M3" s="262"/>
      <c r="N3" s="262"/>
      <c r="O3" s="262"/>
      <c r="P3" s="262"/>
      <c r="Q3" s="246"/>
      <c r="R3" s="262" t="str">
        <f>'Q4'!A3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6" workbookViewId="0">
      <selection activeCell="E71" sqref="E7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'Q2'!A1</f>
        <v>ZA UP: 59800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'Q1'!A34</f>
        <v>Income : Very Poor HHs</v>
      </c>
      <c r="D3" s="268"/>
      <c r="E3" s="268"/>
      <c r="F3" s="90"/>
      <c r="G3" s="266" t="str">
        <f>'Q2'!A34</f>
        <v>Income : Poor HHs</v>
      </c>
      <c r="H3" s="266"/>
      <c r="I3" s="266"/>
      <c r="J3" s="266"/>
      <c r="K3" s="89"/>
      <c r="L3" s="266" t="str">
        <f>'Q3'!A34</f>
        <v>Income : Middle HHs</v>
      </c>
      <c r="M3" s="266"/>
      <c r="N3" s="266"/>
      <c r="O3" s="266"/>
      <c r="P3" s="266"/>
      <c r="Q3" s="91"/>
      <c r="R3" s="266" t="str">
        <f>'Q4'!A34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69" t="s">
        <v>137</v>
      </c>
      <c r="C71" s="269" t="s">
        <v>138</v>
      </c>
      <c r="D71" s="269" t="s">
        <v>139</v>
      </c>
      <c r="E71" s="269" t="s">
        <v>140</v>
      </c>
      <c r="F71" s="269" t="s">
        <v>141</v>
      </c>
      <c r="G71" s="269" t="s">
        <v>142</v>
      </c>
      <c r="H71" s="269" t="s">
        <v>143</v>
      </c>
      <c r="I71" s="269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7295.0429868591054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9420.7375066721161</v>
      </c>
      <c r="G88" s="109">
        <f>'Q2'!T23</f>
        <v>19050.317506672112</v>
      </c>
      <c r="H88" s="109">
        <f>'Q3'!T23</f>
        <v>35172.080493531219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9780.7862873038848</v>
      </c>
      <c r="G98" s="238">
        <f t="shared" si="0"/>
        <v>151.20628730388853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18972.199620637221</v>
      </c>
      <c r="G99" s="238">
        <f t="shared" si="0"/>
        <v>9342.6196206372224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35341.15962063722</v>
      </c>
      <c r="G100" s="238">
        <f t="shared" si="0"/>
        <v>25711.579620637222</v>
      </c>
      <c r="H100" s="238">
        <f t="shared" si="0"/>
        <v>9589.8166337781076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'Q1'!A67</f>
        <v>Expenditure : Very Poor HHs</v>
      </c>
      <c r="C3" s="264"/>
      <c r="D3" s="264"/>
      <c r="E3" s="264"/>
      <c r="F3" s="249"/>
      <c r="G3" s="262" t="str">
        <f>'Q2'!A67</f>
        <v>Expenditure : Poor HHs</v>
      </c>
      <c r="H3" s="262"/>
      <c r="I3" s="262"/>
      <c r="J3" s="262"/>
      <c r="K3" s="245"/>
      <c r="L3" s="262" t="str">
        <f>'Q3'!A67</f>
        <v>Expenditure : Middle HHs</v>
      </c>
      <c r="M3" s="262"/>
      <c r="N3" s="262"/>
      <c r="O3" s="262"/>
      <c r="P3" s="262"/>
      <c r="Q3" s="246"/>
      <c r="R3" s="262" t="str">
        <f>'Q4'!A67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2016-06-04T21:11:23Z</dcterms:modified>
  <cp:category/>
</cp:coreProperties>
</file>